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rmingham/Desktop/"/>
    </mc:Choice>
  </mc:AlternateContent>
  <xr:revisionPtr revIDLastSave="0" documentId="13_ncr:1_{75EE75B1-44E7-DE43-BEAD-343578AA1E11}" xr6:coauthVersionLast="33" xr6:coauthVersionMax="33" xr10:uidLastSave="{00000000-0000-0000-0000-000000000000}"/>
  <bookViews>
    <workbookView xWindow="240" yWindow="460" windowWidth="16100" windowHeight="9660" xr2:uid="{00000000-000D-0000-FFFF-FFFF00000000}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79017"/>
</workbook>
</file>

<file path=xl/calcChain.xml><?xml version="1.0" encoding="utf-8"?>
<calcChain xmlns="http://schemas.openxmlformats.org/spreadsheetml/2006/main">
  <c r="A1" i="6" l="1"/>
  <c r="T1004" i="2"/>
  <c r="S1004" i="2"/>
  <c r="Q1004" i="2" a="1"/>
  <c r="R1004" i="2" s="1"/>
  <c r="Q1004" i="2"/>
  <c r="U1001" i="2"/>
  <c r="T1001" i="2"/>
  <c r="R1001" i="2"/>
  <c r="U1000" i="2"/>
  <c r="T1000" i="2"/>
  <c r="R1000" i="2"/>
  <c r="U999" i="2"/>
  <c r="T999" i="2"/>
  <c r="R999" i="2"/>
  <c r="U998" i="2"/>
  <c r="T998" i="2"/>
  <c r="R998" i="2"/>
  <c r="U997" i="2"/>
  <c r="T997" i="2"/>
  <c r="R997" i="2"/>
  <c r="U996" i="2"/>
  <c r="T996" i="2"/>
  <c r="R996" i="2"/>
  <c r="U995" i="2"/>
  <c r="T995" i="2"/>
  <c r="R995" i="2"/>
  <c r="U994" i="2"/>
  <c r="T994" i="2"/>
  <c r="R994" i="2"/>
  <c r="U993" i="2"/>
  <c r="T993" i="2"/>
  <c r="R993" i="2"/>
  <c r="U992" i="2"/>
  <c r="T992" i="2"/>
  <c r="R992" i="2"/>
  <c r="U991" i="2"/>
  <c r="T991" i="2"/>
  <c r="R991" i="2"/>
  <c r="U990" i="2"/>
  <c r="T990" i="2"/>
  <c r="R990" i="2"/>
  <c r="U989" i="2"/>
  <c r="T989" i="2"/>
  <c r="R989" i="2"/>
  <c r="U988" i="2"/>
  <c r="T988" i="2"/>
  <c r="R988" i="2"/>
  <c r="U987" i="2"/>
  <c r="T987" i="2"/>
  <c r="R987" i="2"/>
  <c r="U986" i="2"/>
  <c r="T986" i="2"/>
  <c r="R986" i="2"/>
  <c r="U985" i="2"/>
  <c r="T985" i="2"/>
  <c r="R985" i="2"/>
  <c r="U984" i="2"/>
  <c r="T984" i="2"/>
  <c r="R984" i="2"/>
  <c r="U983" i="2"/>
  <c r="T983" i="2"/>
  <c r="R983" i="2"/>
  <c r="U982" i="2"/>
  <c r="T982" i="2"/>
  <c r="R982" i="2"/>
  <c r="U981" i="2"/>
  <c r="T981" i="2"/>
  <c r="R981" i="2"/>
  <c r="U980" i="2"/>
  <c r="T980" i="2"/>
  <c r="R980" i="2"/>
  <c r="U979" i="2"/>
  <c r="T979" i="2"/>
  <c r="R979" i="2"/>
  <c r="U978" i="2"/>
  <c r="T978" i="2"/>
  <c r="R978" i="2"/>
  <c r="U977" i="2"/>
  <c r="T977" i="2"/>
  <c r="R977" i="2"/>
  <c r="U976" i="2"/>
  <c r="T976" i="2"/>
  <c r="R976" i="2"/>
  <c r="U975" i="2"/>
  <c r="T975" i="2"/>
  <c r="R975" i="2"/>
  <c r="U974" i="2"/>
  <c r="T974" i="2"/>
  <c r="R974" i="2"/>
  <c r="U973" i="2"/>
  <c r="T973" i="2"/>
  <c r="R973" i="2"/>
  <c r="U972" i="2"/>
  <c r="T972" i="2"/>
  <c r="R972" i="2"/>
  <c r="U971" i="2"/>
  <c r="T971" i="2"/>
  <c r="R971" i="2"/>
  <c r="U970" i="2"/>
  <c r="T970" i="2"/>
  <c r="R970" i="2"/>
  <c r="U969" i="2"/>
  <c r="T969" i="2"/>
  <c r="R969" i="2"/>
  <c r="U968" i="2"/>
  <c r="T968" i="2"/>
  <c r="R968" i="2"/>
  <c r="U967" i="2"/>
  <c r="T967" i="2"/>
  <c r="R967" i="2"/>
  <c r="U966" i="2"/>
  <c r="T966" i="2"/>
  <c r="R966" i="2"/>
  <c r="U965" i="2"/>
  <c r="T965" i="2"/>
  <c r="R965" i="2"/>
  <c r="U964" i="2"/>
  <c r="T964" i="2"/>
  <c r="R964" i="2"/>
  <c r="U963" i="2"/>
  <c r="T963" i="2"/>
  <c r="R963" i="2"/>
  <c r="U962" i="2"/>
  <c r="T962" i="2"/>
  <c r="R962" i="2"/>
  <c r="U961" i="2"/>
  <c r="T961" i="2"/>
  <c r="R961" i="2"/>
  <c r="U960" i="2"/>
  <c r="T960" i="2"/>
  <c r="R960" i="2"/>
  <c r="U959" i="2"/>
  <c r="T959" i="2"/>
  <c r="R959" i="2"/>
  <c r="U958" i="2"/>
  <c r="T958" i="2"/>
  <c r="R958" i="2"/>
  <c r="U957" i="2"/>
  <c r="T957" i="2"/>
  <c r="R957" i="2"/>
  <c r="U956" i="2"/>
  <c r="T956" i="2"/>
  <c r="R956" i="2"/>
  <c r="U955" i="2"/>
  <c r="T955" i="2"/>
  <c r="R955" i="2"/>
  <c r="U954" i="2"/>
  <c r="T954" i="2"/>
  <c r="R954" i="2"/>
  <c r="U953" i="2"/>
  <c r="T953" i="2"/>
  <c r="R953" i="2"/>
  <c r="U952" i="2"/>
  <c r="T952" i="2"/>
  <c r="R952" i="2"/>
  <c r="U951" i="2"/>
  <c r="T951" i="2"/>
  <c r="R951" i="2"/>
  <c r="U950" i="2"/>
  <c r="T950" i="2"/>
  <c r="R950" i="2"/>
  <c r="U949" i="2"/>
  <c r="T949" i="2"/>
  <c r="R949" i="2"/>
  <c r="U948" i="2"/>
  <c r="T948" i="2"/>
  <c r="R948" i="2"/>
  <c r="U947" i="2"/>
  <c r="T947" i="2"/>
  <c r="R947" i="2"/>
  <c r="U946" i="2"/>
  <c r="T946" i="2"/>
  <c r="R946" i="2"/>
  <c r="U945" i="2"/>
  <c r="T945" i="2"/>
  <c r="R945" i="2"/>
  <c r="U944" i="2"/>
  <c r="T944" i="2"/>
  <c r="R944" i="2"/>
  <c r="U943" i="2"/>
  <c r="T943" i="2"/>
  <c r="R943" i="2"/>
  <c r="U942" i="2"/>
  <c r="T942" i="2"/>
  <c r="R942" i="2"/>
  <c r="U941" i="2"/>
  <c r="T941" i="2"/>
  <c r="R941" i="2"/>
  <c r="U940" i="2"/>
  <c r="T940" i="2"/>
  <c r="R940" i="2"/>
  <c r="U939" i="2"/>
  <c r="T939" i="2"/>
  <c r="R939" i="2"/>
  <c r="U938" i="2"/>
  <c r="T938" i="2"/>
  <c r="R938" i="2"/>
  <c r="U937" i="2"/>
  <c r="T937" i="2"/>
  <c r="R937" i="2"/>
  <c r="U936" i="2"/>
  <c r="T936" i="2"/>
  <c r="R936" i="2"/>
  <c r="U935" i="2"/>
  <c r="T935" i="2"/>
  <c r="R935" i="2"/>
  <c r="U934" i="2"/>
  <c r="T934" i="2"/>
  <c r="R934" i="2"/>
  <c r="U933" i="2"/>
  <c r="T933" i="2"/>
  <c r="R933" i="2"/>
  <c r="U932" i="2"/>
  <c r="T932" i="2"/>
  <c r="R932" i="2"/>
  <c r="U931" i="2"/>
  <c r="T931" i="2"/>
  <c r="R931" i="2"/>
  <c r="U930" i="2"/>
  <c r="T930" i="2"/>
  <c r="R930" i="2"/>
  <c r="U929" i="2"/>
  <c r="T929" i="2"/>
  <c r="R929" i="2"/>
  <c r="U928" i="2"/>
  <c r="T928" i="2"/>
  <c r="R928" i="2"/>
  <c r="U927" i="2"/>
  <c r="T927" i="2"/>
  <c r="R927" i="2"/>
  <c r="U926" i="2"/>
  <c r="T926" i="2"/>
  <c r="R926" i="2"/>
  <c r="U925" i="2"/>
  <c r="T925" i="2"/>
  <c r="R925" i="2"/>
  <c r="U924" i="2"/>
  <c r="T924" i="2"/>
  <c r="R924" i="2"/>
  <c r="U923" i="2"/>
  <c r="T923" i="2"/>
  <c r="R923" i="2"/>
  <c r="U922" i="2"/>
  <c r="T922" i="2"/>
  <c r="R922" i="2"/>
  <c r="U921" i="2"/>
  <c r="T921" i="2"/>
  <c r="R921" i="2"/>
  <c r="U920" i="2"/>
  <c r="T920" i="2"/>
  <c r="R920" i="2"/>
  <c r="U919" i="2"/>
  <c r="T919" i="2"/>
  <c r="R919" i="2"/>
  <c r="U918" i="2"/>
  <c r="T918" i="2"/>
  <c r="R918" i="2"/>
  <c r="U917" i="2"/>
  <c r="T917" i="2"/>
  <c r="R917" i="2"/>
  <c r="U916" i="2"/>
  <c r="T916" i="2"/>
  <c r="R916" i="2"/>
  <c r="U915" i="2"/>
  <c r="T915" i="2"/>
  <c r="R915" i="2"/>
  <c r="U914" i="2"/>
  <c r="T914" i="2"/>
  <c r="R914" i="2"/>
  <c r="U913" i="2"/>
  <c r="T913" i="2"/>
  <c r="R913" i="2"/>
  <c r="U912" i="2"/>
  <c r="T912" i="2"/>
  <c r="R912" i="2"/>
  <c r="U911" i="2"/>
  <c r="T911" i="2"/>
  <c r="R911" i="2"/>
  <c r="U910" i="2"/>
  <c r="T910" i="2"/>
  <c r="R910" i="2"/>
  <c r="U909" i="2"/>
  <c r="T909" i="2"/>
  <c r="R909" i="2"/>
  <c r="U908" i="2"/>
  <c r="T908" i="2"/>
  <c r="R908" i="2"/>
  <c r="U907" i="2"/>
  <c r="T907" i="2"/>
  <c r="R907" i="2"/>
  <c r="U906" i="2"/>
  <c r="T906" i="2"/>
  <c r="R906" i="2"/>
  <c r="U905" i="2"/>
  <c r="T905" i="2"/>
  <c r="R905" i="2"/>
  <c r="U904" i="2"/>
  <c r="T904" i="2"/>
  <c r="R904" i="2"/>
  <c r="U903" i="2"/>
  <c r="T903" i="2"/>
  <c r="R903" i="2"/>
  <c r="U902" i="2"/>
  <c r="T902" i="2"/>
  <c r="R902" i="2"/>
  <c r="U901" i="2"/>
  <c r="T901" i="2"/>
  <c r="R901" i="2"/>
  <c r="U900" i="2"/>
  <c r="T900" i="2"/>
  <c r="R900" i="2"/>
  <c r="U899" i="2"/>
  <c r="T899" i="2"/>
  <c r="R899" i="2"/>
  <c r="U898" i="2"/>
  <c r="T898" i="2"/>
  <c r="R898" i="2"/>
  <c r="U897" i="2"/>
  <c r="T897" i="2"/>
  <c r="R897" i="2"/>
  <c r="U896" i="2"/>
  <c r="T896" i="2"/>
  <c r="R896" i="2"/>
  <c r="U895" i="2"/>
  <c r="T895" i="2"/>
  <c r="R895" i="2"/>
  <c r="U894" i="2"/>
  <c r="T894" i="2"/>
  <c r="R894" i="2"/>
  <c r="U893" i="2"/>
  <c r="T893" i="2"/>
  <c r="R893" i="2"/>
  <c r="U892" i="2"/>
  <c r="T892" i="2"/>
  <c r="R892" i="2"/>
  <c r="U891" i="2"/>
  <c r="T891" i="2"/>
  <c r="R891" i="2"/>
  <c r="U890" i="2"/>
  <c r="T890" i="2"/>
  <c r="R890" i="2"/>
  <c r="U889" i="2"/>
  <c r="T889" i="2"/>
  <c r="R889" i="2"/>
  <c r="U888" i="2"/>
  <c r="T888" i="2"/>
  <c r="R888" i="2"/>
  <c r="U887" i="2"/>
  <c r="T887" i="2"/>
  <c r="R887" i="2"/>
  <c r="U886" i="2"/>
  <c r="T886" i="2"/>
  <c r="R886" i="2"/>
  <c r="U885" i="2"/>
  <c r="T885" i="2"/>
  <c r="R885" i="2"/>
  <c r="U884" i="2"/>
  <c r="T884" i="2"/>
  <c r="R884" i="2"/>
  <c r="U883" i="2"/>
  <c r="T883" i="2"/>
  <c r="R883" i="2"/>
  <c r="U882" i="2"/>
  <c r="T882" i="2"/>
  <c r="R882" i="2"/>
  <c r="U881" i="2"/>
  <c r="T881" i="2"/>
  <c r="R881" i="2"/>
  <c r="U880" i="2"/>
  <c r="T880" i="2"/>
  <c r="R880" i="2"/>
  <c r="U879" i="2"/>
  <c r="T879" i="2"/>
  <c r="R879" i="2"/>
  <c r="U878" i="2"/>
  <c r="T878" i="2"/>
  <c r="R878" i="2"/>
  <c r="U877" i="2"/>
  <c r="T877" i="2"/>
  <c r="R877" i="2"/>
  <c r="U876" i="2"/>
  <c r="T876" i="2"/>
  <c r="R876" i="2"/>
  <c r="U875" i="2"/>
  <c r="T875" i="2"/>
  <c r="R875" i="2"/>
  <c r="U874" i="2"/>
  <c r="T874" i="2"/>
  <c r="R874" i="2"/>
  <c r="U873" i="2"/>
  <c r="T873" i="2"/>
  <c r="R873" i="2"/>
  <c r="U872" i="2"/>
  <c r="T872" i="2"/>
  <c r="R872" i="2"/>
  <c r="U871" i="2"/>
  <c r="T871" i="2"/>
  <c r="R871" i="2"/>
  <c r="U870" i="2"/>
  <c r="T870" i="2"/>
  <c r="R870" i="2"/>
  <c r="U869" i="2"/>
  <c r="T869" i="2"/>
  <c r="R869" i="2"/>
  <c r="U868" i="2"/>
  <c r="T868" i="2"/>
  <c r="R868" i="2"/>
  <c r="U867" i="2"/>
  <c r="T867" i="2"/>
  <c r="R867" i="2"/>
  <c r="U866" i="2"/>
  <c r="T866" i="2"/>
  <c r="R866" i="2"/>
  <c r="U865" i="2"/>
  <c r="T865" i="2"/>
  <c r="R865" i="2"/>
  <c r="U864" i="2"/>
  <c r="T864" i="2"/>
  <c r="R864" i="2"/>
  <c r="U863" i="2"/>
  <c r="T863" i="2"/>
  <c r="R863" i="2"/>
  <c r="U862" i="2"/>
  <c r="T862" i="2"/>
  <c r="R862" i="2"/>
  <c r="U861" i="2"/>
  <c r="T861" i="2"/>
  <c r="R861" i="2"/>
  <c r="U860" i="2"/>
  <c r="T860" i="2"/>
  <c r="R860" i="2"/>
  <c r="U859" i="2"/>
  <c r="T859" i="2"/>
  <c r="R859" i="2"/>
  <c r="U858" i="2"/>
  <c r="T858" i="2"/>
  <c r="R858" i="2"/>
  <c r="U857" i="2"/>
  <c r="T857" i="2"/>
  <c r="R857" i="2"/>
  <c r="U856" i="2"/>
  <c r="T856" i="2"/>
  <c r="R856" i="2"/>
  <c r="U855" i="2"/>
  <c r="T855" i="2"/>
  <c r="R855" i="2"/>
  <c r="U854" i="2"/>
  <c r="T854" i="2"/>
  <c r="R854" i="2"/>
  <c r="U853" i="2"/>
  <c r="T853" i="2"/>
  <c r="R853" i="2"/>
  <c r="U852" i="2"/>
  <c r="T852" i="2"/>
  <c r="R852" i="2"/>
  <c r="U851" i="2"/>
  <c r="T851" i="2"/>
  <c r="R851" i="2"/>
  <c r="U850" i="2"/>
  <c r="T850" i="2"/>
  <c r="R850" i="2"/>
  <c r="U849" i="2"/>
  <c r="T849" i="2"/>
  <c r="R849" i="2"/>
  <c r="U848" i="2"/>
  <c r="T848" i="2"/>
  <c r="R848" i="2"/>
  <c r="U847" i="2"/>
  <c r="T847" i="2"/>
  <c r="R847" i="2"/>
  <c r="U846" i="2"/>
  <c r="T846" i="2"/>
  <c r="R846" i="2"/>
  <c r="U845" i="2"/>
  <c r="T845" i="2"/>
  <c r="R845" i="2"/>
  <c r="U844" i="2"/>
  <c r="T844" i="2"/>
  <c r="R844" i="2"/>
  <c r="U843" i="2"/>
  <c r="T843" i="2"/>
  <c r="R843" i="2"/>
  <c r="U842" i="2"/>
  <c r="T842" i="2"/>
  <c r="R842" i="2"/>
  <c r="U841" i="2"/>
  <c r="T841" i="2"/>
  <c r="R841" i="2"/>
  <c r="U840" i="2"/>
  <c r="T840" i="2"/>
  <c r="R840" i="2"/>
  <c r="U839" i="2"/>
  <c r="T839" i="2"/>
  <c r="R839" i="2"/>
  <c r="U838" i="2"/>
  <c r="T838" i="2"/>
  <c r="R838" i="2"/>
  <c r="U837" i="2"/>
  <c r="T837" i="2"/>
  <c r="R837" i="2"/>
  <c r="U836" i="2"/>
  <c r="T836" i="2"/>
  <c r="R836" i="2"/>
  <c r="U835" i="2"/>
  <c r="T835" i="2"/>
  <c r="R835" i="2"/>
  <c r="U834" i="2"/>
  <c r="T834" i="2"/>
  <c r="R834" i="2"/>
  <c r="U833" i="2"/>
  <c r="T833" i="2"/>
  <c r="R833" i="2"/>
  <c r="U832" i="2"/>
  <c r="T832" i="2"/>
  <c r="R832" i="2"/>
  <c r="U831" i="2"/>
  <c r="T831" i="2"/>
  <c r="R831" i="2"/>
  <c r="U830" i="2"/>
  <c r="T830" i="2"/>
  <c r="R830" i="2"/>
  <c r="U829" i="2"/>
  <c r="T829" i="2"/>
  <c r="R829" i="2"/>
  <c r="U828" i="2"/>
  <c r="T828" i="2"/>
  <c r="R828" i="2"/>
  <c r="U827" i="2"/>
  <c r="T827" i="2"/>
  <c r="R827" i="2"/>
  <c r="U826" i="2"/>
  <c r="T826" i="2"/>
  <c r="R826" i="2"/>
  <c r="U825" i="2"/>
  <c r="T825" i="2"/>
  <c r="R825" i="2"/>
  <c r="U824" i="2"/>
  <c r="T824" i="2"/>
  <c r="R824" i="2"/>
  <c r="U823" i="2"/>
  <c r="T823" i="2"/>
  <c r="R823" i="2"/>
  <c r="U822" i="2"/>
  <c r="T822" i="2"/>
  <c r="R822" i="2"/>
  <c r="U821" i="2"/>
  <c r="T821" i="2"/>
  <c r="R821" i="2"/>
  <c r="U820" i="2"/>
  <c r="T820" i="2"/>
  <c r="R820" i="2"/>
  <c r="U819" i="2"/>
  <c r="T819" i="2"/>
  <c r="R819" i="2"/>
  <c r="U818" i="2"/>
  <c r="T818" i="2"/>
  <c r="R818" i="2"/>
  <c r="U817" i="2"/>
  <c r="T817" i="2"/>
  <c r="R817" i="2"/>
  <c r="U816" i="2"/>
  <c r="T816" i="2"/>
  <c r="R816" i="2"/>
  <c r="U815" i="2"/>
  <c r="T815" i="2"/>
  <c r="R815" i="2"/>
  <c r="U814" i="2"/>
  <c r="T814" i="2"/>
  <c r="R814" i="2"/>
  <c r="U813" i="2"/>
  <c r="T813" i="2"/>
  <c r="R813" i="2"/>
  <c r="U812" i="2"/>
  <c r="T812" i="2"/>
  <c r="R812" i="2"/>
  <c r="U811" i="2"/>
  <c r="T811" i="2"/>
  <c r="R811" i="2"/>
  <c r="U810" i="2"/>
  <c r="T810" i="2"/>
  <c r="R810" i="2"/>
  <c r="U809" i="2"/>
  <c r="T809" i="2"/>
  <c r="R809" i="2"/>
  <c r="U808" i="2"/>
  <c r="T808" i="2"/>
  <c r="R808" i="2"/>
  <c r="U807" i="2"/>
  <c r="T807" i="2"/>
  <c r="R807" i="2"/>
  <c r="U806" i="2"/>
  <c r="T806" i="2"/>
  <c r="R806" i="2"/>
  <c r="U805" i="2"/>
  <c r="T805" i="2"/>
  <c r="R805" i="2"/>
  <c r="U804" i="2"/>
  <c r="T804" i="2"/>
  <c r="R804" i="2"/>
  <c r="U803" i="2"/>
  <c r="T803" i="2"/>
  <c r="R803" i="2"/>
  <c r="U802" i="2"/>
  <c r="T802" i="2"/>
  <c r="R802" i="2"/>
  <c r="U801" i="2"/>
  <c r="T801" i="2"/>
  <c r="R801" i="2"/>
  <c r="U800" i="2"/>
  <c r="T800" i="2"/>
  <c r="R800" i="2"/>
  <c r="U799" i="2"/>
  <c r="T799" i="2"/>
  <c r="R799" i="2"/>
  <c r="U798" i="2"/>
  <c r="T798" i="2"/>
  <c r="R798" i="2"/>
  <c r="U797" i="2"/>
  <c r="T797" i="2"/>
  <c r="R797" i="2"/>
  <c r="U796" i="2"/>
  <c r="T796" i="2"/>
  <c r="R796" i="2"/>
  <c r="U795" i="2"/>
  <c r="T795" i="2"/>
  <c r="R795" i="2"/>
  <c r="U794" i="2"/>
  <c r="T794" i="2"/>
  <c r="R794" i="2"/>
  <c r="U793" i="2"/>
  <c r="T793" i="2"/>
  <c r="R793" i="2"/>
  <c r="U792" i="2"/>
  <c r="T792" i="2"/>
  <c r="R792" i="2"/>
  <c r="U791" i="2"/>
  <c r="T791" i="2"/>
  <c r="R791" i="2"/>
  <c r="U790" i="2"/>
  <c r="T790" i="2"/>
  <c r="R790" i="2"/>
  <c r="U789" i="2"/>
  <c r="T789" i="2"/>
  <c r="R789" i="2"/>
  <c r="U788" i="2"/>
  <c r="T788" i="2"/>
  <c r="R788" i="2"/>
  <c r="U787" i="2"/>
  <c r="T787" i="2"/>
  <c r="R787" i="2"/>
  <c r="U786" i="2"/>
  <c r="T786" i="2"/>
  <c r="R786" i="2"/>
  <c r="U785" i="2"/>
  <c r="T785" i="2"/>
  <c r="R785" i="2"/>
  <c r="U784" i="2"/>
  <c r="T784" i="2"/>
  <c r="R784" i="2"/>
  <c r="U783" i="2"/>
  <c r="T783" i="2"/>
  <c r="R783" i="2"/>
  <c r="U782" i="2"/>
  <c r="T782" i="2"/>
  <c r="R782" i="2"/>
  <c r="U781" i="2"/>
  <c r="T781" i="2"/>
  <c r="R781" i="2"/>
  <c r="U780" i="2"/>
  <c r="T780" i="2"/>
  <c r="R780" i="2"/>
  <c r="U779" i="2"/>
  <c r="T779" i="2"/>
  <c r="R779" i="2"/>
  <c r="U778" i="2"/>
  <c r="T778" i="2"/>
  <c r="R778" i="2"/>
  <c r="U777" i="2"/>
  <c r="T777" i="2"/>
  <c r="R777" i="2"/>
  <c r="U776" i="2"/>
  <c r="T776" i="2"/>
  <c r="R776" i="2"/>
  <c r="U775" i="2"/>
  <c r="T775" i="2"/>
  <c r="R775" i="2"/>
  <c r="U774" i="2"/>
  <c r="T774" i="2"/>
  <c r="R774" i="2"/>
  <c r="U773" i="2"/>
  <c r="T773" i="2"/>
  <c r="R773" i="2"/>
  <c r="U772" i="2"/>
  <c r="T772" i="2"/>
  <c r="R772" i="2"/>
  <c r="U771" i="2"/>
  <c r="T771" i="2"/>
  <c r="R771" i="2"/>
  <c r="U770" i="2"/>
  <c r="T770" i="2"/>
  <c r="R770" i="2"/>
  <c r="U769" i="2"/>
  <c r="T769" i="2"/>
  <c r="R769" i="2"/>
  <c r="U768" i="2"/>
  <c r="T768" i="2"/>
  <c r="R768" i="2"/>
  <c r="U767" i="2"/>
  <c r="T767" i="2"/>
  <c r="R767" i="2"/>
  <c r="U766" i="2"/>
  <c r="T766" i="2"/>
  <c r="R766" i="2"/>
  <c r="U765" i="2"/>
  <c r="T765" i="2"/>
  <c r="R765" i="2"/>
  <c r="U764" i="2"/>
  <c r="T764" i="2"/>
  <c r="R764" i="2"/>
  <c r="U763" i="2"/>
  <c r="T763" i="2"/>
  <c r="R763" i="2"/>
  <c r="U762" i="2"/>
  <c r="T762" i="2"/>
  <c r="R762" i="2"/>
  <c r="U761" i="2"/>
  <c r="T761" i="2"/>
  <c r="R761" i="2"/>
  <c r="U760" i="2"/>
  <c r="T760" i="2"/>
  <c r="R760" i="2"/>
  <c r="U759" i="2"/>
  <c r="T759" i="2"/>
  <c r="R759" i="2"/>
  <c r="U758" i="2"/>
  <c r="T758" i="2"/>
  <c r="R758" i="2"/>
  <c r="U757" i="2"/>
  <c r="T757" i="2"/>
  <c r="R757" i="2"/>
  <c r="U756" i="2"/>
  <c r="T756" i="2"/>
  <c r="R756" i="2"/>
  <c r="U755" i="2"/>
  <c r="T755" i="2"/>
  <c r="R755" i="2"/>
  <c r="U754" i="2"/>
  <c r="T754" i="2"/>
  <c r="R754" i="2"/>
  <c r="U753" i="2"/>
  <c r="T753" i="2"/>
  <c r="R753" i="2"/>
  <c r="U752" i="2"/>
  <c r="T752" i="2"/>
  <c r="R752" i="2"/>
  <c r="U751" i="2"/>
  <c r="T751" i="2"/>
  <c r="R751" i="2"/>
  <c r="U750" i="2"/>
  <c r="T750" i="2"/>
  <c r="R750" i="2"/>
  <c r="U749" i="2"/>
  <c r="T749" i="2"/>
  <c r="R749" i="2"/>
  <c r="U748" i="2"/>
  <c r="T748" i="2"/>
  <c r="R748" i="2"/>
  <c r="U747" i="2"/>
  <c r="T747" i="2"/>
  <c r="R747" i="2"/>
  <c r="U746" i="2"/>
  <c r="T746" i="2"/>
  <c r="R746" i="2"/>
  <c r="U745" i="2"/>
  <c r="T745" i="2"/>
  <c r="R745" i="2"/>
  <c r="U744" i="2"/>
  <c r="T744" i="2"/>
  <c r="R744" i="2"/>
  <c r="U743" i="2"/>
  <c r="T743" i="2"/>
  <c r="R743" i="2"/>
  <c r="U742" i="2"/>
  <c r="T742" i="2"/>
  <c r="R742" i="2"/>
  <c r="U741" i="2"/>
  <c r="T741" i="2"/>
  <c r="R741" i="2"/>
  <c r="U740" i="2"/>
  <c r="T740" i="2"/>
  <c r="R740" i="2"/>
  <c r="U739" i="2"/>
  <c r="T739" i="2"/>
  <c r="R739" i="2"/>
  <c r="U738" i="2"/>
  <c r="T738" i="2"/>
  <c r="R738" i="2"/>
  <c r="U737" i="2"/>
  <c r="T737" i="2"/>
  <c r="R737" i="2"/>
  <c r="U736" i="2"/>
  <c r="T736" i="2"/>
  <c r="R736" i="2"/>
  <c r="U735" i="2"/>
  <c r="T735" i="2"/>
  <c r="R735" i="2"/>
  <c r="U734" i="2"/>
  <c r="T734" i="2"/>
  <c r="R734" i="2"/>
  <c r="U733" i="2"/>
  <c r="T733" i="2"/>
  <c r="R733" i="2"/>
  <c r="U732" i="2"/>
  <c r="T732" i="2"/>
  <c r="R732" i="2"/>
  <c r="U731" i="2"/>
  <c r="T731" i="2"/>
  <c r="R731" i="2"/>
  <c r="U730" i="2"/>
  <c r="T730" i="2"/>
  <c r="R730" i="2"/>
  <c r="U729" i="2"/>
  <c r="T729" i="2"/>
  <c r="R729" i="2"/>
  <c r="U728" i="2"/>
  <c r="T728" i="2"/>
  <c r="R728" i="2"/>
  <c r="U727" i="2"/>
  <c r="T727" i="2"/>
  <c r="R727" i="2"/>
  <c r="U726" i="2"/>
  <c r="T726" i="2"/>
  <c r="R726" i="2"/>
  <c r="U725" i="2"/>
  <c r="T725" i="2"/>
  <c r="R725" i="2"/>
  <c r="U724" i="2"/>
  <c r="T724" i="2"/>
  <c r="R724" i="2"/>
  <c r="U723" i="2"/>
  <c r="T723" i="2"/>
  <c r="R723" i="2"/>
  <c r="U722" i="2"/>
  <c r="T722" i="2"/>
  <c r="R722" i="2"/>
  <c r="U721" i="2"/>
  <c r="T721" i="2"/>
  <c r="R721" i="2"/>
  <c r="U720" i="2"/>
  <c r="T720" i="2"/>
  <c r="R720" i="2"/>
  <c r="U719" i="2"/>
  <c r="T719" i="2"/>
  <c r="R719" i="2"/>
  <c r="U718" i="2"/>
  <c r="T718" i="2"/>
  <c r="R718" i="2"/>
  <c r="U717" i="2"/>
  <c r="T717" i="2"/>
  <c r="R717" i="2"/>
  <c r="U716" i="2"/>
  <c r="T716" i="2"/>
  <c r="R716" i="2"/>
  <c r="U715" i="2"/>
  <c r="T715" i="2"/>
  <c r="R715" i="2"/>
  <c r="U714" i="2"/>
  <c r="T714" i="2"/>
  <c r="R714" i="2"/>
  <c r="U713" i="2"/>
  <c r="T713" i="2"/>
  <c r="R713" i="2"/>
  <c r="U712" i="2"/>
  <c r="T712" i="2"/>
  <c r="R712" i="2"/>
  <c r="U711" i="2"/>
  <c r="T711" i="2"/>
  <c r="R711" i="2"/>
  <c r="U710" i="2"/>
  <c r="T710" i="2"/>
  <c r="R710" i="2"/>
  <c r="U709" i="2"/>
  <c r="T709" i="2"/>
  <c r="R709" i="2"/>
  <c r="U708" i="2"/>
  <c r="T708" i="2"/>
  <c r="R708" i="2"/>
  <c r="U707" i="2"/>
  <c r="T707" i="2"/>
  <c r="R707" i="2"/>
  <c r="U706" i="2"/>
  <c r="T706" i="2"/>
  <c r="R706" i="2"/>
  <c r="U705" i="2"/>
  <c r="T705" i="2"/>
  <c r="R705" i="2"/>
  <c r="U704" i="2"/>
  <c r="T704" i="2"/>
  <c r="R704" i="2"/>
  <c r="U703" i="2"/>
  <c r="T703" i="2"/>
  <c r="R703" i="2"/>
  <c r="U702" i="2"/>
  <c r="T702" i="2"/>
  <c r="R702" i="2"/>
  <c r="U701" i="2"/>
  <c r="T701" i="2"/>
  <c r="R701" i="2"/>
  <c r="U700" i="2"/>
  <c r="T700" i="2"/>
  <c r="R700" i="2"/>
  <c r="U699" i="2"/>
  <c r="T699" i="2"/>
  <c r="R699" i="2"/>
  <c r="U698" i="2"/>
  <c r="T698" i="2"/>
  <c r="R698" i="2"/>
  <c r="U697" i="2"/>
  <c r="T697" i="2"/>
  <c r="R697" i="2"/>
  <c r="U696" i="2"/>
  <c r="T696" i="2"/>
  <c r="R696" i="2"/>
  <c r="U695" i="2"/>
  <c r="T695" i="2"/>
  <c r="R695" i="2"/>
  <c r="U694" i="2"/>
  <c r="T694" i="2"/>
  <c r="R694" i="2"/>
  <c r="U693" i="2"/>
  <c r="T693" i="2"/>
  <c r="R693" i="2"/>
  <c r="U692" i="2"/>
  <c r="T692" i="2"/>
  <c r="R692" i="2"/>
  <c r="U691" i="2"/>
  <c r="T691" i="2"/>
  <c r="R691" i="2"/>
  <c r="U690" i="2"/>
  <c r="T690" i="2"/>
  <c r="R690" i="2"/>
  <c r="U689" i="2"/>
  <c r="T689" i="2"/>
  <c r="R689" i="2"/>
  <c r="U688" i="2"/>
  <c r="T688" i="2"/>
  <c r="R688" i="2"/>
  <c r="U687" i="2"/>
  <c r="T687" i="2"/>
  <c r="R687" i="2"/>
  <c r="U686" i="2"/>
  <c r="T686" i="2"/>
  <c r="R686" i="2"/>
  <c r="U685" i="2"/>
  <c r="T685" i="2"/>
  <c r="R685" i="2"/>
  <c r="U684" i="2"/>
  <c r="T684" i="2"/>
  <c r="R684" i="2"/>
  <c r="U683" i="2"/>
  <c r="T683" i="2"/>
  <c r="R683" i="2"/>
  <c r="U682" i="2"/>
  <c r="T682" i="2"/>
  <c r="R682" i="2"/>
  <c r="U681" i="2"/>
  <c r="T681" i="2"/>
  <c r="R681" i="2"/>
  <c r="U680" i="2"/>
  <c r="T680" i="2"/>
  <c r="R680" i="2"/>
  <c r="U679" i="2"/>
  <c r="T679" i="2"/>
  <c r="R679" i="2"/>
  <c r="U678" i="2"/>
  <c r="T678" i="2"/>
  <c r="R678" i="2"/>
  <c r="U677" i="2"/>
  <c r="T677" i="2"/>
  <c r="R677" i="2"/>
  <c r="U676" i="2"/>
  <c r="T676" i="2"/>
  <c r="R676" i="2"/>
  <c r="U675" i="2"/>
  <c r="T675" i="2"/>
  <c r="R675" i="2"/>
  <c r="U674" i="2"/>
  <c r="T674" i="2"/>
  <c r="R674" i="2"/>
  <c r="U673" i="2"/>
  <c r="T673" i="2"/>
  <c r="R673" i="2"/>
  <c r="U672" i="2"/>
  <c r="T672" i="2"/>
  <c r="R672" i="2"/>
  <c r="U671" i="2"/>
  <c r="T671" i="2"/>
  <c r="R671" i="2"/>
  <c r="U670" i="2"/>
  <c r="T670" i="2"/>
  <c r="R670" i="2"/>
  <c r="U669" i="2"/>
  <c r="T669" i="2"/>
  <c r="R669" i="2"/>
  <c r="U668" i="2"/>
  <c r="T668" i="2"/>
  <c r="R668" i="2"/>
  <c r="U667" i="2"/>
  <c r="T667" i="2"/>
  <c r="R667" i="2"/>
  <c r="U666" i="2"/>
  <c r="T666" i="2"/>
  <c r="R666" i="2"/>
  <c r="U665" i="2"/>
  <c r="T665" i="2"/>
  <c r="R665" i="2"/>
  <c r="U664" i="2"/>
  <c r="T664" i="2"/>
  <c r="R664" i="2"/>
  <c r="U663" i="2"/>
  <c r="T663" i="2"/>
  <c r="R663" i="2"/>
  <c r="U662" i="2"/>
  <c r="T662" i="2"/>
  <c r="R662" i="2"/>
  <c r="U661" i="2"/>
  <c r="T661" i="2"/>
  <c r="R661" i="2"/>
  <c r="U660" i="2"/>
  <c r="T660" i="2"/>
  <c r="R660" i="2"/>
  <c r="U659" i="2"/>
  <c r="T659" i="2"/>
  <c r="R659" i="2"/>
  <c r="U658" i="2"/>
  <c r="T658" i="2"/>
  <c r="R658" i="2"/>
  <c r="U657" i="2"/>
  <c r="T657" i="2"/>
  <c r="R657" i="2"/>
  <c r="U656" i="2"/>
  <c r="T656" i="2"/>
  <c r="R656" i="2"/>
  <c r="U655" i="2"/>
  <c r="T655" i="2"/>
  <c r="R655" i="2"/>
  <c r="U654" i="2"/>
  <c r="T654" i="2"/>
  <c r="R654" i="2"/>
  <c r="U653" i="2"/>
  <c r="T653" i="2"/>
  <c r="R653" i="2"/>
  <c r="U652" i="2"/>
  <c r="T652" i="2"/>
  <c r="R652" i="2"/>
  <c r="U651" i="2"/>
  <c r="T651" i="2"/>
  <c r="R651" i="2"/>
  <c r="U650" i="2"/>
  <c r="T650" i="2"/>
  <c r="R650" i="2"/>
  <c r="U649" i="2"/>
  <c r="T649" i="2"/>
  <c r="R649" i="2"/>
  <c r="U648" i="2"/>
  <c r="T648" i="2"/>
  <c r="R648" i="2"/>
  <c r="U647" i="2"/>
  <c r="T647" i="2"/>
  <c r="R647" i="2"/>
  <c r="U646" i="2"/>
  <c r="T646" i="2"/>
  <c r="R646" i="2"/>
  <c r="U645" i="2"/>
  <c r="T645" i="2"/>
  <c r="R645" i="2"/>
  <c r="U644" i="2"/>
  <c r="T644" i="2"/>
  <c r="R644" i="2"/>
  <c r="U643" i="2"/>
  <c r="T643" i="2"/>
  <c r="R643" i="2"/>
  <c r="U642" i="2"/>
  <c r="T642" i="2"/>
  <c r="R642" i="2"/>
  <c r="U641" i="2"/>
  <c r="T641" i="2"/>
  <c r="R641" i="2"/>
  <c r="U640" i="2"/>
  <c r="T640" i="2"/>
  <c r="R640" i="2"/>
  <c r="U639" i="2"/>
  <c r="T639" i="2"/>
  <c r="R639" i="2"/>
  <c r="U638" i="2"/>
  <c r="T638" i="2"/>
  <c r="R638" i="2"/>
  <c r="U637" i="2"/>
  <c r="T637" i="2"/>
  <c r="R637" i="2"/>
  <c r="U636" i="2"/>
  <c r="T636" i="2"/>
  <c r="R636" i="2"/>
  <c r="U635" i="2"/>
  <c r="T635" i="2"/>
  <c r="R635" i="2"/>
  <c r="U634" i="2"/>
  <c r="T634" i="2"/>
  <c r="R634" i="2"/>
  <c r="U633" i="2"/>
  <c r="T633" i="2"/>
  <c r="R633" i="2"/>
  <c r="U632" i="2"/>
  <c r="T632" i="2"/>
  <c r="R632" i="2"/>
  <c r="U631" i="2"/>
  <c r="T631" i="2"/>
  <c r="R631" i="2"/>
  <c r="U630" i="2"/>
  <c r="T630" i="2"/>
  <c r="R630" i="2"/>
  <c r="U629" i="2"/>
  <c r="T629" i="2"/>
  <c r="R629" i="2"/>
  <c r="U628" i="2"/>
  <c r="T628" i="2"/>
  <c r="R628" i="2"/>
  <c r="U627" i="2"/>
  <c r="T627" i="2"/>
  <c r="R627" i="2"/>
  <c r="U626" i="2"/>
  <c r="T626" i="2"/>
  <c r="R626" i="2"/>
  <c r="U625" i="2"/>
  <c r="T625" i="2"/>
  <c r="R625" i="2"/>
  <c r="U624" i="2"/>
  <c r="T624" i="2"/>
  <c r="R624" i="2"/>
  <c r="U623" i="2"/>
  <c r="T623" i="2"/>
  <c r="R623" i="2"/>
  <c r="U622" i="2"/>
  <c r="T622" i="2"/>
  <c r="R622" i="2"/>
  <c r="U621" i="2"/>
  <c r="T621" i="2"/>
  <c r="R621" i="2"/>
  <c r="U620" i="2"/>
  <c r="T620" i="2"/>
  <c r="R620" i="2"/>
  <c r="U619" i="2"/>
  <c r="T619" i="2"/>
  <c r="R619" i="2"/>
  <c r="U618" i="2"/>
  <c r="T618" i="2"/>
  <c r="R618" i="2"/>
  <c r="U617" i="2"/>
  <c r="T617" i="2"/>
  <c r="R617" i="2"/>
  <c r="U616" i="2"/>
  <c r="T616" i="2"/>
  <c r="R616" i="2"/>
  <c r="U615" i="2"/>
  <c r="T615" i="2"/>
  <c r="R615" i="2"/>
  <c r="U614" i="2"/>
  <c r="T614" i="2"/>
  <c r="R614" i="2"/>
  <c r="U613" i="2"/>
  <c r="T613" i="2"/>
  <c r="R613" i="2"/>
  <c r="U612" i="2"/>
  <c r="T612" i="2"/>
  <c r="R612" i="2"/>
  <c r="U611" i="2"/>
  <c r="T611" i="2"/>
  <c r="R611" i="2"/>
  <c r="U610" i="2"/>
  <c r="T610" i="2"/>
  <c r="R610" i="2"/>
  <c r="U609" i="2"/>
  <c r="T609" i="2"/>
  <c r="R609" i="2"/>
  <c r="U608" i="2"/>
  <c r="T608" i="2"/>
  <c r="R608" i="2"/>
  <c r="U607" i="2"/>
  <c r="T607" i="2"/>
  <c r="R607" i="2"/>
  <c r="U606" i="2"/>
  <c r="T606" i="2"/>
  <c r="R606" i="2"/>
  <c r="U605" i="2"/>
  <c r="T605" i="2"/>
  <c r="R605" i="2"/>
  <c r="U604" i="2"/>
  <c r="T604" i="2"/>
  <c r="R604" i="2"/>
  <c r="U603" i="2"/>
  <c r="T603" i="2"/>
  <c r="R603" i="2"/>
  <c r="U602" i="2"/>
  <c r="T602" i="2"/>
  <c r="R602" i="2"/>
  <c r="U601" i="2"/>
  <c r="T601" i="2"/>
  <c r="R601" i="2"/>
  <c r="U600" i="2"/>
  <c r="T600" i="2"/>
  <c r="R600" i="2"/>
  <c r="U599" i="2"/>
  <c r="T599" i="2"/>
  <c r="R599" i="2"/>
  <c r="U598" i="2"/>
  <c r="T598" i="2"/>
  <c r="R598" i="2"/>
  <c r="U597" i="2"/>
  <c r="T597" i="2"/>
  <c r="R597" i="2"/>
  <c r="U596" i="2"/>
  <c r="T596" i="2"/>
  <c r="R596" i="2"/>
  <c r="U595" i="2"/>
  <c r="T595" i="2"/>
  <c r="R595" i="2"/>
  <c r="U594" i="2"/>
  <c r="T594" i="2"/>
  <c r="R594" i="2"/>
  <c r="U593" i="2"/>
  <c r="T593" i="2"/>
  <c r="R593" i="2"/>
  <c r="U592" i="2"/>
  <c r="T592" i="2"/>
  <c r="R592" i="2"/>
  <c r="U591" i="2"/>
  <c r="T591" i="2"/>
  <c r="R591" i="2"/>
  <c r="U590" i="2"/>
  <c r="T590" i="2"/>
  <c r="R590" i="2"/>
  <c r="U589" i="2"/>
  <c r="T589" i="2"/>
  <c r="R589" i="2"/>
  <c r="U588" i="2"/>
  <c r="T588" i="2"/>
  <c r="R588" i="2"/>
  <c r="U587" i="2"/>
  <c r="T587" i="2"/>
  <c r="R587" i="2"/>
  <c r="U586" i="2"/>
  <c r="T586" i="2"/>
  <c r="R586" i="2"/>
  <c r="U585" i="2"/>
  <c r="T585" i="2"/>
  <c r="R585" i="2"/>
  <c r="U584" i="2"/>
  <c r="T584" i="2"/>
  <c r="R584" i="2"/>
  <c r="U583" i="2"/>
  <c r="T583" i="2"/>
  <c r="R583" i="2"/>
  <c r="U582" i="2"/>
  <c r="T582" i="2"/>
  <c r="R582" i="2"/>
  <c r="U581" i="2"/>
  <c r="T581" i="2"/>
  <c r="R581" i="2"/>
  <c r="U580" i="2"/>
  <c r="T580" i="2"/>
  <c r="R580" i="2"/>
  <c r="U579" i="2"/>
  <c r="T579" i="2"/>
  <c r="R579" i="2"/>
  <c r="U578" i="2"/>
  <c r="T578" i="2"/>
  <c r="R578" i="2"/>
  <c r="U577" i="2"/>
  <c r="T577" i="2"/>
  <c r="R577" i="2"/>
  <c r="U576" i="2"/>
  <c r="T576" i="2"/>
  <c r="R576" i="2"/>
  <c r="U575" i="2"/>
  <c r="T575" i="2"/>
  <c r="R575" i="2"/>
  <c r="U574" i="2"/>
  <c r="T574" i="2"/>
  <c r="R574" i="2"/>
  <c r="U573" i="2"/>
  <c r="T573" i="2"/>
  <c r="R573" i="2"/>
  <c r="U572" i="2"/>
  <c r="T572" i="2"/>
  <c r="R572" i="2"/>
  <c r="U571" i="2"/>
  <c r="T571" i="2"/>
  <c r="R571" i="2"/>
  <c r="U570" i="2"/>
  <c r="T570" i="2"/>
  <c r="R570" i="2"/>
  <c r="U569" i="2"/>
  <c r="T569" i="2"/>
  <c r="R569" i="2"/>
  <c r="U568" i="2"/>
  <c r="T568" i="2"/>
  <c r="R568" i="2"/>
  <c r="U567" i="2"/>
  <c r="T567" i="2"/>
  <c r="R567" i="2"/>
  <c r="U566" i="2"/>
  <c r="T566" i="2"/>
  <c r="R566" i="2"/>
  <c r="U565" i="2"/>
  <c r="T565" i="2"/>
  <c r="R565" i="2"/>
  <c r="U564" i="2"/>
  <c r="T564" i="2"/>
  <c r="R564" i="2"/>
  <c r="U563" i="2"/>
  <c r="T563" i="2"/>
  <c r="R563" i="2"/>
  <c r="U562" i="2"/>
  <c r="T562" i="2"/>
  <c r="R562" i="2"/>
  <c r="U561" i="2"/>
  <c r="T561" i="2"/>
  <c r="R561" i="2"/>
  <c r="U560" i="2"/>
  <c r="T560" i="2"/>
  <c r="R560" i="2"/>
  <c r="U559" i="2"/>
  <c r="T559" i="2"/>
  <c r="R559" i="2"/>
  <c r="U558" i="2"/>
  <c r="T558" i="2"/>
  <c r="R558" i="2"/>
  <c r="U557" i="2"/>
  <c r="T557" i="2"/>
  <c r="R557" i="2"/>
  <c r="U556" i="2"/>
  <c r="T556" i="2"/>
  <c r="R556" i="2"/>
  <c r="U555" i="2"/>
  <c r="T555" i="2"/>
  <c r="R555" i="2"/>
  <c r="U554" i="2"/>
  <c r="T554" i="2"/>
  <c r="R554" i="2"/>
  <c r="U553" i="2"/>
  <c r="T553" i="2"/>
  <c r="R553" i="2"/>
  <c r="U552" i="2"/>
  <c r="T552" i="2"/>
  <c r="R552" i="2"/>
  <c r="U551" i="2"/>
  <c r="T551" i="2"/>
  <c r="R551" i="2"/>
  <c r="U550" i="2"/>
  <c r="T550" i="2"/>
  <c r="R550" i="2"/>
  <c r="U549" i="2"/>
  <c r="T549" i="2"/>
  <c r="R549" i="2"/>
  <c r="U548" i="2"/>
  <c r="T548" i="2"/>
  <c r="R548" i="2"/>
  <c r="U547" i="2"/>
  <c r="T547" i="2"/>
  <c r="R547" i="2"/>
  <c r="U546" i="2"/>
  <c r="T546" i="2"/>
  <c r="R546" i="2"/>
  <c r="U545" i="2"/>
  <c r="T545" i="2"/>
  <c r="R545" i="2"/>
  <c r="U544" i="2"/>
  <c r="T544" i="2"/>
  <c r="R544" i="2"/>
  <c r="U543" i="2"/>
  <c r="T543" i="2"/>
  <c r="R543" i="2"/>
  <c r="U542" i="2"/>
  <c r="T542" i="2"/>
  <c r="R542" i="2"/>
  <c r="U541" i="2"/>
  <c r="T541" i="2"/>
  <c r="R541" i="2"/>
  <c r="U540" i="2"/>
  <c r="T540" i="2"/>
  <c r="R540" i="2"/>
  <c r="U539" i="2"/>
  <c r="T539" i="2"/>
  <c r="R539" i="2"/>
  <c r="U538" i="2"/>
  <c r="T538" i="2"/>
  <c r="R538" i="2"/>
  <c r="U537" i="2"/>
  <c r="T537" i="2"/>
  <c r="R537" i="2"/>
  <c r="U536" i="2"/>
  <c r="T536" i="2"/>
  <c r="R536" i="2"/>
  <c r="U535" i="2"/>
  <c r="T535" i="2"/>
  <c r="R535" i="2"/>
  <c r="U534" i="2"/>
  <c r="T534" i="2"/>
  <c r="R534" i="2"/>
  <c r="U533" i="2"/>
  <c r="T533" i="2"/>
  <c r="R533" i="2"/>
  <c r="U532" i="2"/>
  <c r="T532" i="2"/>
  <c r="R532" i="2"/>
  <c r="U531" i="2"/>
  <c r="T531" i="2"/>
  <c r="R531" i="2"/>
  <c r="U530" i="2"/>
  <c r="T530" i="2"/>
  <c r="R530" i="2"/>
  <c r="U529" i="2"/>
  <c r="T529" i="2"/>
  <c r="R529" i="2"/>
  <c r="U528" i="2"/>
  <c r="T528" i="2"/>
  <c r="R528" i="2"/>
  <c r="U527" i="2"/>
  <c r="T527" i="2"/>
  <c r="R527" i="2"/>
  <c r="U526" i="2"/>
  <c r="T526" i="2"/>
  <c r="R526" i="2"/>
  <c r="U525" i="2"/>
  <c r="T525" i="2"/>
  <c r="R525" i="2"/>
  <c r="U524" i="2"/>
  <c r="T524" i="2"/>
  <c r="R524" i="2"/>
  <c r="U523" i="2"/>
  <c r="T523" i="2"/>
  <c r="R523" i="2"/>
  <c r="U522" i="2"/>
  <c r="T522" i="2"/>
  <c r="R522" i="2"/>
  <c r="U521" i="2"/>
  <c r="T521" i="2"/>
  <c r="R521" i="2"/>
  <c r="U520" i="2"/>
  <c r="T520" i="2"/>
  <c r="R520" i="2"/>
  <c r="U519" i="2"/>
  <c r="T519" i="2"/>
  <c r="R519" i="2"/>
  <c r="U518" i="2"/>
  <c r="T518" i="2"/>
  <c r="R518" i="2"/>
  <c r="U517" i="2"/>
  <c r="T517" i="2"/>
  <c r="R517" i="2"/>
  <c r="U516" i="2"/>
  <c r="T516" i="2"/>
  <c r="R516" i="2"/>
  <c r="U515" i="2"/>
  <c r="T515" i="2"/>
  <c r="R515" i="2"/>
  <c r="U514" i="2"/>
  <c r="T514" i="2"/>
  <c r="R514" i="2"/>
  <c r="U513" i="2"/>
  <c r="T513" i="2"/>
  <c r="R513" i="2"/>
  <c r="U512" i="2"/>
  <c r="T512" i="2"/>
  <c r="R512" i="2"/>
  <c r="U511" i="2"/>
  <c r="T511" i="2"/>
  <c r="R511" i="2"/>
  <c r="U510" i="2"/>
  <c r="T510" i="2"/>
  <c r="R510" i="2"/>
  <c r="U509" i="2"/>
  <c r="T509" i="2"/>
  <c r="R509" i="2"/>
  <c r="U508" i="2"/>
  <c r="T508" i="2"/>
  <c r="R508" i="2"/>
  <c r="U507" i="2"/>
  <c r="T507" i="2"/>
  <c r="R507" i="2"/>
  <c r="U506" i="2"/>
  <c r="T506" i="2"/>
  <c r="R506" i="2"/>
  <c r="U505" i="2"/>
  <c r="T505" i="2"/>
  <c r="R505" i="2"/>
  <c r="U504" i="2"/>
  <c r="T504" i="2"/>
  <c r="R504" i="2"/>
  <c r="U503" i="2"/>
  <c r="T503" i="2"/>
  <c r="R503" i="2"/>
  <c r="U502" i="2"/>
  <c r="T502" i="2"/>
  <c r="R502" i="2"/>
  <c r="U501" i="2"/>
  <c r="T501" i="2"/>
  <c r="R501" i="2"/>
  <c r="U500" i="2"/>
  <c r="T500" i="2"/>
  <c r="R500" i="2"/>
  <c r="U499" i="2"/>
  <c r="T499" i="2"/>
  <c r="R499" i="2"/>
  <c r="U498" i="2"/>
  <c r="T498" i="2"/>
  <c r="R498" i="2"/>
  <c r="U497" i="2"/>
  <c r="T497" i="2"/>
  <c r="R497" i="2"/>
  <c r="U496" i="2"/>
  <c r="T496" i="2"/>
  <c r="R496" i="2"/>
  <c r="U495" i="2"/>
  <c r="T495" i="2"/>
  <c r="R495" i="2"/>
  <c r="U494" i="2"/>
  <c r="T494" i="2"/>
  <c r="R494" i="2"/>
  <c r="U493" i="2"/>
  <c r="T493" i="2"/>
  <c r="R493" i="2"/>
  <c r="U492" i="2"/>
  <c r="T492" i="2"/>
  <c r="R492" i="2"/>
  <c r="U491" i="2"/>
  <c r="T491" i="2"/>
  <c r="R491" i="2"/>
  <c r="U490" i="2"/>
  <c r="T490" i="2"/>
  <c r="R490" i="2"/>
  <c r="U489" i="2"/>
  <c r="T489" i="2"/>
  <c r="R489" i="2"/>
  <c r="U488" i="2"/>
  <c r="T488" i="2"/>
  <c r="R488" i="2"/>
  <c r="U487" i="2"/>
  <c r="T487" i="2"/>
  <c r="R487" i="2"/>
  <c r="U486" i="2"/>
  <c r="T486" i="2"/>
  <c r="R486" i="2"/>
  <c r="U485" i="2"/>
  <c r="T485" i="2"/>
  <c r="R485" i="2"/>
  <c r="U484" i="2"/>
  <c r="T484" i="2"/>
  <c r="R484" i="2"/>
  <c r="U483" i="2"/>
  <c r="T483" i="2"/>
  <c r="R483" i="2"/>
  <c r="U482" i="2"/>
  <c r="T482" i="2"/>
  <c r="R482" i="2"/>
  <c r="U481" i="2"/>
  <c r="T481" i="2"/>
  <c r="R481" i="2"/>
  <c r="U480" i="2"/>
  <c r="T480" i="2"/>
  <c r="R480" i="2"/>
  <c r="U479" i="2"/>
  <c r="T479" i="2"/>
  <c r="R479" i="2"/>
  <c r="U478" i="2"/>
  <c r="T478" i="2"/>
  <c r="R478" i="2"/>
  <c r="U477" i="2"/>
  <c r="T477" i="2"/>
  <c r="R477" i="2"/>
  <c r="U476" i="2"/>
  <c r="T476" i="2"/>
  <c r="R476" i="2"/>
  <c r="U475" i="2"/>
  <c r="T475" i="2"/>
  <c r="R475" i="2"/>
  <c r="U474" i="2"/>
  <c r="T474" i="2"/>
  <c r="R474" i="2"/>
  <c r="U473" i="2"/>
  <c r="T473" i="2"/>
  <c r="R473" i="2"/>
  <c r="U472" i="2"/>
  <c r="T472" i="2"/>
  <c r="R472" i="2"/>
  <c r="U471" i="2"/>
  <c r="T471" i="2"/>
  <c r="R471" i="2"/>
  <c r="U470" i="2"/>
  <c r="T470" i="2"/>
  <c r="R470" i="2"/>
  <c r="U469" i="2"/>
  <c r="T469" i="2"/>
  <c r="R469" i="2"/>
  <c r="U468" i="2"/>
  <c r="T468" i="2"/>
  <c r="R468" i="2"/>
  <c r="U467" i="2"/>
  <c r="T467" i="2"/>
  <c r="R467" i="2"/>
  <c r="U466" i="2"/>
  <c r="T466" i="2"/>
  <c r="R466" i="2"/>
  <c r="U465" i="2"/>
  <c r="T465" i="2"/>
  <c r="R465" i="2"/>
  <c r="U464" i="2"/>
  <c r="T464" i="2"/>
  <c r="R464" i="2"/>
  <c r="U463" i="2"/>
  <c r="T463" i="2"/>
  <c r="R463" i="2"/>
  <c r="U462" i="2"/>
  <c r="T462" i="2"/>
  <c r="R462" i="2"/>
  <c r="U461" i="2"/>
  <c r="T461" i="2"/>
  <c r="R461" i="2"/>
  <c r="U460" i="2"/>
  <c r="T460" i="2"/>
  <c r="R460" i="2"/>
  <c r="U459" i="2"/>
  <c r="T459" i="2"/>
  <c r="R459" i="2"/>
  <c r="U458" i="2"/>
  <c r="T458" i="2"/>
  <c r="R458" i="2"/>
  <c r="U457" i="2"/>
  <c r="T457" i="2"/>
  <c r="R457" i="2"/>
  <c r="U456" i="2"/>
  <c r="T456" i="2"/>
  <c r="R456" i="2"/>
  <c r="U455" i="2"/>
  <c r="T455" i="2"/>
  <c r="R455" i="2"/>
  <c r="U454" i="2"/>
  <c r="T454" i="2"/>
  <c r="R454" i="2"/>
  <c r="U453" i="2"/>
  <c r="T453" i="2"/>
  <c r="R453" i="2"/>
  <c r="U452" i="2"/>
  <c r="T452" i="2"/>
  <c r="R452" i="2"/>
  <c r="U451" i="2"/>
  <c r="T451" i="2"/>
  <c r="R451" i="2"/>
  <c r="U450" i="2"/>
  <c r="T450" i="2"/>
  <c r="R450" i="2"/>
  <c r="U449" i="2"/>
  <c r="T449" i="2"/>
  <c r="R449" i="2"/>
  <c r="U448" i="2"/>
  <c r="T448" i="2"/>
  <c r="R448" i="2"/>
  <c r="U447" i="2"/>
  <c r="T447" i="2"/>
  <c r="R447" i="2"/>
  <c r="U446" i="2"/>
  <c r="T446" i="2"/>
  <c r="R446" i="2"/>
  <c r="U445" i="2"/>
  <c r="T445" i="2"/>
  <c r="R445" i="2"/>
  <c r="U444" i="2"/>
  <c r="T444" i="2"/>
  <c r="R444" i="2"/>
  <c r="U443" i="2"/>
  <c r="T443" i="2"/>
  <c r="R443" i="2"/>
  <c r="U442" i="2"/>
  <c r="T442" i="2"/>
  <c r="R442" i="2"/>
  <c r="U441" i="2"/>
  <c r="T441" i="2"/>
  <c r="R441" i="2"/>
  <c r="U440" i="2"/>
  <c r="T440" i="2"/>
  <c r="R440" i="2"/>
  <c r="U439" i="2"/>
  <c r="T439" i="2"/>
  <c r="R439" i="2"/>
  <c r="U438" i="2"/>
  <c r="T438" i="2"/>
  <c r="R438" i="2"/>
  <c r="U437" i="2"/>
  <c r="T437" i="2"/>
  <c r="R437" i="2"/>
  <c r="U436" i="2"/>
  <c r="T436" i="2"/>
  <c r="R436" i="2"/>
  <c r="U435" i="2"/>
  <c r="T435" i="2"/>
  <c r="R435" i="2"/>
  <c r="U434" i="2"/>
  <c r="T434" i="2"/>
  <c r="R434" i="2"/>
  <c r="U433" i="2"/>
  <c r="T433" i="2"/>
  <c r="R433" i="2"/>
  <c r="U432" i="2"/>
  <c r="T432" i="2"/>
  <c r="R432" i="2"/>
  <c r="U431" i="2"/>
  <c r="T431" i="2"/>
  <c r="R431" i="2"/>
  <c r="U430" i="2"/>
  <c r="T430" i="2"/>
  <c r="R430" i="2"/>
  <c r="U429" i="2"/>
  <c r="T429" i="2"/>
  <c r="R429" i="2"/>
  <c r="U428" i="2"/>
  <c r="T428" i="2"/>
  <c r="R428" i="2"/>
  <c r="U427" i="2"/>
  <c r="T427" i="2"/>
  <c r="R427" i="2"/>
  <c r="U426" i="2"/>
  <c r="T426" i="2"/>
  <c r="R426" i="2"/>
  <c r="U425" i="2"/>
  <c r="T425" i="2"/>
  <c r="R425" i="2"/>
  <c r="U424" i="2"/>
  <c r="T424" i="2"/>
  <c r="R424" i="2"/>
  <c r="U423" i="2"/>
  <c r="T423" i="2"/>
  <c r="R423" i="2"/>
  <c r="U422" i="2"/>
  <c r="T422" i="2"/>
  <c r="R422" i="2"/>
  <c r="U421" i="2"/>
  <c r="T421" i="2"/>
  <c r="R421" i="2"/>
  <c r="U420" i="2"/>
  <c r="T420" i="2"/>
  <c r="R420" i="2"/>
  <c r="U419" i="2"/>
  <c r="T419" i="2"/>
  <c r="R419" i="2"/>
  <c r="U418" i="2"/>
  <c r="T418" i="2"/>
  <c r="R418" i="2"/>
  <c r="U417" i="2"/>
  <c r="T417" i="2"/>
  <c r="R417" i="2"/>
  <c r="U416" i="2"/>
  <c r="T416" i="2"/>
  <c r="R416" i="2"/>
  <c r="U415" i="2"/>
  <c r="T415" i="2"/>
  <c r="R415" i="2"/>
  <c r="U414" i="2"/>
  <c r="T414" i="2"/>
  <c r="R414" i="2"/>
  <c r="U413" i="2"/>
  <c r="T413" i="2"/>
  <c r="R413" i="2"/>
  <c r="U412" i="2"/>
  <c r="T412" i="2"/>
  <c r="R412" i="2"/>
  <c r="U411" i="2"/>
  <c r="T411" i="2"/>
  <c r="R411" i="2"/>
  <c r="U410" i="2"/>
  <c r="T410" i="2"/>
  <c r="R410" i="2"/>
  <c r="U409" i="2"/>
  <c r="T409" i="2"/>
  <c r="R409" i="2"/>
  <c r="U408" i="2"/>
  <c r="T408" i="2"/>
  <c r="R408" i="2"/>
  <c r="U407" i="2"/>
  <c r="T407" i="2"/>
  <c r="R407" i="2"/>
  <c r="U406" i="2"/>
  <c r="T406" i="2"/>
  <c r="R406" i="2"/>
  <c r="U405" i="2"/>
  <c r="T405" i="2"/>
  <c r="R405" i="2"/>
  <c r="U404" i="2"/>
  <c r="T404" i="2"/>
  <c r="R404" i="2"/>
  <c r="U403" i="2"/>
  <c r="T403" i="2"/>
  <c r="R403" i="2"/>
  <c r="U402" i="2"/>
  <c r="T402" i="2"/>
  <c r="R402" i="2"/>
  <c r="U401" i="2"/>
  <c r="T401" i="2"/>
  <c r="R401" i="2"/>
  <c r="U400" i="2"/>
  <c r="T400" i="2"/>
  <c r="R400" i="2"/>
  <c r="U399" i="2"/>
  <c r="T399" i="2"/>
  <c r="R399" i="2"/>
  <c r="U398" i="2"/>
  <c r="T398" i="2"/>
  <c r="R398" i="2"/>
  <c r="U397" i="2"/>
  <c r="T397" i="2"/>
  <c r="R397" i="2"/>
  <c r="U396" i="2"/>
  <c r="T396" i="2"/>
  <c r="R396" i="2"/>
  <c r="U395" i="2"/>
  <c r="T395" i="2"/>
  <c r="R395" i="2"/>
  <c r="U394" i="2"/>
  <c r="T394" i="2"/>
  <c r="R394" i="2"/>
  <c r="U393" i="2"/>
  <c r="T393" i="2"/>
  <c r="R393" i="2"/>
  <c r="U392" i="2"/>
  <c r="T392" i="2"/>
  <c r="R392" i="2"/>
  <c r="U391" i="2"/>
  <c r="T391" i="2"/>
  <c r="R391" i="2"/>
  <c r="U390" i="2"/>
  <c r="T390" i="2"/>
  <c r="R390" i="2"/>
  <c r="U389" i="2"/>
  <c r="T389" i="2"/>
  <c r="R389" i="2"/>
  <c r="U388" i="2"/>
  <c r="T388" i="2"/>
  <c r="R388" i="2"/>
  <c r="U387" i="2"/>
  <c r="T387" i="2"/>
  <c r="R387" i="2"/>
  <c r="U386" i="2"/>
  <c r="T386" i="2"/>
  <c r="R386" i="2"/>
  <c r="U385" i="2"/>
  <c r="T385" i="2"/>
  <c r="R385" i="2"/>
  <c r="U384" i="2"/>
  <c r="T384" i="2"/>
  <c r="R384" i="2"/>
  <c r="U383" i="2"/>
  <c r="T383" i="2"/>
  <c r="R383" i="2"/>
  <c r="U382" i="2"/>
  <c r="T382" i="2"/>
  <c r="R382" i="2"/>
  <c r="U381" i="2"/>
  <c r="T381" i="2"/>
  <c r="R381" i="2"/>
  <c r="U380" i="2"/>
  <c r="T380" i="2"/>
  <c r="R380" i="2"/>
  <c r="U379" i="2"/>
  <c r="T379" i="2"/>
  <c r="R379" i="2"/>
  <c r="U378" i="2"/>
  <c r="T378" i="2"/>
  <c r="R378" i="2"/>
  <c r="U377" i="2"/>
  <c r="T377" i="2"/>
  <c r="R377" i="2"/>
  <c r="U376" i="2"/>
  <c r="T376" i="2"/>
  <c r="R376" i="2"/>
  <c r="U375" i="2"/>
  <c r="T375" i="2"/>
  <c r="R375" i="2"/>
  <c r="U374" i="2"/>
  <c r="T374" i="2"/>
  <c r="R374" i="2"/>
  <c r="U373" i="2"/>
  <c r="T373" i="2"/>
  <c r="R373" i="2"/>
  <c r="U372" i="2"/>
  <c r="T372" i="2"/>
  <c r="R372" i="2"/>
  <c r="U371" i="2"/>
  <c r="T371" i="2"/>
  <c r="R371" i="2"/>
  <c r="U370" i="2"/>
  <c r="T370" i="2"/>
  <c r="R370" i="2"/>
  <c r="U369" i="2"/>
  <c r="T369" i="2"/>
  <c r="R369" i="2"/>
  <c r="U368" i="2"/>
  <c r="T368" i="2"/>
  <c r="R368" i="2"/>
  <c r="U367" i="2"/>
  <c r="T367" i="2"/>
  <c r="R367" i="2"/>
  <c r="U366" i="2"/>
  <c r="T366" i="2"/>
  <c r="R366" i="2"/>
  <c r="U365" i="2"/>
  <c r="T365" i="2"/>
  <c r="R365" i="2"/>
  <c r="U364" i="2"/>
  <c r="T364" i="2"/>
  <c r="R364" i="2"/>
  <c r="U363" i="2"/>
  <c r="T363" i="2"/>
  <c r="R363" i="2"/>
  <c r="U362" i="2"/>
  <c r="T362" i="2"/>
  <c r="R362" i="2"/>
  <c r="U361" i="2"/>
  <c r="T361" i="2"/>
  <c r="R361" i="2"/>
  <c r="U360" i="2"/>
  <c r="T360" i="2"/>
  <c r="R360" i="2"/>
  <c r="U359" i="2"/>
  <c r="T359" i="2"/>
  <c r="R359" i="2"/>
  <c r="U358" i="2"/>
  <c r="T358" i="2"/>
  <c r="R358" i="2"/>
  <c r="U357" i="2"/>
  <c r="T357" i="2"/>
  <c r="R357" i="2"/>
  <c r="U356" i="2"/>
  <c r="T356" i="2"/>
  <c r="R356" i="2"/>
  <c r="U355" i="2"/>
  <c r="T355" i="2"/>
  <c r="R355" i="2"/>
  <c r="U354" i="2"/>
  <c r="T354" i="2"/>
  <c r="R354" i="2"/>
  <c r="U353" i="2"/>
  <c r="T353" i="2"/>
  <c r="R353" i="2"/>
  <c r="U352" i="2"/>
  <c r="T352" i="2"/>
  <c r="R352" i="2"/>
  <c r="U351" i="2"/>
  <c r="T351" i="2"/>
  <c r="R351" i="2"/>
  <c r="U350" i="2"/>
  <c r="T350" i="2"/>
  <c r="R350" i="2"/>
  <c r="U349" i="2"/>
  <c r="T349" i="2"/>
  <c r="R349" i="2"/>
  <c r="U348" i="2"/>
  <c r="T348" i="2"/>
  <c r="R348" i="2"/>
  <c r="U347" i="2"/>
  <c r="T347" i="2"/>
  <c r="R347" i="2"/>
  <c r="U346" i="2"/>
  <c r="T346" i="2"/>
  <c r="R346" i="2"/>
  <c r="U345" i="2"/>
  <c r="T345" i="2"/>
  <c r="R345" i="2"/>
  <c r="U344" i="2"/>
  <c r="T344" i="2"/>
  <c r="R344" i="2"/>
  <c r="U343" i="2"/>
  <c r="T343" i="2"/>
  <c r="R343" i="2"/>
  <c r="U342" i="2"/>
  <c r="T342" i="2"/>
  <c r="R342" i="2"/>
  <c r="U341" i="2"/>
  <c r="T341" i="2"/>
  <c r="R341" i="2"/>
  <c r="U340" i="2"/>
  <c r="T340" i="2"/>
  <c r="R340" i="2"/>
  <c r="U339" i="2"/>
  <c r="T339" i="2"/>
  <c r="R339" i="2"/>
  <c r="U338" i="2"/>
  <c r="T338" i="2"/>
  <c r="R338" i="2"/>
  <c r="U337" i="2"/>
  <c r="T337" i="2"/>
  <c r="R337" i="2"/>
  <c r="U336" i="2"/>
  <c r="T336" i="2"/>
  <c r="R336" i="2"/>
  <c r="U335" i="2"/>
  <c r="T335" i="2"/>
  <c r="R335" i="2"/>
  <c r="U334" i="2"/>
  <c r="T334" i="2"/>
  <c r="R334" i="2"/>
  <c r="U333" i="2"/>
  <c r="T333" i="2"/>
  <c r="R333" i="2"/>
  <c r="U332" i="2"/>
  <c r="T332" i="2"/>
  <c r="R332" i="2"/>
  <c r="U331" i="2"/>
  <c r="T331" i="2"/>
  <c r="R331" i="2"/>
  <c r="U330" i="2"/>
  <c r="T330" i="2"/>
  <c r="R330" i="2"/>
  <c r="U329" i="2"/>
  <c r="T329" i="2"/>
  <c r="R329" i="2"/>
  <c r="U328" i="2"/>
  <c r="T328" i="2"/>
  <c r="R328" i="2"/>
  <c r="U327" i="2"/>
  <c r="T327" i="2"/>
  <c r="R327" i="2"/>
  <c r="U326" i="2"/>
  <c r="T326" i="2"/>
  <c r="R326" i="2"/>
  <c r="U325" i="2"/>
  <c r="T325" i="2"/>
  <c r="R325" i="2"/>
  <c r="U324" i="2"/>
  <c r="T324" i="2"/>
  <c r="R324" i="2"/>
  <c r="U323" i="2"/>
  <c r="T323" i="2"/>
  <c r="R323" i="2"/>
  <c r="U322" i="2"/>
  <c r="T322" i="2"/>
  <c r="R322" i="2"/>
  <c r="U321" i="2"/>
  <c r="T321" i="2"/>
  <c r="R321" i="2"/>
  <c r="U320" i="2"/>
  <c r="T320" i="2"/>
  <c r="R320" i="2"/>
  <c r="U319" i="2"/>
  <c r="T319" i="2"/>
  <c r="R319" i="2"/>
  <c r="U318" i="2"/>
  <c r="T318" i="2"/>
  <c r="R318" i="2"/>
  <c r="U317" i="2"/>
  <c r="T317" i="2"/>
  <c r="R317" i="2"/>
  <c r="U316" i="2"/>
  <c r="T316" i="2"/>
  <c r="R316" i="2"/>
  <c r="U315" i="2"/>
  <c r="T315" i="2"/>
  <c r="R315" i="2"/>
  <c r="U314" i="2"/>
  <c r="T314" i="2"/>
  <c r="R314" i="2"/>
  <c r="U313" i="2"/>
  <c r="T313" i="2"/>
  <c r="R313" i="2"/>
  <c r="U312" i="2"/>
  <c r="T312" i="2"/>
  <c r="R312" i="2"/>
  <c r="U311" i="2"/>
  <c r="T311" i="2"/>
  <c r="R311" i="2"/>
  <c r="U310" i="2"/>
  <c r="T310" i="2"/>
  <c r="R310" i="2"/>
  <c r="U309" i="2"/>
  <c r="T309" i="2"/>
  <c r="R309" i="2"/>
  <c r="U308" i="2"/>
  <c r="T308" i="2"/>
  <c r="R308" i="2"/>
  <c r="U307" i="2"/>
  <c r="T307" i="2"/>
  <c r="R307" i="2"/>
  <c r="U306" i="2"/>
  <c r="T306" i="2"/>
  <c r="R306" i="2"/>
  <c r="U305" i="2"/>
  <c r="T305" i="2"/>
  <c r="R305" i="2"/>
  <c r="U304" i="2"/>
  <c r="T304" i="2"/>
  <c r="R304" i="2"/>
  <c r="U303" i="2"/>
  <c r="T303" i="2"/>
  <c r="R303" i="2"/>
  <c r="U302" i="2"/>
  <c r="T302" i="2"/>
  <c r="R302" i="2"/>
  <c r="U301" i="2"/>
  <c r="T301" i="2"/>
  <c r="R301" i="2"/>
  <c r="U300" i="2"/>
  <c r="T300" i="2"/>
  <c r="R300" i="2"/>
  <c r="U299" i="2"/>
  <c r="T299" i="2"/>
  <c r="R299" i="2"/>
  <c r="U298" i="2"/>
  <c r="T298" i="2"/>
  <c r="R298" i="2"/>
  <c r="U297" i="2"/>
  <c r="T297" i="2"/>
  <c r="R297" i="2"/>
  <c r="U296" i="2"/>
  <c r="T296" i="2"/>
  <c r="R296" i="2"/>
  <c r="U295" i="2"/>
  <c r="T295" i="2"/>
  <c r="R295" i="2"/>
  <c r="U294" i="2"/>
  <c r="T294" i="2"/>
  <c r="R294" i="2"/>
  <c r="U293" i="2"/>
  <c r="T293" i="2"/>
  <c r="R293" i="2"/>
  <c r="U292" i="2"/>
  <c r="T292" i="2"/>
  <c r="R292" i="2"/>
  <c r="U291" i="2"/>
  <c r="T291" i="2"/>
  <c r="R291" i="2"/>
  <c r="U290" i="2"/>
  <c r="T290" i="2"/>
  <c r="R290" i="2"/>
  <c r="U289" i="2"/>
  <c r="T289" i="2"/>
  <c r="R289" i="2"/>
  <c r="U288" i="2"/>
  <c r="T288" i="2"/>
  <c r="R288" i="2"/>
  <c r="U287" i="2"/>
  <c r="T287" i="2"/>
  <c r="R287" i="2"/>
  <c r="U286" i="2"/>
  <c r="T286" i="2"/>
  <c r="R286" i="2"/>
  <c r="U285" i="2"/>
  <c r="T285" i="2"/>
  <c r="R285" i="2"/>
  <c r="U284" i="2"/>
  <c r="T284" i="2"/>
  <c r="R284" i="2"/>
  <c r="U283" i="2"/>
  <c r="T283" i="2"/>
  <c r="R283" i="2"/>
  <c r="U282" i="2"/>
  <c r="T282" i="2"/>
  <c r="R282" i="2"/>
  <c r="U281" i="2"/>
  <c r="T281" i="2"/>
  <c r="R281" i="2"/>
  <c r="U280" i="2"/>
  <c r="T280" i="2"/>
  <c r="R280" i="2"/>
  <c r="U279" i="2"/>
  <c r="T279" i="2"/>
  <c r="R279" i="2"/>
  <c r="U278" i="2"/>
  <c r="T278" i="2"/>
  <c r="R278" i="2"/>
  <c r="U277" i="2"/>
  <c r="T277" i="2"/>
  <c r="R277" i="2"/>
  <c r="U276" i="2"/>
  <c r="T276" i="2"/>
  <c r="R276" i="2"/>
  <c r="U275" i="2"/>
  <c r="T275" i="2"/>
  <c r="R275" i="2"/>
  <c r="U274" i="2"/>
  <c r="T274" i="2"/>
  <c r="R274" i="2"/>
  <c r="U273" i="2"/>
  <c r="T273" i="2"/>
  <c r="R273" i="2"/>
  <c r="U272" i="2"/>
  <c r="T272" i="2"/>
  <c r="R272" i="2"/>
  <c r="U271" i="2"/>
  <c r="T271" i="2"/>
  <c r="R271" i="2"/>
  <c r="U270" i="2"/>
  <c r="T270" i="2"/>
  <c r="R270" i="2"/>
  <c r="U269" i="2"/>
  <c r="T269" i="2"/>
  <c r="R269" i="2"/>
  <c r="U268" i="2"/>
  <c r="T268" i="2"/>
  <c r="R268" i="2"/>
  <c r="U267" i="2"/>
  <c r="T267" i="2"/>
  <c r="R267" i="2"/>
  <c r="U266" i="2"/>
  <c r="T266" i="2"/>
  <c r="R266" i="2"/>
  <c r="U265" i="2"/>
  <c r="T265" i="2"/>
  <c r="R265" i="2"/>
  <c r="U264" i="2"/>
  <c r="T264" i="2"/>
  <c r="R264" i="2"/>
  <c r="U263" i="2"/>
  <c r="T263" i="2"/>
  <c r="R263" i="2"/>
  <c r="U262" i="2"/>
  <c r="T262" i="2"/>
  <c r="R262" i="2"/>
  <c r="U261" i="2"/>
  <c r="T261" i="2"/>
  <c r="R261" i="2"/>
  <c r="U260" i="2"/>
  <c r="T260" i="2"/>
  <c r="R260" i="2"/>
  <c r="U259" i="2"/>
  <c r="T259" i="2"/>
  <c r="R259" i="2"/>
  <c r="U258" i="2"/>
  <c r="T258" i="2"/>
  <c r="R258" i="2"/>
  <c r="U257" i="2"/>
  <c r="T257" i="2"/>
  <c r="R257" i="2"/>
  <c r="U256" i="2"/>
  <c r="T256" i="2"/>
  <c r="R256" i="2"/>
  <c r="U255" i="2"/>
  <c r="T255" i="2"/>
  <c r="R255" i="2"/>
  <c r="U254" i="2"/>
  <c r="T254" i="2"/>
  <c r="R254" i="2"/>
  <c r="U253" i="2"/>
  <c r="T253" i="2"/>
  <c r="R253" i="2"/>
  <c r="U252" i="2"/>
  <c r="T252" i="2"/>
  <c r="R252" i="2"/>
  <c r="U251" i="2"/>
  <c r="T251" i="2"/>
  <c r="R251" i="2"/>
  <c r="U250" i="2"/>
  <c r="T250" i="2"/>
  <c r="R250" i="2"/>
  <c r="U249" i="2"/>
  <c r="T249" i="2"/>
  <c r="R249" i="2"/>
  <c r="U248" i="2"/>
  <c r="T248" i="2"/>
  <c r="R248" i="2"/>
  <c r="U247" i="2"/>
  <c r="T247" i="2"/>
  <c r="R247" i="2"/>
  <c r="U246" i="2"/>
  <c r="T246" i="2"/>
  <c r="R246" i="2"/>
  <c r="U245" i="2"/>
  <c r="T245" i="2"/>
  <c r="R245" i="2"/>
  <c r="U244" i="2"/>
  <c r="T244" i="2"/>
  <c r="R244" i="2"/>
  <c r="U243" i="2"/>
  <c r="T243" i="2"/>
  <c r="R243" i="2"/>
  <c r="U242" i="2"/>
  <c r="T242" i="2"/>
  <c r="R242" i="2"/>
  <c r="U241" i="2"/>
  <c r="T241" i="2"/>
  <c r="R241" i="2"/>
  <c r="U240" i="2"/>
  <c r="T240" i="2"/>
  <c r="R240" i="2"/>
  <c r="U239" i="2"/>
  <c r="T239" i="2"/>
  <c r="R239" i="2"/>
  <c r="U238" i="2"/>
  <c r="T238" i="2"/>
  <c r="R238" i="2"/>
  <c r="U237" i="2"/>
  <c r="T237" i="2"/>
  <c r="R237" i="2"/>
  <c r="U236" i="2"/>
  <c r="T236" i="2"/>
  <c r="R236" i="2"/>
  <c r="U235" i="2"/>
  <c r="T235" i="2"/>
  <c r="R235" i="2"/>
  <c r="U234" i="2"/>
  <c r="T234" i="2"/>
  <c r="R234" i="2"/>
  <c r="U233" i="2"/>
  <c r="T233" i="2"/>
  <c r="R233" i="2"/>
  <c r="U232" i="2"/>
  <c r="T232" i="2"/>
  <c r="R232" i="2"/>
  <c r="U231" i="2"/>
  <c r="T231" i="2"/>
  <c r="R231" i="2"/>
  <c r="U230" i="2"/>
  <c r="T230" i="2"/>
  <c r="R230" i="2"/>
  <c r="U229" i="2"/>
  <c r="T229" i="2"/>
  <c r="R229" i="2"/>
  <c r="U228" i="2"/>
  <c r="T228" i="2"/>
  <c r="R228" i="2"/>
  <c r="U227" i="2"/>
  <c r="T227" i="2"/>
  <c r="R227" i="2"/>
  <c r="U226" i="2"/>
  <c r="T226" i="2"/>
  <c r="R226" i="2"/>
  <c r="U225" i="2"/>
  <c r="T225" i="2"/>
  <c r="R225" i="2"/>
  <c r="U224" i="2"/>
  <c r="T224" i="2"/>
  <c r="R224" i="2"/>
  <c r="U223" i="2"/>
  <c r="T223" i="2"/>
  <c r="R223" i="2"/>
  <c r="U222" i="2"/>
  <c r="T222" i="2"/>
  <c r="R222" i="2"/>
  <c r="U221" i="2"/>
  <c r="T221" i="2"/>
  <c r="R221" i="2"/>
  <c r="U220" i="2"/>
  <c r="T220" i="2"/>
  <c r="R220" i="2"/>
  <c r="U219" i="2"/>
  <c r="T219" i="2"/>
  <c r="R219" i="2"/>
  <c r="U218" i="2"/>
  <c r="T218" i="2"/>
  <c r="R218" i="2"/>
  <c r="U217" i="2"/>
  <c r="T217" i="2"/>
  <c r="R217" i="2"/>
  <c r="U216" i="2"/>
  <c r="T216" i="2"/>
  <c r="R216" i="2"/>
  <c r="U215" i="2"/>
  <c r="T215" i="2"/>
  <c r="R215" i="2"/>
  <c r="U214" i="2"/>
  <c r="T214" i="2"/>
  <c r="R214" i="2"/>
  <c r="U213" i="2"/>
  <c r="T213" i="2"/>
  <c r="R213" i="2"/>
  <c r="U212" i="2"/>
  <c r="T212" i="2"/>
  <c r="R212" i="2"/>
  <c r="U211" i="2"/>
  <c r="T211" i="2"/>
  <c r="R211" i="2"/>
  <c r="U210" i="2"/>
  <c r="T210" i="2"/>
  <c r="R210" i="2"/>
  <c r="U209" i="2"/>
  <c r="T209" i="2"/>
  <c r="R209" i="2"/>
  <c r="U208" i="2"/>
  <c r="T208" i="2"/>
  <c r="R208" i="2"/>
  <c r="U207" i="2"/>
  <c r="T207" i="2"/>
  <c r="R207" i="2"/>
  <c r="U206" i="2"/>
  <c r="T206" i="2"/>
  <c r="R206" i="2"/>
  <c r="U205" i="2"/>
  <c r="T205" i="2"/>
  <c r="R205" i="2"/>
  <c r="U204" i="2"/>
  <c r="T204" i="2"/>
  <c r="R204" i="2"/>
  <c r="U203" i="2"/>
  <c r="T203" i="2"/>
  <c r="R203" i="2"/>
  <c r="U202" i="2"/>
  <c r="T202" i="2"/>
  <c r="R202" i="2"/>
  <c r="U201" i="2"/>
  <c r="T201" i="2"/>
  <c r="R201" i="2"/>
  <c r="U200" i="2"/>
  <c r="T200" i="2"/>
  <c r="R200" i="2"/>
  <c r="U199" i="2"/>
  <c r="T199" i="2"/>
  <c r="R199" i="2"/>
  <c r="U198" i="2"/>
  <c r="T198" i="2"/>
  <c r="R198" i="2"/>
  <c r="U197" i="2"/>
  <c r="T197" i="2"/>
  <c r="R197" i="2"/>
  <c r="U196" i="2"/>
  <c r="T196" i="2"/>
  <c r="R196" i="2"/>
  <c r="U195" i="2"/>
  <c r="T195" i="2"/>
  <c r="R195" i="2"/>
  <c r="U194" i="2"/>
  <c r="T194" i="2"/>
  <c r="R194" i="2"/>
  <c r="U193" i="2"/>
  <c r="T193" i="2"/>
  <c r="R193" i="2"/>
  <c r="U192" i="2"/>
  <c r="T192" i="2"/>
  <c r="R192" i="2"/>
  <c r="U191" i="2"/>
  <c r="T191" i="2"/>
  <c r="R191" i="2"/>
  <c r="U190" i="2"/>
  <c r="T190" i="2"/>
  <c r="R190" i="2"/>
  <c r="U189" i="2"/>
  <c r="T189" i="2"/>
  <c r="R189" i="2"/>
  <c r="U188" i="2"/>
  <c r="T188" i="2"/>
  <c r="R188" i="2"/>
  <c r="U187" i="2"/>
  <c r="T187" i="2"/>
  <c r="R187" i="2"/>
  <c r="U186" i="2"/>
  <c r="T186" i="2"/>
  <c r="R186" i="2"/>
  <c r="U185" i="2"/>
  <c r="T185" i="2"/>
  <c r="R185" i="2"/>
  <c r="U184" i="2"/>
  <c r="T184" i="2"/>
  <c r="R184" i="2"/>
  <c r="U183" i="2"/>
  <c r="T183" i="2"/>
  <c r="R183" i="2"/>
  <c r="U182" i="2"/>
  <c r="T182" i="2"/>
  <c r="R182" i="2"/>
  <c r="U181" i="2"/>
  <c r="T181" i="2"/>
  <c r="R181" i="2"/>
  <c r="U180" i="2"/>
  <c r="T180" i="2"/>
  <c r="R180" i="2"/>
  <c r="U179" i="2"/>
  <c r="T179" i="2"/>
  <c r="R179" i="2"/>
  <c r="U178" i="2"/>
  <c r="T178" i="2"/>
  <c r="R178" i="2"/>
  <c r="U177" i="2"/>
  <c r="T177" i="2"/>
  <c r="R177" i="2"/>
  <c r="U176" i="2"/>
  <c r="T176" i="2"/>
  <c r="R176" i="2"/>
  <c r="U175" i="2"/>
  <c r="T175" i="2"/>
  <c r="R175" i="2"/>
  <c r="U174" i="2"/>
  <c r="T174" i="2"/>
  <c r="R174" i="2"/>
  <c r="U173" i="2"/>
  <c r="T173" i="2"/>
  <c r="R173" i="2"/>
  <c r="U172" i="2"/>
  <c r="T172" i="2"/>
  <c r="R172" i="2"/>
  <c r="U171" i="2"/>
  <c r="T171" i="2"/>
  <c r="R171" i="2"/>
  <c r="U170" i="2"/>
  <c r="T170" i="2"/>
  <c r="R170" i="2"/>
  <c r="U169" i="2"/>
  <c r="T169" i="2"/>
  <c r="R169" i="2"/>
  <c r="U168" i="2"/>
  <c r="T168" i="2"/>
  <c r="R168" i="2"/>
  <c r="U167" i="2"/>
  <c r="T167" i="2"/>
  <c r="R167" i="2"/>
  <c r="U166" i="2"/>
  <c r="T166" i="2"/>
  <c r="R166" i="2"/>
  <c r="U165" i="2"/>
  <c r="T165" i="2"/>
  <c r="R165" i="2"/>
  <c r="U164" i="2"/>
  <c r="T164" i="2"/>
  <c r="R164" i="2"/>
  <c r="U163" i="2"/>
  <c r="T163" i="2"/>
  <c r="R163" i="2"/>
  <c r="U162" i="2"/>
  <c r="T162" i="2"/>
  <c r="R162" i="2"/>
  <c r="U161" i="2"/>
  <c r="T161" i="2"/>
  <c r="R161" i="2"/>
  <c r="U160" i="2"/>
  <c r="T160" i="2"/>
  <c r="R160" i="2"/>
  <c r="U159" i="2"/>
  <c r="T159" i="2"/>
  <c r="R159" i="2"/>
  <c r="U158" i="2"/>
  <c r="T158" i="2"/>
  <c r="R158" i="2"/>
  <c r="U157" i="2"/>
  <c r="T157" i="2"/>
  <c r="R157" i="2"/>
  <c r="U156" i="2"/>
  <c r="T156" i="2"/>
  <c r="R156" i="2"/>
  <c r="U155" i="2"/>
  <c r="T155" i="2"/>
  <c r="R155" i="2"/>
  <c r="U154" i="2"/>
  <c r="T154" i="2"/>
  <c r="R154" i="2"/>
  <c r="U153" i="2"/>
  <c r="T153" i="2"/>
  <c r="R153" i="2"/>
  <c r="U152" i="2"/>
  <c r="T152" i="2"/>
  <c r="R152" i="2"/>
  <c r="U151" i="2"/>
  <c r="T151" i="2"/>
  <c r="R151" i="2"/>
  <c r="U150" i="2"/>
  <c r="T150" i="2"/>
  <c r="R150" i="2"/>
  <c r="U149" i="2"/>
  <c r="T149" i="2"/>
  <c r="R149" i="2"/>
  <c r="U148" i="2"/>
  <c r="T148" i="2"/>
  <c r="R148" i="2"/>
  <c r="U147" i="2"/>
  <c r="T147" i="2"/>
  <c r="R147" i="2"/>
  <c r="U146" i="2"/>
  <c r="T146" i="2"/>
  <c r="R146" i="2"/>
  <c r="U145" i="2"/>
  <c r="T145" i="2"/>
  <c r="R145" i="2"/>
  <c r="U144" i="2"/>
  <c r="T144" i="2"/>
  <c r="R144" i="2"/>
  <c r="U143" i="2"/>
  <c r="T143" i="2"/>
  <c r="R143" i="2"/>
  <c r="U142" i="2"/>
  <c r="T142" i="2"/>
  <c r="R142" i="2"/>
  <c r="U141" i="2"/>
  <c r="T141" i="2"/>
  <c r="R141" i="2"/>
  <c r="U140" i="2"/>
  <c r="T140" i="2"/>
  <c r="R140" i="2"/>
  <c r="U139" i="2"/>
  <c r="T139" i="2"/>
  <c r="R139" i="2"/>
  <c r="U138" i="2"/>
  <c r="T138" i="2"/>
  <c r="R138" i="2"/>
  <c r="U137" i="2"/>
  <c r="T137" i="2"/>
  <c r="R137" i="2"/>
  <c r="U136" i="2"/>
  <c r="T136" i="2"/>
  <c r="R136" i="2"/>
  <c r="U135" i="2"/>
  <c r="T135" i="2"/>
  <c r="R135" i="2"/>
  <c r="U134" i="2"/>
  <c r="T134" i="2"/>
  <c r="R134" i="2"/>
  <c r="U133" i="2"/>
  <c r="T133" i="2"/>
  <c r="R133" i="2"/>
  <c r="U132" i="2"/>
  <c r="T132" i="2"/>
  <c r="R132" i="2"/>
  <c r="U131" i="2"/>
  <c r="T131" i="2"/>
  <c r="R131" i="2"/>
  <c r="U130" i="2"/>
  <c r="T130" i="2"/>
  <c r="R130" i="2"/>
  <c r="U129" i="2"/>
  <c r="T129" i="2"/>
  <c r="R129" i="2"/>
  <c r="U128" i="2"/>
  <c r="T128" i="2"/>
  <c r="R128" i="2"/>
  <c r="U127" i="2"/>
  <c r="T127" i="2"/>
  <c r="R127" i="2"/>
  <c r="U126" i="2"/>
  <c r="T126" i="2"/>
  <c r="R126" i="2"/>
  <c r="U125" i="2"/>
  <c r="T125" i="2"/>
  <c r="R125" i="2"/>
  <c r="U124" i="2"/>
  <c r="T124" i="2"/>
  <c r="R124" i="2"/>
  <c r="U123" i="2"/>
  <c r="T123" i="2"/>
  <c r="R123" i="2"/>
  <c r="U122" i="2"/>
  <c r="T122" i="2"/>
  <c r="R122" i="2"/>
  <c r="U121" i="2"/>
  <c r="T121" i="2"/>
  <c r="R121" i="2"/>
  <c r="U120" i="2"/>
  <c r="T120" i="2"/>
  <c r="R120" i="2"/>
  <c r="U119" i="2"/>
  <c r="T119" i="2"/>
  <c r="R119" i="2"/>
  <c r="U118" i="2"/>
  <c r="T118" i="2"/>
  <c r="R118" i="2"/>
  <c r="U117" i="2"/>
  <c r="T117" i="2"/>
  <c r="R117" i="2"/>
  <c r="U116" i="2"/>
  <c r="T116" i="2"/>
  <c r="R116" i="2"/>
  <c r="U115" i="2"/>
  <c r="T115" i="2"/>
  <c r="R115" i="2"/>
  <c r="U114" i="2"/>
  <c r="T114" i="2"/>
  <c r="R114" i="2"/>
  <c r="U113" i="2"/>
  <c r="T113" i="2"/>
  <c r="R113" i="2"/>
  <c r="U112" i="2"/>
  <c r="T112" i="2"/>
  <c r="R112" i="2"/>
  <c r="U111" i="2"/>
  <c r="T111" i="2"/>
  <c r="R111" i="2"/>
  <c r="U110" i="2"/>
  <c r="T110" i="2"/>
  <c r="R110" i="2"/>
  <c r="U109" i="2"/>
  <c r="T109" i="2"/>
  <c r="R109" i="2"/>
  <c r="U108" i="2"/>
  <c r="T108" i="2"/>
  <c r="R108" i="2"/>
  <c r="U107" i="2"/>
  <c r="T107" i="2"/>
  <c r="R107" i="2"/>
  <c r="U106" i="2"/>
  <c r="T106" i="2"/>
  <c r="R106" i="2"/>
  <c r="U105" i="2"/>
  <c r="T105" i="2"/>
  <c r="R105" i="2"/>
  <c r="U104" i="2"/>
  <c r="T104" i="2"/>
  <c r="R104" i="2"/>
  <c r="U103" i="2"/>
  <c r="T103" i="2"/>
  <c r="R103" i="2"/>
  <c r="U102" i="2"/>
  <c r="T102" i="2"/>
  <c r="R102" i="2"/>
  <c r="U101" i="2"/>
  <c r="T101" i="2"/>
  <c r="R101" i="2"/>
  <c r="U100" i="2"/>
  <c r="T100" i="2"/>
  <c r="R100" i="2"/>
  <c r="U99" i="2"/>
  <c r="T99" i="2"/>
  <c r="R99" i="2"/>
  <c r="U98" i="2"/>
  <c r="T98" i="2"/>
  <c r="R98" i="2"/>
  <c r="U97" i="2"/>
  <c r="T97" i="2"/>
  <c r="R97" i="2"/>
  <c r="U96" i="2"/>
  <c r="T96" i="2"/>
  <c r="R96" i="2"/>
  <c r="U95" i="2"/>
  <c r="T95" i="2"/>
  <c r="R95" i="2"/>
  <c r="U94" i="2"/>
  <c r="T94" i="2"/>
  <c r="R94" i="2"/>
  <c r="U93" i="2"/>
  <c r="T93" i="2"/>
  <c r="R93" i="2"/>
  <c r="U92" i="2"/>
  <c r="T92" i="2"/>
  <c r="R92" i="2"/>
  <c r="U91" i="2"/>
  <c r="T91" i="2"/>
  <c r="R91" i="2"/>
  <c r="U90" i="2"/>
  <c r="T90" i="2"/>
  <c r="R90" i="2"/>
  <c r="U89" i="2"/>
  <c r="T89" i="2"/>
  <c r="R89" i="2"/>
  <c r="U88" i="2"/>
  <c r="T88" i="2"/>
  <c r="R88" i="2"/>
  <c r="U87" i="2"/>
  <c r="T87" i="2"/>
  <c r="R87" i="2"/>
  <c r="U86" i="2"/>
  <c r="T86" i="2"/>
  <c r="R86" i="2"/>
  <c r="U85" i="2"/>
  <c r="T85" i="2"/>
  <c r="R85" i="2"/>
  <c r="U84" i="2"/>
  <c r="T84" i="2"/>
  <c r="R84" i="2"/>
  <c r="U83" i="2"/>
  <c r="T83" i="2"/>
  <c r="R83" i="2"/>
  <c r="U82" i="2"/>
  <c r="T82" i="2"/>
  <c r="R82" i="2"/>
  <c r="U81" i="2"/>
  <c r="T81" i="2"/>
  <c r="R81" i="2"/>
  <c r="U80" i="2"/>
  <c r="T80" i="2"/>
  <c r="R80" i="2"/>
  <c r="U79" i="2"/>
  <c r="T79" i="2"/>
  <c r="R79" i="2"/>
  <c r="U78" i="2"/>
  <c r="T78" i="2"/>
  <c r="R78" i="2"/>
  <c r="U77" i="2"/>
  <c r="T77" i="2"/>
  <c r="R77" i="2"/>
  <c r="U76" i="2"/>
  <c r="T76" i="2"/>
  <c r="R76" i="2"/>
  <c r="U75" i="2"/>
  <c r="T75" i="2"/>
  <c r="R75" i="2"/>
  <c r="U74" i="2"/>
  <c r="T74" i="2"/>
  <c r="R74" i="2"/>
  <c r="U73" i="2"/>
  <c r="T73" i="2"/>
  <c r="R73" i="2"/>
  <c r="U72" i="2"/>
  <c r="T72" i="2"/>
  <c r="R72" i="2"/>
  <c r="U71" i="2"/>
  <c r="T71" i="2"/>
  <c r="R71" i="2"/>
  <c r="U70" i="2"/>
  <c r="T70" i="2"/>
  <c r="R70" i="2"/>
  <c r="U69" i="2"/>
  <c r="T69" i="2"/>
  <c r="R69" i="2"/>
  <c r="U68" i="2"/>
  <c r="T68" i="2"/>
  <c r="R68" i="2"/>
  <c r="U67" i="2"/>
  <c r="T67" i="2"/>
  <c r="R67" i="2"/>
  <c r="U66" i="2"/>
  <c r="T66" i="2"/>
  <c r="R66" i="2"/>
  <c r="U65" i="2"/>
  <c r="T65" i="2"/>
  <c r="R65" i="2"/>
  <c r="U64" i="2"/>
  <c r="T64" i="2"/>
  <c r="R64" i="2"/>
  <c r="U63" i="2"/>
  <c r="T63" i="2"/>
  <c r="R63" i="2"/>
  <c r="U62" i="2"/>
  <c r="T62" i="2"/>
  <c r="R62" i="2"/>
  <c r="U61" i="2"/>
  <c r="T61" i="2"/>
  <c r="R61" i="2"/>
  <c r="U60" i="2"/>
  <c r="T60" i="2"/>
  <c r="R60" i="2"/>
  <c r="U59" i="2"/>
  <c r="T59" i="2"/>
  <c r="R59" i="2"/>
  <c r="U58" i="2"/>
  <c r="T58" i="2"/>
  <c r="R58" i="2"/>
  <c r="U57" i="2"/>
  <c r="T57" i="2"/>
  <c r="R57" i="2"/>
  <c r="U56" i="2"/>
  <c r="T56" i="2"/>
  <c r="R56" i="2"/>
  <c r="U55" i="2"/>
  <c r="T55" i="2"/>
  <c r="R55" i="2"/>
  <c r="U54" i="2"/>
  <c r="T54" i="2"/>
  <c r="R54" i="2"/>
  <c r="U53" i="2"/>
  <c r="T53" i="2"/>
  <c r="R53" i="2"/>
  <c r="U52" i="2"/>
  <c r="T52" i="2"/>
  <c r="R52" i="2"/>
  <c r="U51" i="2"/>
  <c r="T51" i="2"/>
  <c r="R51" i="2"/>
  <c r="U50" i="2"/>
  <c r="T50" i="2"/>
  <c r="R50" i="2"/>
  <c r="U49" i="2"/>
  <c r="T49" i="2"/>
  <c r="R49" i="2"/>
  <c r="U48" i="2"/>
  <c r="T48" i="2"/>
  <c r="R48" i="2"/>
  <c r="U47" i="2"/>
  <c r="T47" i="2"/>
  <c r="R47" i="2"/>
  <c r="U46" i="2"/>
  <c r="T46" i="2"/>
  <c r="R46" i="2"/>
  <c r="U45" i="2"/>
  <c r="T45" i="2"/>
  <c r="R45" i="2"/>
  <c r="U44" i="2"/>
  <c r="T44" i="2"/>
  <c r="R44" i="2"/>
  <c r="U43" i="2"/>
  <c r="T43" i="2"/>
  <c r="R43" i="2"/>
  <c r="U42" i="2"/>
  <c r="T42" i="2"/>
  <c r="R42" i="2"/>
  <c r="U41" i="2"/>
  <c r="T41" i="2"/>
  <c r="R41" i="2"/>
  <c r="U40" i="2"/>
  <c r="T40" i="2"/>
  <c r="R40" i="2"/>
  <c r="U39" i="2"/>
  <c r="T39" i="2"/>
  <c r="R39" i="2"/>
  <c r="U38" i="2"/>
  <c r="T38" i="2"/>
  <c r="R38" i="2"/>
  <c r="U37" i="2"/>
  <c r="T37" i="2"/>
  <c r="R37" i="2"/>
  <c r="U36" i="2"/>
  <c r="T36" i="2"/>
  <c r="R36" i="2"/>
  <c r="U35" i="2"/>
  <c r="T35" i="2"/>
  <c r="R35" i="2"/>
  <c r="U34" i="2"/>
  <c r="T34" i="2"/>
  <c r="R34" i="2"/>
  <c r="U33" i="2"/>
  <c r="T33" i="2"/>
  <c r="R33" i="2"/>
  <c r="U32" i="2"/>
  <c r="T32" i="2"/>
  <c r="R32" i="2"/>
  <c r="U31" i="2"/>
  <c r="T31" i="2"/>
  <c r="R31" i="2"/>
  <c r="U30" i="2"/>
  <c r="T30" i="2"/>
  <c r="R30" i="2"/>
  <c r="U29" i="2"/>
  <c r="T29" i="2"/>
  <c r="R29" i="2"/>
  <c r="U28" i="2"/>
  <c r="T28" i="2"/>
  <c r="R28" i="2"/>
  <c r="U27" i="2"/>
  <c r="T27" i="2"/>
  <c r="R27" i="2"/>
  <c r="U26" i="2"/>
  <c r="T26" i="2"/>
  <c r="R26" i="2"/>
  <c r="U25" i="2"/>
  <c r="T25" i="2"/>
  <c r="R25" i="2"/>
  <c r="U24" i="2"/>
  <c r="T24" i="2"/>
  <c r="R24" i="2"/>
  <c r="U23" i="2"/>
  <c r="T23" i="2"/>
  <c r="R23" i="2"/>
  <c r="U22" i="2"/>
  <c r="T22" i="2"/>
  <c r="R22" i="2"/>
  <c r="U21" i="2"/>
  <c r="T21" i="2"/>
  <c r="R21" i="2"/>
  <c r="U20" i="2"/>
  <c r="T20" i="2"/>
  <c r="R20" i="2"/>
  <c r="U19" i="2"/>
  <c r="T19" i="2"/>
  <c r="R19" i="2"/>
  <c r="U18" i="2"/>
  <c r="T18" i="2"/>
  <c r="R18" i="2"/>
  <c r="U17" i="2"/>
  <c r="T17" i="2"/>
  <c r="R17" i="2"/>
  <c r="U16" i="2"/>
  <c r="T16" i="2"/>
  <c r="R16" i="2"/>
  <c r="U15" i="2"/>
  <c r="T15" i="2"/>
  <c r="R15" i="2"/>
  <c r="U14" i="2"/>
  <c r="T14" i="2"/>
  <c r="R14" i="2"/>
  <c r="U13" i="2"/>
  <c r="T13" i="2"/>
  <c r="R13" i="2"/>
  <c r="U12" i="2"/>
  <c r="T12" i="2"/>
  <c r="R12" i="2"/>
  <c r="U11" i="2"/>
  <c r="T11" i="2"/>
  <c r="R11" i="2"/>
  <c r="U10" i="2"/>
  <c r="T10" i="2"/>
  <c r="R10" i="2"/>
  <c r="U9" i="2"/>
  <c r="T9" i="2"/>
  <c r="R9" i="2"/>
  <c r="U8" i="2"/>
  <c r="T8" i="2"/>
  <c r="R8" i="2"/>
  <c r="N8" i="2"/>
  <c r="M8" i="2" s="1"/>
  <c r="U7" i="2"/>
  <c r="T7" i="2"/>
  <c r="R7" i="2"/>
  <c r="U6" i="2"/>
  <c r="T6" i="2"/>
  <c r="R6" i="2"/>
  <c r="U5" i="2"/>
  <c r="T5" i="2"/>
  <c r="R5" i="2"/>
  <c r="U4" i="2"/>
  <c r="T4" i="2"/>
  <c r="R4" i="2"/>
  <c r="N4" i="2"/>
  <c r="M4" i="2" s="1"/>
  <c r="U3" i="2"/>
  <c r="T3" i="2"/>
  <c r="R3" i="2"/>
  <c r="U2" i="2"/>
  <c r="T2" i="2"/>
  <c r="R2" i="2"/>
  <c r="O263" i="2"/>
  <c r="O231" i="2"/>
  <c r="O199" i="2"/>
  <c r="O167" i="2"/>
  <c r="O135" i="2"/>
  <c r="O103" i="2"/>
  <c r="O71" i="2"/>
  <c r="O39" i="2"/>
  <c r="O7" i="2"/>
  <c r="O2" i="2" a="1"/>
  <c r="O998" i="2" s="1"/>
  <c r="L2" i="2" a="1"/>
  <c r="D1001" i="1"/>
  <c r="A1001" i="1"/>
  <c r="D1000" i="1"/>
  <c r="D999" i="1"/>
  <c r="D998" i="1"/>
  <c r="D997" i="1"/>
  <c r="A997" i="1"/>
  <c r="D996" i="1"/>
  <c r="D995" i="1"/>
  <c r="A995" i="1"/>
  <c r="D994" i="1"/>
  <c r="D993" i="1"/>
  <c r="A993" i="1"/>
  <c r="D992" i="1"/>
  <c r="D991" i="1"/>
  <c r="D990" i="1"/>
  <c r="D989" i="1"/>
  <c r="A989" i="1"/>
  <c r="D988" i="1"/>
  <c r="D987" i="1"/>
  <c r="A987" i="1"/>
  <c r="D986" i="1"/>
  <c r="D985" i="1"/>
  <c r="A985" i="1"/>
  <c r="D984" i="1"/>
  <c r="D983" i="1"/>
  <c r="D982" i="1"/>
  <c r="D981" i="1"/>
  <c r="A981" i="1"/>
  <c r="D980" i="1"/>
  <c r="D979" i="1"/>
  <c r="A979" i="1"/>
  <c r="D978" i="1"/>
  <c r="D977" i="1"/>
  <c r="A977" i="1"/>
  <c r="D976" i="1"/>
  <c r="D975" i="1"/>
  <c r="D974" i="1"/>
  <c r="D973" i="1"/>
  <c r="A973" i="1"/>
  <c r="D972" i="1"/>
  <c r="D971" i="1"/>
  <c r="A971" i="1"/>
  <c r="D970" i="1"/>
  <c r="D969" i="1"/>
  <c r="A969" i="1"/>
  <c r="D968" i="1"/>
  <c r="D967" i="1"/>
  <c r="D966" i="1"/>
  <c r="D965" i="1"/>
  <c r="A965" i="1"/>
  <c r="D964" i="1"/>
  <c r="D963" i="1"/>
  <c r="A963" i="1"/>
  <c r="D962" i="1"/>
  <c r="D961" i="1"/>
  <c r="A961" i="1"/>
  <c r="D960" i="1"/>
  <c r="D959" i="1"/>
  <c r="D958" i="1"/>
  <c r="D957" i="1"/>
  <c r="A957" i="1"/>
  <c r="D956" i="1"/>
  <c r="D955" i="1"/>
  <c r="A955" i="1"/>
  <c r="D954" i="1"/>
  <c r="D953" i="1"/>
  <c r="A953" i="1"/>
  <c r="D952" i="1"/>
  <c r="D951" i="1"/>
  <c r="D950" i="1"/>
  <c r="D949" i="1"/>
  <c r="A949" i="1"/>
  <c r="D948" i="1"/>
  <c r="D947" i="1"/>
  <c r="A947" i="1"/>
  <c r="D946" i="1"/>
  <c r="D945" i="1"/>
  <c r="A945" i="1"/>
  <c r="D944" i="1"/>
  <c r="A944" i="1"/>
  <c r="D943" i="1"/>
  <c r="A943" i="1"/>
  <c r="D942" i="1"/>
  <c r="A942" i="1"/>
  <c r="D941" i="1"/>
  <c r="A941" i="1"/>
  <c r="D940" i="1"/>
  <c r="A940" i="1"/>
  <c r="D939" i="1"/>
  <c r="A939" i="1"/>
  <c r="D938" i="1"/>
  <c r="A938" i="1"/>
  <c r="D937" i="1"/>
  <c r="A937" i="1"/>
  <c r="D936" i="1"/>
  <c r="A936" i="1"/>
  <c r="D935" i="1"/>
  <c r="A935" i="1"/>
  <c r="D934" i="1"/>
  <c r="A934" i="1"/>
  <c r="D933" i="1"/>
  <c r="A933" i="1"/>
  <c r="D932" i="1"/>
  <c r="A932" i="1"/>
  <c r="D931" i="1"/>
  <c r="A931" i="1"/>
  <c r="D930" i="1"/>
  <c r="A930" i="1"/>
  <c r="D929" i="1"/>
  <c r="A929" i="1"/>
  <c r="D928" i="1"/>
  <c r="A928" i="1"/>
  <c r="D927" i="1"/>
  <c r="A927" i="1"/>
  <c r="D926" i="1"/>
  <c r="A926" i="1"/>
  <c r="D925" i="1"/>
  <c r="A925" i="1"/>
  <c r="D924" i="1"/>
  <c r="A924" i="1"/>
  <c r="D923" i="1"/>
  <c r="A923" i="1"/>
  <c r="D922" i="1"/>
  <c r="A922" i="1"/>
  <c r="D921" i="1"/>
  <c r="A921" i="1"/>
  <c r="D920" i="1"/>
  <c r="A920" i="1"/>
  <c r="D919" i="1"/>
  <c r="A919" i="1"/>
  <c r="D918" i="1"/>
  <c r="A918" i="1"/>
  <c r="D917" i="1"/>
  <c r="A917" i="1"/>
  <c r="D916" i="1"/>
  <c r="A916" i="1"/>
  <c r="D915" i="1"/>
  <c r="A915" i="1"/>
  <c r="D914" i="1"/>
  <c r="A914" i="1"/>
  <c r="D913" i="1"/>
  <c r="A913" i="1"/>
  <c r="D912" i="1"/>
  <c r="A912" i="1"/>
  <c r="D911" i="1"/>
  <c r="A911" i="1"/>
  <c r="D910" i="1"/>
  <c r="A910" i="1"/>
  <c r="D909" i="1"/>
  <c r="A909" i="1"/>
  <c r="D908" i="1"/>
  <c r="A908" i="1"/>
  <c r="D907" i="1"/>
  <c r="A907" i="1"/>
  <c r="D906" i="1"/>
  <c r="A906" i="1"/>
  <c r="D905" i="1"/>
  <c r="A905" i="1"/>
  <c r="D904" i="1"/>
  <c r="A904" i="1"/>
  <c r="D903" i="1"/>
  <c r="A903" i="1"/>
  <c r="D902" i="1"/>
  <c r="A902" i="1"/>
  <c r="D901" i="1"/>
  <c r="A901" i="1"/>
  <c r="D900" i="1"/>
  <c r="A900" i="1"/>
  <c r="D899" i="1"/>
  <c r="A899" i="1"/>
  <c r="D898" i="1"/>
  <c r="A898" i="1"/>
  <c r="D897" i="1"/>
  <c r="A897" i="1"/>
  <c r="D896" i="1"/>
  <c r="A896" i="1"/>
  <c r="D895" i="1"/>
  <c r="A895" i="1"/>
  <c r="D894" i="1"/>
  <c r="A894" i="1"/>
  <c r="D893" i="1"/>
  <c r="A893" i="1"/>
  <c r="D892" i="1"/>
  <c r="A892" i="1"/>
  <c r="D891" i="1"/>
  <c r="A891" i="1" s="1"/>
  <c r="D890" i="1"/>
  <c r="A890" i="1"/>
  <c r="D889" i="1"/>
  <c r="A889" i="1"/>
  <c r="D888" i="1"/>
  <c r="A888" i="1"/>
  <c r="D887" i="1"/>
  <c r="A887" i="1"/>
  <c r="D886" i="1"/>
  <c r="A886" i="1"/>
  <c r="D885" i="1"/>
  <c r="A885" i="1"/>
  <c r="D884" i="1"/>
  <c r="A884" i="1"/>
  <c r="D883" i="1"/>
  <c r="A883" i="1"/>
  <c r="D882" i="1"/>
  <c r="A882" i="1"/>
  <c r="D881" i="1"/>
  <c r="A881" i="1"/>
  <c r="D880" i="1"/>
  <c r="A880" i="1"/>
  <c r="D879" i="1"/>
  <c r="A879" i="1"/>
  <c r="D878" i="1"/>
  <c r="A878" i="1"/>
  <c r="D877" i="1"/>
  <c r="A877" i="1"/>
  <c r="D876" i="1"/>
  <c r="A876" i="1"/>
  <c r="D875" i="1"/>
  <c r="A875" i="1"/>
  <c r="D874" i="1"/>
  <c r="A874" i="1"/>
  <c r="D873" i="1"/>
  <c r="A873" i="1"/>
  <c r="D872" i="1"/>
  <c r="A872" i="1"/>
  <c r="D871" i="1"/>
  <c r="A871" i="1"/>
  <c r="D870" i="1"/>
  <c r="A870" i="1"/>
  <c r="D869" i="1"/>
  <c r="A869" i="1"/>
  <c r="D868" i="1"/>
  <c r="A868" i="1"/>
  <c r="D867" i="1"/>
  <c r="A867" i="1"/>
  <c r="D866" i="1"/>
  <c r="A866" i="1"/>
  <c r="D865" i="1"/>
  <c r="A865" i="1"/>
  <c r="D864" i="1"/>
  <c r="A864" i="1"/>
  <c r="D863" i="1"/>
  <c r="A863" i="1"/>
  <c r="D862" i="1"/>
  <c r="A862" i="1"/>
  <c r="D861" i="1"/>
  <c r="A861" i="1"/>
  <c r="D860" i="1"/>
  <c r="A860" i="1"/>
  <c r="D859" i="1"/>
  <c r="A859" i="1"/>
  <c r="D858" i="1"/>
  <c r="A858" i="1"/>
  <c r="D857" i="1"/>
  <c r="A857" i="1"/>
  <c r="D856" i="1"/>
  <c r="A856" i="1"/>
  <c r="D855" i="1"/>
  <c r="A855" i="1"/>
  <c r="D854" i="1"/>
  <c r="A854" i="1"/>
  <c r="D853" i="1"/>
  <c r="A853" i="1"/>
  <c r="D852" i="1"/>
  <c r="A852" i="1"/>
  <c r="D851" i="1"/>
  <c r="A851" i="1"/>
  <c r="D850" i="1"/>
  <c r="A850" i="1"/>
  <c r="D849" i="1"/>
  <c r="A849" i="1"/>
  <c r="D848" i="1"/>
  <c r="A848" i="1"/>
  <c r="D847" i="1"/>
  <c r="A847" i="1"/>
  <c r="D846" i="1"/>
  <c r="A846" i="1"/>
  <c r="D845" i="1"/>
  <c r="A845" i="1"/>
  <c r="D844" i="1"/>
  <c r="A844" i="1"/>
  <c r="D843" i="1"/>
  <c r="A843" i="1"/>
  <c r="D842" i="1"/>
  <c r="A842" i="1"/>
  <c r="D841" i="1"/>
  <c r="A841" i="1"/>
  <c r="D840" i="1"/>
  <c r="A840" i="1"/>
  <c r="D839" i="1"/>
  <c r="A839" i="1"/>
  <c r="D838" i="1"/>
  <c r="A838" i="1"/>
  <c r="D837" i="1"/>
  <c r="A837" i="1"/>
  <c r="D836" i="1"/>
  <c r="A836" i="1"/>
  <c r="D835" i="1"/>
  <c r="A835" i="1"/>
  <c r="D834" i="1"/>
  <c r="A834" i="1"/>
  <c r="D833" i="1"/>
  <c r="A833" i="1"/>
  <c r="D832" i="1"/>
  <c r="A832" i="1"/>
  <c r="D831" i="1"/>
  <c r="A831" i="1"/>
  <c r="D830" i="1"/>
  <c r="A830" i="1"/>
  <c r="D829" i="1"/>
  <c r="A829" i="1"/>
  <c r="D828" i="1"/>
  <c r="A828" i="1"/>
  <c r="D827" i="1"/>
  <c r="A827" i="1"/>
  <c r="D826" i="1"/>
  <c r="A826" i="1"/>
  <c r="D825" i="1"/>
  <c r="A825" i="1"/>
  <c r="D824" i="1"/>
  <c r="A824" i="1"/>
  <c r="D823" i="1"/>
  <c r="A823" i="1"/>
  <c r="D822" i="1"/>
  <c r="A822" i="1"/>
  <c r="D821" i="1"/>
  <c r="A821" i="1"/>
  <c r="D820" i="1"/>
  <c r="A820" i="1"/>
  <c r="D819" i="1"/>
  <c r="A819" i="1"/>
  <c r="D818" i="1"/>
  <c r="A818" i="1"/>
  <c r="D817" i="1"/>
  <c r="A817" i="1"/>
  <c r="D816" i="1"/>
  <c r="A816" i="1"/>
  <c r="D815" i="1"/>
  <c r="A815" i="1"/>
  <c r="D814" i="1"/>
  <c r="A814" i="1"/>
  <c r="D813" i="1"/>
  <c r="A813" i="1"/>
  <c r="D812" i="1"/>
  <c r="A812" i="1"/>
  <c r="D811" i="1"/>
  <c r="A811" i="1"/>
  <c r="D810" i="1"/>
  <c r="A810" i="1"/>
  <c r="D809" i="1"/>
  <c r="A809" i="1"/>
  <c r="D808" i="1"/>
  <c r="A808" i="1"/>
  <c r="D807" i="1"/>
  <c r="A807" i="1"/>
  <c r="D806" i="1"/>
  <c r="A806" i="1"/>
  <c r="D805" i="1"/>
  <c r="A805" i="1"/>
  <c r="D804" i="1"/>
  <c r="A804" i="1"/>
  <c r="D803" i="1"/>
  <c r="A803" i="1"/>
  <c r="D802" i="1"/>
  <c r="A802" i="1"/>
  <c r="D801" i="1"/>
  <c r="A801" i="1"/>
  <c r="D800" i="1"/>
  <c r="A800" i="1"/>
  <c r="D799" i="1"/>
  <c r="A799" i="1"/>
  <c r="D798" i="1"/>
  <c r="A798" i="1"/>
  <c r="D797" i="1"/>
  <c r="A797" i="1"/>
  <c r="D796" i="1"/>
  <c r="A796" i="1"/>
  <c r="D795" i="1"/>
  <c r="A795" i="1"/>
  <c r="D794" i="1"/>
  <c r="A794" i="1"/>
  <c r="D793" i="1"/>
  <c r="A793" i="1"/>
  <c r="D792" i="1"/>
  <c r="A792" i="1"/>
  <c r="D791" i="1"/>
  <c r="A791" i="1"/>
  <c r="D790" i="1"/>
  <c r="A790" i="1"/>
  <c r="D789" i="1"/>
  <c r="A789" i="1"/>
  <c r="D788" i="1"/>
  <c r="A788" i="1"/>
  <c r="D787" i="1"/>
  <c r="A787" i="1"/>
  <c r="D786" i="1"/>
  <c r="A786" i="1"/>
  <c r="D785" i="1"/>
  <c r="A785" i="1"/>
  <c r="D784" i="1"/>
  <c r="A784" i="1"/>
  <c r="D783" i="1"/>
  <c r="A783" i="1"/>
  <c r="D782" i="1"/>
  <c r="A782" i="1"/>
  <c r="D781" i="1"/>
  <c r="A781" i="1"/>
  <c r="D780" i="1"/>
  <c r="A780" i="1"/>
  <c r="D779" i="1"/>
  <c r="A779" i="1"/>
  <c r="D778" i="1"/>
  <c r="A778" i="1"/>
  <c r="D777" i="1"/>
  <c r="A777" i="1"/>
  <c r="D776" i="1"/>
  <c r="A776" i="1"/>
  <c r="D775" i="1"/>
  <c r="A775" i="1"/>
  <c r="D774" i="1"/>
  <c r="A774" i="1"/>
  <c r="D773" i="1"/>
  <c r="A773" i="1"/>
  <c r="D772" i="1"/>
  <c r="A772" i="1"/>
  <c r="D771" i="1"/>
  <c r="A771" i="1"/>
  <c r="D770" i="1"/>
  <c r="A770" i="1"/>
  <c r="D769" i="1"/>
  <c r="A769" i="1"/>
  <c r="D768" i="1"/>
  <c r="A768" i="1"/>
  <c r="D767" i="1"/>
  <c r="A767" i="1"/>
  <c r="D766" i="1"/>
  <c r="A766" i="1"/>
  <c r="D765" i="1"/>
  <c r="A765" i="1"/>
  <c r="D764" i="1"/>
  <c r="A764" i="1"/>
  <c r="D763" i="1"/>
  <c r="A763" i="1"/>
  <c r="D762" i="1"/>
  <c r="A762" i="1"/>
  <c r="D761" i="1"/>
  <c r="A761" i="1"/>
  <c r="D760" i="1"/>
  <c r="A760" i="1"/>
  <c r="D759" i="1"/>
  <c r="A759" i="1"/>
  <c r="D758" i="1"/>
  <c r="A758" i="1"/>
  <c r="D757" i="1"/>
  <c r="A757" i="1"/>
  <c r="D756" i="1"/>
  <c r="A756" i="1"/>
  <c r="D755" i="1"/>
  <c r="A755" i="1"/>
  <c r="D754" i="1"/>
  <c r="A754" i="1"/>
  <c r="D753" i="1"/>
  <c r="A753" i="1"/>
  <c r="D752" i="1"/>
  <c r="A752" i="1"/>
  <c r="D751" i="1"/>
  <c r="A751" i="1"/>
  <c r="D750" i="1"/>
  <c r="A750" i="1"/>
  <c r="D749" i="1"/>
  <c r="A749" i="1"/>
  <c r="D748" i="1"/>
  <c r="A748" i="1"/>
  <c r="D747" i="1"/>
  <c r="A747" i="1"/>
  <c r="D746" i="1"/>
  <c r="A746" i="1"/>
  <c r="D745" i="1"/>
  <c r="A745" i="1"/>
  <c r="D744" i="1"/>
  <c r="A744" i="1"/>
  <c r="D743" i="1"/>
  <c r="A743" i="1"/>
  <c r="D742" i="1"/>
  <c r="A742" i="1"/>
  <c r="D741" i="1"/>
  <c r="A741" i="1"/>
  <c r="D740" i="1"/>
  <c r="A740" i="1"/>
  <c r="D739" i="1"/>
  <c r="A739" i="1"/>
  <c r="D738" i="1"/>
  <c r="A738" i="1"/>
  <c r="D737" i="1"/>
  <c r="A737" i="1"/>
  <c r="D736" i="1"/>
  <c r="A736" i="1"/>
  <c r="D735" i="1"/>
  <c r="A735" i="1"/>
  <c r="D734" i="1"/>
  <c r="A734" i="1"/>
  <c r="D733" i="1"/>
  <c r="A733" i="1"/>
  <c r="D732" i="1"/>
  <c r="A732" i="1"/>
  <c r="D731" i="1"/>
  <c r="A731" i="1"/>
  <c r="D730" i="1"/>
  <c r="A730" i="1"/>
  <c r="D729" i="1"/>
  <c r="A729" i="1"/>
  <c r="D728" i="1"/>
  <c r="A728" i="1"/>
  <c r="D727" i="1"/>
  <c r="A727" i="1"/>
  <c r="D726" i="1"/>
  <c r="A726" i="1"/>
  <c r="D725" i="1"/>
  <c r="A725" i="1"/>
  <c r="D724" i="1"/>
  <c r="A724" i="1"/>
  <c r="D723" i="1"/>
  <c r="A723" i="1"/>
  <c r="D722" i="1"/>
  <c r="A722" i="1"/>
  <c r="D721" i="1"/>
  <c r="A721" i="1"/>
  <c r="D720" i="1"/>
  <c r="A720" i="1"/>
  <c r="D719" i="1"/>
  <c r="A719" i="1"/>
  <c r="D718" i="1"/>
  <c r="A718" i="1"/>
  <c r="D717" i="1"/>
  <c r="A717" i="1"/>
  <c r="D716" i="1"/>
  <c r="A716" i="1"/>
  <c r="D715" i="1"/>
  <c r="A715" i="1"/>
  <c r="D714" i="1"/>
  <c r="A714" i="1"/>
  <c r="D713" i="1"/>
  <c r="A713" i="1"/>
  <c r="D712" i="1"/>
  <c r="A712" i="1"/>
  <c r="D711" i="1"/>
  <c r="A711" i="1"/>
  <c r="D710" i="1"/>
  <c r="A710" i="1"/>
  <c r="D709" i="1"/>
  <c r="A709" i="1"/>
  <c r="D708" i="1"/>
  <c r="A708" i="1"/>
  <c r="D707" i="1"/>
  <c r="A707" i="1"/>
  <c r="D706" i="1"/>
  <c r="A706" i="1"/>
  <c r="D705" i="1"/>
  <c r="A705" i="1"/>
  <c r="D704" i="1"/>
  <c r="A704" i="1"/>
  <c r="D703" i="1"/>
  <c r="A703" i="1"/>
  <c r="D702" i="1"/>
  <c r="A702" i="1"/>
  <c r="D701" i="1"/>
  <c r="A701" i="1"/>
  <c r="D700" i="1"/>
  <c r="A700" i="1"/>
  <c r="D699" i="1"/>
  <c r="A699" i="1"/>
  <c r="D698" i="1"/>
  <c r="A698" i="1"/>
  <c r="D697" i="1"/>
  <c r="A697" i="1"/>
  <c r="D696" i="1"/>
  <c r="A696" i="1"/>
  <c r="D695" i="1"/>
  <c r="A695" i="1"/>
  <c r="D694" i="1"/>
  <c r="A694" i="1"/>
  <c r="D693" i="1"/>
  <c r="A693" i="1"/>
  <c r="D692" i="1"/>
  <c r="A692" i="1"/>
  <c r="D691" i="1"/>
  <c r="A691" i="1"/>
  <c r="D690" i="1"/>
  <c r="A690" i="1"/>
  <c r="D689" i="1"/>
  <c r="A689" i="1"/>
  <c r="D688" i="1"/>
  <c r="A688" i="1"/>
  <c r="D687" i="1"/>
  <c r="A687" i="1"/>
  <c r="D686" i="1"/>
  <c r="A686" i="1"/>
  <c r="D685" i="1"/>
  <c r="A685" i="1"/>
  <c r="D684" i="1"/>
  <c r="A684" i="1"/>
  <c r="D683" i="1"/>
  <c r="A683" i="1"/>
  <c r="D682" i="1"/>
  <c r="A682" i="1"/>
  <c r="D681" i="1"/>
  <c r="A681" i="1"/>
  <c r="D680" i="1"/>
  <c r="A680" i="1"/>
  <c r="D679" i="1"/>
  <c r="A679" i="1"/>
  <c r="D678" i="1"/>
  <c r="A678" i="1"/>
  <c r="D677" i="1"/>
  <c r="A677" i="1"/>
  <c r="D676" i="1"/>
  <c r="A676" i="1"/>
  <c r="D675" i="1"/>
  <c r="A675" i="1"/>
  <c r="D674" i="1"/>
  <c r="A674" i="1"/>
  <c r="D673" i="1"/>
  <c r="A673" i="1"/>
  <c r="D672" i="1"/>
  <c r="A672" i="1"/>
  <c r="D671" i="1"/>
  <c r="A671" i="1"/>
  <c r="D670" i="1"/>
  <c r="A670" i="1"/>
  <c r="D669" i="1"/>
  <c r="A669" i="1"/>
  <c r="D668" i="1"/>
  <c r="A668" i="1"/>
  <c r="D667" i="1"/>
  <c r="A667" i="1"/>
  <c r="D666" i="1"/>
  <c r="A666" i="1"/>
  <c r="D665" i="1"/>
  <c r="A665" i="1"/>
  <c r="D664" i="1"/>
  <c r="A664" i="1"/>
  <c r="D663" i="1"/>
  <c r="A663" i="1"/>
  <c r="D662" i="1"/>
  <c r="A662" i="1"/>
  <c r="D661" i="1"/>
  <c r="A661" i="1"/>
  <c r="D660" i="1"/>
  <c r="A660" i="1"/>
  <c r="D659" i="1"/>
  <c r="A659" i="1"/>
  <c r="D658" i="1"/>
  <c r="A658" i="1"/>
  <c r="D657" i="1"/>
  <c r="A657" i="1"/>
  <c r="D656" i="1"/>
  <c r="A656" i="1"/>
  <c r="D655" i="1"/>
  <c r="A655" i="1"/>
  <c r="D654" i="1"/>
  <c r="A654" i="1"/>
  <c r="D653" i="1"/>
  <c r="A653" i="1"/>
  <c r="D652" i="1"/>
  <c r="A652" i="1"/>
  <c r="D651" i="1"/>
  <c r="A651" i="1"/>
  <c r="D650" i="1"/>
  <c r="A650" i="1"/>
  <c r="D649" i="1"/>
  <c r="A649" i="1"/>
  <c r="D648" i="1"/>
  <c r="A648" i="1"/>
  <c r="D647" i="1"/>
  <c r="A647" i="1"/>
  <c r="D646" i="1"/>
  <c r="A646" i="1"/>
  <c r="D645" i="1"/>
  <c r="A645" i="1"/>
  <c r="D644" i="1"/>
  <c r="A644" i="1"/>
  <c r="D643" i="1"/>
  <c r="A643" i="1"/>
  <c r="D642" i="1"/>
  <c r="A642" i="1"/>
  <c r="D641" i="1"/>
  <c r="A641" i="1"/>
  <c r="D640" i="1"/>
  <c r="A640" i="1"/>
  <c r="D639" i="1"/>
  <c r="A639" i="1"/>
  <c r="D638" i="1"/>
  <c r="A638" i="1"/>
  <c r="D637" i="1"/>
  <c r="A637" i="1"/>
  <c r="D636" i="1"/>
  <c r="A636" i="1"/>
  <c r="D635" i="1"/>
  <c r="A635" i="1"/>
  <c r="D634" i="1"/>
  <c r="A634" i="1"/>
  <c r="D633" i="1"/>
  <c r="A633" i="1"/>
  <c r="D632" i="1"/>
  <c r="A632" i="1"/>
  <c r="D631" i="1"/>
  <c r="A631" i="1"/>
  <c r="D630" i="1"/>
  <c r="A630" i="1"/>
  <c r="D629" i="1"/>
  <c r="A629" i="1"/>
  <c r="D628" i="1"/>
  <c r="A628" i="1"/>
  <c r="D627" i="1"/>
  <c r="A627" i="1"/>
  <c r="D626" i="1"/>
  <c r="A626" i="1"/>
  <c r="D625" i="1"/>
  <c r="A625" i="1"/>
  <c r="D624" i="1"/>
  <c r="A624" i="1"/>
  <c r="D623" i="1"/>
  <c r="A623" i="1"/>
  <c r="D622" i="1"/>
  <c r="A622" i="1"/>
  <c r="D621" i="1"/>
  <c r="A621" i="1"/>
  <c r="D620" i="1"/>
  <c r="A620" i="1"/>
  <c r="D619" i="1"/>
  <c r="A619" i="1"/>
  <c r="D618" i="1"/>
  <c r="A618" i="1"/>
  <c r="D617" i="1"/>
  <c r="A617" i="1"/>
  <c r="D616" i="1"/>
  <c r="A616" i="1"/>
  <c r="D615" i="1"/>
  <c r="A615" i="1"/>
  <c r="D614" i="1"/>
  <c r="A614" i="1"/>
  <c r="D613" i="1"/>
  <c r="A613" i="1"/>
  <c r="D612" i="1"/>
  <c r="A612" i="1"/>
  <c r="D611" i="1"/>
  <c r="A611" i="1"/>
  <c r="D610" i="1"/>
  <c r="A610" i="1"/>
  <c r="D609" i="1"/>
  <c r="A609" i="1"/>
  <c r="D608" i="1"/>
  <c r="A608" i="1"/>
  <c r="D607" i="1"/>
  <c r="A607" i="1"/>
  <c r="D606" i="1"/>
  <c r="A606" i="1"/>
  <c r="D605" i="1"/>
  <c r="A605" i="1"/>
  <c r="D604" i="1"/>
  <c r="A604" i="1"/>
  <c r="D603" i="1"/>
  <c r="A603" i="1"/>
  <c r="D602" i="1"/>
  <c r="A602" i="1"/>
  <c r="D601" i="1"/>
  <c r="A601" i="1"/>
  <c r="D600" i="1"/>
  <c r="A600" i="1"/>
  <c r="D599" i="1"/>
  <c r="A599" i="1"/>
  <c r="D598" i="1"/>
  <c r="A598" i="1"/>
  <c r="D597" i="1"/>
  <c r="A597" i="1"/>
  <c r="D596" i="1"/>
  <c r="A596" i="1"/>
  <c r="D595" i="1"/>
  <c r="A595" i="1"/>
  <c r="D594" i="1"/>
  <c r="A594" i="1"/>
  <c r="D593" i="1"/>
  <c r="A593" i="1"/>
  <c r="D592" i="1"/>
  <c r="A592" i="1"/>
  <c r="D591" i="1"/>
  <c r="A591" i="1"/>
  <c r="D590" i="1"/>
  <c r="A590" i="1"/>
  <c r="D589" i="1"/>
  <c r="A589" i="1"/>
  <c r="D588" i="1"/>
  <c r="A588" i="1"/>
  <c r="D587" i="1"/>
  <c r="A587" i="1"/>
  <c r="D586" i="1"/>
  <c r="A586" i="1"/>
  <c r="D585" i="1"/>
  <c r="A585" i="1"/>
  <c r="D584" i="1"/>
  <c r="A584" i="1"/>
  <c r="D583" i="1"/>
  <c r="A583" i="1"/>
  <c r="D582" i="1"/>
  <c r="A582" i="1"/>
  <c r="D581" i="1"/>
  <c r="A581" i="1"/>
  <c r="D580" i="1"/>
  <c r="A580" i="1"/>
  <c r="D579" i="1"/>
  <c r="A579" i="1"/>
  <c r="D578" i="1"/>
  <c r="A578" i="1"/>
  <c r="D577" i="1"/>
  <c r="A577" i="1"/>
  <c r="D576" i="1"/>
  <c r="A576" i="1"/>
  <c r="D575" i="1"/>
  <c r="A575" i="1"/>
  <c r="D574" i="1"/>
  <c r="A574" i="1"/>
  <c r="D573" i="1"/>
  <c r="A573" i="1"/>
  <c r="D572" i="1"/>
  <c r="A572" i="1"/>
  <c r="D571" i="1"/>
  <c r="A571" i="1"/>
  <c r="D570" i="1"/>
  <c r="A570" i="1"/>
  <c r="D569" i="1"/>
  <c r="A569" i="1"/>
  <c r="D568" i="1"/>
  <c r="A568" i="1"/>
  <c r="D567" i="1"/>
  <c r="A567" i="1"/>
  <c r="D566" i="1"/>
  <c r="A566" i="1"/>
  <c r="D565" i="1"/>
  <c r="A565" i="1"/>
  <c r="D564" i="1"/>
  <c r="A564" i="1"/>
  <c r="D563" i="1"/>
  <c r="A563" i="1"/>
  <c r="D562" i="1"/>
  <c r="A562" i="1"/>
  <c r="D561" i="1"/>
  <c r="A561" i="1"/>
  <c r="D560" i="1"/>
  <c r="A560" i="1"/>
  <c r="D559" i="1"/>
  <c r="A559" i="1"/>
  <c r="D558" i="1"/>
  <c r="A558" i="1"/>
  <c r="D557" i="1"/>
  <c r="A557" i="1"/>
  <c r="D556" i="1"/>
  <c r="A556" i="1"/>
  <c r="D555" i="1"/>
  <c r="A555" i="1"/>
  <c r="D554" i="1"/>
  <c r="A554" i="1"/>
  <c r="D553" i="1"/>
  <c r="A553" i="1"/>
  <c r="D552" i="1"/>
  <c r="A552" i="1"/>
  <c r="D551" i="1"/>
  <c r="A551" i="1"/>
  <c r="D550" i="1"/>
  <c r="A550" i="1"/>
  <c r="D549" i="1"/>
  <c r="A549" i="1" s="1"/>
  <c r="D548" i="1"/>
  <c r="A548" i="1"/>
  <c r="D547" i="1"/>
  <c r="A547" i="1" s="1"/>
  <c r="D546" i="1"/>
  <c r="A546" i="1"/>
  <c r="D545" i="1"/>
  <c r="A545" i="1" s="1"/>
  <c r="D544" i="1"/>
  <c r="A544" i="1"/>
  <c r="D543" i="1"/>
  <c r="A543" i="1"/>
  <c r="D542" i="1"/>
  <c r="A542" i="1"/>
  <c r="D541" i="1"/>
  <c r="A541" i="1"/>
  <c r="D540" i="1"/>
  <c r="A540" i="1"/>
  <c r="D539" i="1"/>
  <c r="A539" i="1"/>
  <c r="D538" i="1"/>
  <c r="A538" i="1"/>
  <c r="D537" i="1"/>
  <c r="A537" i="1"/>
  <c r="D536" i="1"/>
  <c r="A536" i="1"/>
  <c r="D535" i="1"/>
  <c r="A535" i="1"/>
  <c r="D534" i="1"/>
  <c r="A534" i="1"/>
  <c r="D533" i="1"/>
  <c r="A533" i="1"/>
  <c r="D532" i="1"/>
  <c r="A532" i="1"/>
  <c r="D531" i="1"/>
  <c r="A531" i="1"/>
  <c r="D530" i="1"/>
  <c r="A530" i="1"/>
  <c r="D529" i="1"/>
  <c r="A529" i="1"/>
  <c r="D528" i="1"/>
  <c r="A528" i="1"/>
  <c r="D527" i="1"/>
  <c r="A527" i="1"/>
  <c r="D526" i="1"/>
  <c r="A526" i="1"/>
  <c r="D525" i="1"/>
  <c r="A525" i="1"/>
  <c r="D524" i="1"/>
  <c r="A524" i="1"/>
  <c r="D523" i="1"/>
  <c r="A523" i="1"/>
  <c r="D522" i="1"/>
  <c r="A522" i="1"/>
  <c r="D521" i="1"/>
  <c r="A521" i="1"/>
  <c r="D520" i="1"/>
  <c r="A520" i="1"/>
  <c r="D519" i="1"/>
  <c r="A519" i="1"/>
  <c r="D518" i="1"/>
  <c r="A518" i="1"/>
  <c r="D517" i="1"/>
  <c r="A517" i="1"/>
  <c r="D516" i="1"/>
  <c r="A516" i="1"/>
  <c r="D515" i="1"/>
  <c r="A515" i="1"/>
  <c r="D514" i="1"/>
  <c r="A514" i="1"/>
  <c r="D513" i="1"/>
  <c r="A513" i="1"/>
  <c r="D512" i="1"/>
  <c r="A512" i="1"/>
  <c r="D511" i="1"/>
  <c r="A511" i="1"/>
  <c r="D510" i="1"/>
  <c r="A510" i="1"/>
  <c r="D509" i="1"/>
  <c r="A509" i="1"/>
  <c r="D508" i="1"/>
  <c r="A508" i="1"/>
  <c r="D507" i="1"/>
  <c r="A507" i="1"/>
  <c r="D506" i="1"/>
  <c r="A506" i="1"/>
  <c r="D505" i="1"/>
  <c r="A505" i="1"/>
  <c r="D504" i="1"/>
  <c r="A504" i="1"/>
  <c r="D503" i="1"/>
  <c r="A503" i="1"/>
  <c r="D502" i="1"/>
  <c r="A502" i="1"/>
  <c r="D501" i="1"/>
  <c r="A501" i="1"/>
  <c r="D500" i="1"/>
  <c r="A500" i="1"/>
  <c r="D499" i="1"/>
  <c r="A499" i="1"/>
  <c r="D498" i="1"/>
  <c r="A498" i="1"/>
  <c r="D497" i="1"/>
  <c r="A497" i="1"/>
  <c r="D496" i="1"/>
  <c r="A496" i="1"/>
  <c r="D495" i="1"/>
  <c r="A495" i="1"/>
  <c r="D494" i="1"/>
  <c r="A494" i="1"/>
  <c r="D493" i="1"/>
  <c r="A493" i="1"/>
  <c r="D492" i="1"/>
  <c r="A492" i="1"/>
  <c r="D491" i="1"/>
  <c r="A491" i="1"/>
  <c r="D490" i="1"/>
  <c r="A490" i="1"/>
  <c r="D489" i="1"/>
  <c r="A489" i="1"/>
  <c r="D488" i="1"/>
  <c r="A488" i="1"/>
  <c r="D487" i="1"/>
  <c r="A487" i="1"/>
  <c r="D486" i="1"/>
  <c r="A486" i="1"/>
  <c r="D485" i="1"/>
  <c r="A485" i="1"/>
  <c r="D484" i="1"/>
  <c r="A484" i="1"/>
  <c r="D483" i="1"/>
  <c r="A483" i="1"/>
  <c r="D482" i="1"/>
  <c r="A482" i="1"/>
  <c r="D481" i="1"/>
  <c r="A481" i="1"/>
  <c r="D480" i="1"/>
  <c r="A480" i="1"/>
  <c r="D479" i="1"/>
  <c r="A479" i="1"/>
  <c r="D478" i="1"/>
  <c r="A478" i="1"/>
  <c r="D477" i="1"/>
  <c r="A477" i="1"/>
  <c r="D476" i="1"/>
  <c r="A476" i="1"/>
  <c r="D475" i="1"/>
  <c r="A475" i="1"/>
  <c r="D474" i="1"/>
  <c r="A474" i="1"/>
  <c r="D473" i="1"/>
  <c r="A473" i="1"/>
  <c r="D472" i="1"/>
  <c r="A472" i="1"/>
  <c r="D471" i="1"/>
  <c r="A471" i="1"/>
  <c r="D470" i="1"/>
  <c r="A470" i="1"/>
  <c r="D469" i="1"/>
  <c r="A469" i="1"/>
  <c r="D468" i="1"/>
  <c r="A468" i="1"/>
  <c r="D467" i="1"/>
  <c r="A467" i="1"/>
  <c r="D466" i="1"/>
  <c r="A466" i="1"/>
  <c r="D465" i="1"/>
  <c r="A465" i="1"/>
  <c r="D464" i="1"/>
  <c r="A464" i="1"/>
  <c r="D463" i="1"/>
  <c r="A463" i="1"/>
  <c r="D462" i="1"/>
  <c r="A462" i="1"/>
  <c r="D461" i="1"/>
  <c r="A461" i="1"/>
  <c r="D460" i="1"/>
  <c r="A460" i="1"/>
  <c r="D459" i="1"/>
  <c r="A459" i="1"/>
  <c r="D458" i="1"/>
  <c r="A458" i="1"/>
  <c r="D457" i="1"/>
  <c r="A457" i="1"/>
  <c r="D456" i="1"/>
  <c r="A456" i="1"/>
  <c r="D455" i="1"/>
  <c r="A455" i="1"/>
  <c r="D454" i="1"/>
  <c r="A454" i="1"/>
  <c r="D453" i="1"/>
  <c r="A453" i="1"/>
  <c r="D452" i="1"/>
  <c r="A452" i="1"/>
  <c r="D451" i="1"/>
  <c r="A451" i="1"/>
  <c r="D450" i="1"/>
  <c r="A450" i="1"/>
  <c r="D449" i="1"/>
  <c r="A449" i="1"/>
  <c r="D448" i="1"/>
  <c r="A448" i="1"/>
  <c r="D447" i="1"/>
  <c r="A447" i="1"/>
  <c r="D446" i="1"/>
  <c r="A446" i="1"/>
  <c r="D445" i="1"/>
  <c r="A445" i="1"/>
  <c r="D444" i="1"/>
  <c r="A444" i="1"/>
  <c r="D443" i="1"/>
  <c r="A443" i="1"/>
  <c r="D442" i="1"/>
  <c r="A442" i="1"/>
  <c r="D441" i="1"/>
  <c r="A441" i="1"/>
  <c r="D440" i="1"/>
  <c r="A440" i="1"/>
  <c r="D439" i="1"/>
  <c r="A439" i="1"/>
  <c r="D438" i="1"/>
  <c r="A438" i="1"/>
  <c r="D437" i="1"/>
  <c r="A437" i="1"/>
  <c r="D436" i="1"/>
  <c r="A436" i="1"/>
  <c r="D435" i="1"/>
  <c r="A435" i="1"/>
  <c r="D434" i="1"/>
  <c r="A434" i="1"/>
  <c r="D433" i="1"/>
  <c r="A433" i="1"/>
  <c r="D432" i="1"/>
  <c r="A432" i="1"/>
  <c r="D431" i="1"/>
  <c r="A431" i="1"/>
  <c r="D430" i="1"/>
  <c r="A430" i="1"/>
  <c r="D429" i="1"/>
  <c r="A429" i="1"/>
  <c r="D428" i="1"/>
  <c r="A428" i="1"/>
  <c r="D427" i="1"/>
  <c r="A427" i="1"/>
  <c r="D426" i="1"/>
  <c r="A426" i="1"/>
  <c r="D425" i="1"/>
  <c r="A425" i="1"/>
  <c r="D424" i="1"/>
  <c r="A424" i="1"/>
  <c r="D423" i="1"/>
  <c r="A423" i="1"/>
  <c r="D422" i="1"/>
  <c r="A422" i="1"/>
  <c r="D421" i="1"/>
  <c r="A421" i="1"/>
  <c r="D420" i="1"/>
  <c r="A420" i="1"/>
  <c r="D419" i="1"/>
  <c r="A419" i="1"/>
  <c r="D418" i="1"/>
  <c r="A418" i="1"/>
  <c r="D417" i="1"/>
  <c r="A417" i="1"/>
  <c r="D416" i="1"/>
  <c r="A416" i="1"/>
  <c r="D415" i="1"/>
  <c r="A415" i="1"/>
  <c r="D414" i="1"/>
  <c r="A414" i="1"/>
  <c r="D413" i="1"/>
  <c r="A413" i="1"/>
  <c r="D412" i="1"/>
  <c r="A412" i="1"/>
  <c r="D411" i="1"/>
  <c r="A411" i="1"/>
  <c r="D410" i="1"/>
  <c r="A410" i="1"/>
  <c r="D409" i="1"/>
  <c r="A409" i="1"/>
  <c r="D408" i="1"/>
  <c r="A408" i="1"/>
  <c r="D407" i="1"/>
  <c r="A407" i="1"/>
  <c r="D406" i="1"/>
  <c r="A406" i="1"/>
  <c r="D405" i="1"/>
  <c r="A405" i="1"/>
  <c r="D404" i="1"/>
  <c r="A404" i="1"/>
  <c r="D403" i="1"/>
  <c r="A403" i="1"/>
  <c r="D402" i="1"/>
  <c r="A402" i="1"/>
  <c r="D401" i="1"/>
  <c r="A401" i="1"/>
  <c r="D400" i="1"/>
  <c r="A400" i="1"/>
  <c r="D399" i="1"/>
  <c r="A399" i="1"/>
  <c r="D398" i="1"/>
  <c r="A398" i="1"/>
  <c r="D397" i="1"/>
  <c r="A397" i="1"/>
  <c r="D396" i="1"/>
  <c r="A396" i="1"/>
  <c r="D395" i="1"/>
  <c r="A395" i="1"/>
  <c r="D394" i="1"/>
  <c r="A394" i="1"/>
  <c r="D393" i="1"/>
  <c r="A393" i="1"/>
  <c r="D392" i="1"/>
  <c r="A392" i="1"/>
  <c r="D391" i="1"/>
  <c r="A391" i="1"/>
  <c r="D390" i="1"/>
  <c r="A390" i="1"/>
  <c r="D389" i="1"/>
  <c r="A389" i="1"/>
  <c r="D388" i="1"/>
  <c r="A388" i="1"/>
  <c r="D387" i="1"/>
  <c r="A387" i="1"/>
  <c r="D386" i="1"/>
  <c r="A386" i="1"/>
  <c r="D385" i="1"/>
  <c r="A385" i="1"/>
  <c r="D384" i="1"/>
  <c r="A384" i="1"/>
  <c r="D383" i="1"/>
  <c r="A383" i="1"/>
  <c r="D382" i="1"/>
  <c r="A382" i="1"/>
  <c r="D381" i="1"/>
  <c r="A381" i="1"/>
  <c r="D380" i="1"/>
  <c r="A380" i="1"/>
  <c r="D379" i="1"/>
  <c r="A379" i="1"/>
  <c r="D378" i="1"/>
  <c r="A378" i="1"/>
  <c r="D377" i="1"/>
  <c r="A377" i="1"/>
  <c r="D376" i="1"/>
  <c r="A376" i="1"/>
  <c r="D375" i="1"/>
  <c r="A375" i="1"/>
  <c r="D374" i="1"/>
  <c r="A374" i="1"/>
  <c r="D373" i="1"/>
  <c r="A373" i="1"/>
  <c r="D372" i="1"/>
  <c r="A372" i="1"/>
  <c r="D371" i="1"/>
  <c r="A371" i="1"/>
  <c r="D370" i="1"/>
  <c r="A370" i="1"/>
  <c r="D369" i="1"/>
  <c r="A369" i="1"/>
  <c r="D368" i="1"/>
  <c r="A368" i="1"/>
  <c r="D367" i="1"/>
  <c r="A367" i="1"/>
  <c r="D366" i="1"/>
  <c r="A366" i="1"/>
  <c r="D365" i="1"/>
  <c r="A365" i="1"/>
  <c r="D364" i="1"/>
  <c r="A364" i="1"/>
  <c r="D363" i="1"/>
  <c r="A363" i="1"/>
  <c r="D362" i="1"/>
  <c r="A362" i="1"/>
  <c r="D361" i="1"/>
  <c r="A361" i="1"/>
  <c r="D360" i="1"/>
  <c r="A360" i="1"/>
  <c r="D359" i="1"/>
  <c r="A359" i="1"/>
  <c r="D358" i="1"/>
  <c r="A358" i="1"/>
  <c r="D357" i="1"/>
  <c r="A357" i="1"/>
  <c r="D356" i="1"/>
  <c r="A356" i="1"/>
  <c r="D355" i="1"/>
  <c r="A355" i="1"/>
  <c r="D354" i="1"/>
  <c r="A354" i="1"/>
  <c r="D353" i="1"/>
  <c r="A353" i="1"/>
  <c r="D352" i="1"/>
  <c r="A352" i="1"/>
  <c r="D351" i="1"/>
  <c r="A351" i="1"/>
  <c r="D350" i="1"/>
  <c r="A350" i="1"/>
  <c r="D349" i="1"/>
  <c r="A349" i="1"/>
  <c r="D348" i="1"/>
  <c r="A348" i="1"/>
  <c r="D347" i="1"/>
  <c r="A347" i="1"/>
  <c r="D346" i="1"/>
  <c r="A346" i="1"/>
  <c r="D345" i="1"/>
  <c r="A345" i="1"/>
  <c r="D344" i="1"/>
  <c r="A344" i="1"/>
  <c r="D343" i="1"/>
  <c r="A343" i="1"/>
  <c r="D342" i="1"/>
  <c r="A342" i="1"/>
  <c r="D341" i="1"/>
  <c r="A341" i="1"/>
  <c r="D340" i="1"/>
  <c r="A340" i="1"/>
  <c r="D339" i="1"/>
  <c r="A339" i="1"/>
  <c r="D338" i="1"/>
  <c r="A338" i="1"/>
  <c r="D337" i="1"/>
  <c r="A337" i="1"/>
  <c r="D336" i="1"/>
  <c r="A336" i="1"/>
  <c r="D335" i="1"/>
  <c r="A335" i="1"/>
  <c r="D334" i="1"/>
  <c r="A334" i="1"/>
  <c r="D333" i="1"/>
  <c r="A333" i="1"/>
  <c r="D332" i="1"/>
  <c r="A332" i="1"/>
  <c r="D331" i="1"/>
  <c r="A331" i="1"/>
  <c r="D330" i="1"/>
  <c r="A330" i="1"/>
  <c r="D329" i="1"/>
  <c r="A329" i="1"/>
  <c r="D328" i="1"/>
  <c r="A328" i="1"/>
  <c r="D327" i="1"/>
  <c r="A327" i="1"/>
  <c r="D326" i="1"/>
  <c r="A326" i="1"/>
  <c r="D325" i="1"/>
  <c r="A325" i="1"/>
  <c r="D324" i="1"/>
  <c r="A324" i="1"/>
  <c r="D323" i="1"/>
  <c r="A323" i="1"/>
  <c r="D322" i="1"/>
  <c r="A322" i="1"/>
  <c r="D321" i="1"/>
  <c r="A321" i="1"/>
  <c r="D320" i="1"/>
  <c r="A320" i="1"/>
  <c r="D319" i="1"/>
  <c r="A319" i="1"/>
  <c r="D318" i="1"/>
  <c r="A318" i="1"/>
  <c r="D317" i="1"/>
  <c r="A317" i="1"/>
  <c r="D316" i="1"/>
  <c r="A316" i="1"/>
  <c r="D315" i="1"/>
  <c r="A315" i="1"/>
  <c r="D314" i="1"/>
  <c r="A314" i="1"/>
  <c r="D313" i="1"/>
  <c r="A313" i="1"/>
  <c r="D312" i="1"/>
  <c r="A312" i="1"/>
  <c r="D311" i="1"/>
  <c r="A311" i="1"/>
  <c r="D310" i="1"/>
  <c r="A310" i="1"/>
  <c r="D309" i="1"/>
  <c r="A309" i="1"/>
  <c r="D308" i="1"/>
  <c r="A308" i="1"/>
  <c r="D307" i="1"/>
  <c r="A307" i="1"/>
  <c r="D306" i="1"/>
  <c r="A306" i="1"/>
  <c r="D305" i="1"/>
  <c r="A305" i="1"/>
  <c r="D304" i="1"/>
  <c r="A304" i="1"/>
  <c r="D303" i="1"/>
  <c r="A303" i="1"/>
  <c r="D302" i="1"/>
  <c r="A302" i="1"/>
  <c r="D301" i="1"/>
  <c r="A301" i="1"/>
  <c r="D300" i="1"/>
  <c r="A300" i="1"/>
  <c r="D299" i="1"/>
  <c r="A299" i="1"/>
  <c r="D298" i="1"/>
  <c r="A298" i="1"/>
  <c r="D297" i="1"/>
  <c r="A297" i="1"/>
  <c r="D296" i="1"/>
  <c r="A296" i="1"/>
  <c r="D295" i="1"/>
  <c r="A295" i="1"/>
  <c r="D294" i="1"/>
  <c r="A294" i="1"/>
  <c r="D293" i="1"/>
  <c r="A293" i="1"/>
  <c r="D292" i="1"/>
  <c r="A292" i="1"/>
  <c r="D291" i="1"/>
  <c r="A291" i="1"/>
  <c r="D290" i="1"/>
  <c r="A290" i="1"/>
  <c r="D289" i="1"/>
  <c r="A289" i="1"/>
  <c r="D288" i="1"/>
  <c r="A288" i="1"/>
  <c r="D287" i="1"/>
  <c r="A287" i="1"/>
  <c r="D286" i="1"/>
  <c r="A286" i="1"/>
  <c r="D285" i="1"/>
  <c r="A285" i="1"/>
  <c r="D284" i="1"/>
  <c r="A284" i="1"/>
  <c r="D283" i="1"/>
  <c r="A283" i="1"/>
  <c r="D282" i="1"/>
  <c r="A282" i="1"/>
  <c r="D281" i="1"/>
  <c r="A281" i="1"/>
  <c r="D280" i="1"/>
  <c r="A280" i="1"/>
  <c r="D279" i="1"/>
  <c r="A279" i="1"/>
  <c r="D278" i="1"/>
  <c r="A278" i="1"/>
  <c r="D277" i="1"/>
  <c r="A277" i="1"/>
  <c r="D276" i="1"/>
  <c r="A276" i="1"/>
  <c r="D275" i="1"/>
  <c r="A275" i="1"/>
  <c r="D274" i="1"/>
  <c r="A274" i="1"/>
  <c r="D273" i="1"/>
  <c r="A273" i="1"/>
  <c r="D272" i="1"/>
  <c r="A272" i="1"/>
  <c r="D271" i="1"/>
  <c r="A271" i="1"/>
  <c r="D270" i="1"/>
  <c r="A270" i="1"/>
  <c r="D269" i="1"/>
  <c r="A269" i="1"/>
  <c r="D268" i="1"/>
  <c r="A268" i="1"/>
  <c r="D267" i="1"/>
  <c r="A267" i="1"/>
  <c r="D266" i="1"/>
  <c r="A266" i="1"/>
  <c r="D265" i="1"/>
  <c r="A265" i="1"/>
  <c r="D264" i="1"/>
  <c r="A264" i="1"/>
  <c r="D263" i="1"/>
  <c r="A263" i="1"/>
  <c r="D262" i="1"/>
  <c r="A262" i="1"/>
  <c r="D261" i="1"/>
  <c r="A261" i="1"/>
  <c r="D260" i="1"/>
  <c r="A260" i="1"/>
  <c r="D259" i="1"/>
  <c r="A259" i="1"/>
  <c r="D258" i="1"/>
  <c r="A258" i="1"/>
  <c r="D257" i="1"/>
  <c r="A257" i="1"/>
  <c r="D256" i="1"/>
  <c r="A256" i="1"/>
  <c r="D255" i="1"/>
  <c r="A255" i="1"/>
  <c r="D254" i="1"/>
  <c r="A254" i="1"/>
  <c r="D253" i="1"/>
  <c r="A253" i="1"/>
  <c r="D252" i="1"/>
  <c r="A252" i="1"/>
  <c r="D251" i="1"/>
  <c r="A251" i="1"/>
  <c r="D250" i="1"/>
  <c r="A250" i="1"/>
  <c r="D249" i="1"/>
  <c r="A249" i="1"/>
  <c r="D248" i="1"/>
  <c r="A248" i="1"/>
  <c r="D247" i="1"/>
  <c r="A247" i="1"/>
  <c r="D246" i="1"/>
  <c r="A246" i="1"/>
  <c r="D245" i="1"/>
  <c r="A245" i="1"/>
  <c r="D244" i="1"/>
  <c r="A244" i="1"/>
  <c r="D243" i="1"/>
  <c r="A243" i="1"/>
  <c r="D242" i="1"/>
  <c r="A242" i="1"/>
  <c r="D241" i="1"/>
  <c r="A241" i="1"/>
  <c r="D240" i="1"/>
  <c r="A240" i="1"/>
  <c r="D239" i="1"/>
  <c r="A239" i="1"/>
  <c r="D238" i="1"/>
  <c r="A238" i="1"/>
  <c r="D237" i="1"/>
  <c r="A237" i="1"/>
  <c r="D236" i="1"/>
  <c r="A236" i="1"/>
  <c r="D235" i="1"/>
  <c r="A235" i="1"/>
  <c r="D234" i="1"/>
  <c r="A234" i="1"/>
  <c r="D233" i="1"/>
  <c r="A233" i="1"/>
  <c r="D232" i="1"/>
  <c r="A232" i="1"/>
  <c r="D231" i="1"/>
  <c r="A231" i="1"/>
  <c r="D230" i="1"/>
  <c r="A230" i="1"/>
  <c r="D229" i="1"/>
  <c r="A229" i="1"/>
  <c r="D228" i="1"/>
  <c r="A228" i="1"/>
  <c r="D227" i="1"/>
  <c r="A227" i="1"/>
  <c r="D226" i="1"/>
  <c r="A226" i="1"/>
  <c r="D225" i="1"/>
  <c r="A225" i="1"/>
  <c r="D224" i="1"/>
  <c r="A224" i="1"/>
  <c r="D223" i="1"/>
  <c r="A223" i="1"/>
  <c r="D222" i="1"/>
  <c r="A222" i="1"/>
  <c r="D221" i="1"/>
  <c r="A221" i="1"/>
  <c r="D220" i="1"/>
  <c r="A220" i="1"/>
  <c r="D219" i="1"/>
  <c r="A219" i="1"/>
  <c r="D218" i="1"/>
  <c r="A218" i="1"/>
  <c r="D217" i="1"/>
  <c r="A217" i="1"/>
  <c r="D216" i="1"/>
  <c r="A216" i="1"/>
  <c r="D215" i="1"/>
  <c r="A215" i="1"/>
  <c r="D214" i="1"/>
  <c r="A214" i="1"/>
  <c r="D213" i="1"/>
  <c r="A213" i="1"/>
  <c r="D212" i="1"/>
  <c r="A212" i="1"/>
  <c r="D211" i="1"/>
  <c r="A211" i="1"/>
  <c r="D210" i="1"/>
  <c r="A210" i="1"/>
  <c r="D209" i="1"/>
  <c r="A209" i="1"/>
  <c r="D208" i="1"/>
  <c r="A208" i="1"/>
  <c r="D207" i="1"/>
  <c r="A207" i="1"/>
  <c r="D206" i="1"/>
  <c r="A206" i="1"/>
  <c r="D205" i="1"/>
  <c r="A205" i="1"/>
  <c r="D204" i="1"/>
  <c r="A204" i="1"/>
  <c r="D203" i="1"/>
  <c r="A203" i="1"/>
  <c r="D202" i="1"/>
  <c r="A202" i="1"/>
  <c r="D201" i="1"/>
  <c r="A201" i="1"/>
  <c r="D200" i="1"/>
  <c r="A200" i="1"/>
  <c r="D199" i="1"/>
  <c r="A199" i="1"/>
  <c r="D198" i="1"/>
  <c r="A198" i="1"/>
  <c r="D197" i="1"/>
  <c r="A197" i="1"/>
  <c r="D196" i="1"/>
  <c r="A196" i="1"/>
  <c r="D195" i="1"/>
  <c r="A195" i="1"/>
  <c r="D194" i="1"/>
  <c r="A194" i="1"/>
  <c r="D193" i="1"/>
  <c r="A193" i="1"/>
  <c r="D192" i="1"/>
  <c r="A192" i="1"/>
  <c r="D191" i="1"/>
  <c r="A191" i="1"/>
  <c r="D190" i="1"/>
  <c r="A190" i="1"/>
  <c r="D189" i="1"/>
  <c r="A189" i="1"/>
  <c r="D188" i="1"/>
  <c r="A188" i="1"/>
  <c r="D187" i="1"/>
  <c r="A187" i="1"/>
  <c r="D186" i="1"/>
  <c r="A186" i="1"/>
  <c r="D185" i="1"/>
  <c r="A185" i="1"/>
  <c r="D184" i="1"/>
  <c r="A184" i="1"/>
  <c r="D183" i="1"/>
  <c r="A183" i="1"/>
  <c r="D182" i="1"/>
  <c r="A182" i="1"/>
  <c r="D181" i="1"/>
  <c r="A181" i="1"/>
  <c r="D180" i="1"/>
  <c r="A180" i="1"/>
  <c r="D179" i="1"/>
  <c r="A179" i="1"/>
  <c r="D178" i="1"/>
  <c r="A178" i="1"/>
  <c r="D177" i="1"/>
  <c r="A177" i="1"/>
  <c r="D176" i="1"/>
  <c r="A176" i="1"/>
  <c r="D175" i="1"/>
  <c r="A175" i="1"/>
  <c r="D174" i="1"/>
  <c r="A174" i="1"/>
  <c r="D173" i="1"/>
  <c r="A173" i="1"/>
  <c r="D172" i="1"/>
  <c r="A172" i="1"/>
  <c r="D171" i="1"/>
  <c r="A171" i="1"/>
  <c r="D170" i="1"/>
  <c r="A170" i="1"/>
  <c r="D169" i="1"/>
  <c r="A169" i="1"/>
  <c r="D168" i="1"/>
  <c r="A168" i="1"/>
  <c r="D167" i="1"/>
  <c r="A167" i="1"/>
  <c r="D166" i="1"/>
  <c r="A166" i="1"/>
  <c r="D165" i="1"/>
  <c r="A165" i="1"/>
  <c r="D164" i="1"/>
  <c r="A164" i="1"/>
  <c r="D163" i="1"/>
  <c r="A163" i="1"/>
  <c r="D162" i="1"/>
  <c r="A162" i="1"/>
  <c r="D161" i="1"/>
  <c r="A161" i="1"/>
  <c r="D160" i="1"/>
  <c r="A160" i="1"/>
  <c r="D159" i="1"/>
  <c r="A159" i="1"/>
  <c r="D158" i="1"/>
  <c r="A158" i="1"/>
  <c r="D157" i="1"/>
  <c r="A157" i="1"/>
  <c r="D156" i="1"/>
  <c r="A156" i="1"/>
  <c r="D155" i="1"/>
  <c r="A155" i="1"/>
  <c r="D154" i="1"/>
  <c r="A154" i="1"/>
  <c r="D153" i="1"/>
  <c r="A153" i="1"/>
  <c r="D152" i="1"/>
  <c r="A152" i="1"/>
  <c r="D151" i="1"/>
  <c r="A151" i="1"/>
  <c r="D150" i="1"/>
  <c r="A150" i="1"/>
  <c r="D149" i="1"/>
  <c r="A149" i="1"/>
  <c r="D148" i="1"/>
  <c r="A148" i="1"/>
  <c r="D147" i="1"/>
  <c r="A147" i="1"/>
  <c r="D146" i="1"/>
  <c r="A146" i="1"/>
  <c r="D145" i="1"/>
  <c r="A145" i="1"/>
  <c r="D144" i="1"/>
  <c r="A144" i="1"/>
  <c r="D143" i="1"/>
  <c r="A143" i="1"/>
  <c r="D142" i="1"/>
  <c r="A142" i="1"/>
  <c r="D141" i="1"/>
  <c r="A141" i="1"/>
  <c r="D140" i="1"/>
  <c r="A140" i="1"/>
  <c r="D139" i="1"/>
  <c r="A139" i="1"/>
  <c r="D138" i="1"/>
  <c r="A138" i="1"/>
  <c r="D137" i="1"/>
  <c r="A137" i="1"/>
  <c r="D136" i="1"/>
  <c r="A136" i="1"/>
  <c r="D135" i="1"/>
  <c r="A135" i="1"/>
  <c r="D134" i="1"/>
  <c r="A134" i="1"/>
  <c r="D133" i="1"/>
  <c r="A133" i="1"/>
  <c r="D132" i="1"/>
  <c r="A132" i="1"/>
  <c r="D131" i="1"/>
  <c r="A131" i="1"/>
  <c r="D130" i="1"/>
  <c r="A130" i="1"/>
  <c r="D129" i="1"/>
  <c r="A129" i="1"/>
  <c r="D128" i="1"/>
  <c r="A128" i="1"/>
  <c r="D127" i="1"/>
  <c r="A127" i="1"/>
  <c r="D126" i="1"/>
  <c r="A126" i="1"/>
  <c r="D125" i="1"/>
  <c r="A125" i="1"/>
  <c r="D124" i="1"/>
  <c r="A124" i="1"/>
  <c r="D123" i="1"/>
  <c r="A123" i="1"/>
  <c r="D122" i="1"/>
  <c r="A122" i="1"/>
  <c r="D121" i="1"/>
  <c r="A121" i="1"/>
  <c r="D120" i="1"/>
  <c r="A120" i="1"/>
  <c r="D119" i="1"/>
  <c r="A119" i="1"/>
  <c r="D118" i="1"/>
  <c r="A118" i="1"/>
  <c r="D117" i="1"/>
  <c r="A117" i="1"/>
  <c r="D116" i="1"/>
  <c r="A116" i="1"/>
  <c r="D115" i="1"/>
  <c r="A115" i="1"/>
  <c r="D114" i="1"/>
  <c r="A114" i="1"/>
  <c r="D113" i="1"/>
  <c r="A113" i="1"/>
  <c r="D112" i="1"/>
  <c r="A112" i="1"/>
  <c r="D111" i="1"/>
  <c r="A111" i="1"/>
  <c r="D110" i="1"/>
  <c r="A110" i="1"/>
  <c r="D109" i="1"/>
  <c r="A109" i="1"/>
  <c r="D108" i="1"/>
  <c r="A108" i="1"/>
  <c r="D107" i="1"/>
  <c r="A107" i="1"/>
  <c r="D106" i="1"/>
  <c r="A106" i="1"/>
  <c r="D105" i="1"/>
  <c r="A105" i="1"/>
  <c r="D104" i="1"/>
  <c r="A104" i="1"/>
  <c r="D103" i="1"/>
  <c r="A103" i="1"/>
  <c r="D102" i="1"/>
  <c r="A102" i="1"/>
  <c r="D101" i="1"/>
  <c r="A101" i="1"/>
  <c r="D100" i="1"/>
  <c r="A100" i="1"/>
  <c r="D99" i="1"/>
  <c r="A99" i="1"/>
  <c r="D98" i="1"/>
  <c r="A98" i="1"/>
  <c r="D97" i="1"/>
  <c r="A97" i="1"/>
  <c r="D96" i="1"/>
  <c r="A96" i="1"/>
  <c r="D95" i="1"/>
  <c r="A95" i="1"/>
  <c r="D94" i="1"/>
  <c r="A94" i="1"/>
  <c r="D93" i="1"/>
  <c r="A93" i="1"/>
  <c r="D92" i="1"/>
  <c r="A92" i="1"/>
  <c r="D91" i="1"/>
  <c r="A91" i="1"/>
  <c r="D90" i="1"/>
  <c r="A90" i="1"/>
  <c r="D89" i="1"/>
  <c r="A89" i="1"/>
  <c r="D88" i="1"/>
  <c r="A88" i="1"/>
  <c r="D87" i="1"/>
  <c r="A87" i="1"/>
  <c r="D86" i="1"/>
  <c r="A86" i="1"/>
  <c r="D85" i="1"/>
  <c r="A85" i="1"/>
  <c r="D84" i="1"/>
  <c r="A84" i="1"/>
  <c r="D83" i="1"/>
  <c r="A83" i="1"/>
  <c r="D82" i="1"/>
  <c r="A82" i="1"/>
  <c r="D81" i="1"/>
  <c r="A81" i="1"/>
  <c r="D80" i="1"/>
  <c r="A80" i="1"/>
  <c r="D79" i="1"/>
  <c r="A79" i="1"/>
  <c r="D78" i="1"/>
  <c r="A78" i="1"/>
  <c r="D77" i="1"/>
  <c r="A77" i="1"/>
  <c r="D76" i="1"/>
  <c r="A76" i="1"/>
  <c r="D75" i="1"/>
  <c r="A75" i="1"/>
  <c r="D74" i="1"/>
  <c r="A74" i="1"/>
  <c r="D73" i="1"/>
  <c r="A73" i="1"/>
  <c r="D72" i="1"/>
  <c r="A72" i="1"/>
  <c r="D71" i="1"/>
  <c r="A71" i="1"/>
  <c r="D70" i="1"/>
  <c r="A70" i="1"/>
  <c r="D69" i="1"/>
  <c r="A69" i="1"/>
  <c r="D68" i="1"/>
  <c r="A68" i="1"/>
  <c r="D67" i="1"/>
  <c r="A67" i="1"/>
  <c r="D66" i="1"/>
  <c r="A66" i="1"/>
  <c r="D65" i="1"/>
  <c r="A65" i="1"/>
  <c r="D64" i="1"/>
  <c r="A64" i="1"/>
  <c r="D63" i="1"/>
  <c r="A63" i="1"/>
  <c r="D62" i="1"/>
  <c r="A62" i="1"/>
  <c r="D61" i="1"/>
  <c r="A61" i="1"/>
  <c r="D60" i="1"/>
  <c r="A60" i="1"/>
  <c r="D59" i="1"/>
  <c r="A59" i="1"/>
  <c r="D58" i="1"/>
  <c r="A58" i="1"/>
  <c r="D57" i="1"/>
  <c r="A57" i="1"/>
  <c r="D56" i="1"/>
  <c r="A56" i="1"/>
  <c r="D55" i="1"/>
  <c r="A55" i="1"/>
  <c r="D54" i="1"/>
  <c r="A54" i="1"/>
  <c r="D53" i="1"/>
  <c r="A53" i="1"/>
  <c r="D52" i="1"/>
  <c r="A52" i="1"/>
  <c r="D51" i="1"/>
  <c r="A51" i="1"/>
  <c r="D50" i="1"/>
  <c r="A50" i="1"/>
  <c r="D49" i="1"/>
  <c r="A49" i="1"/>
  <c r="D48" i="1"/>
  <c r="A48" i="1"/>
  <c r="D47" i="1"/>
  <c r="A47" i="1"/>
  <c r="D46" i="1"/>
  <c r="A46" i="1"/>
  <c r="D45" i="1"/>
  <c r="A45" i="1"/>
  <c r="D44" i="1"/>
  <c r="A44" i="1"/>
  <c r="D43" i="1"/>
  <c r="A43" i="1"/>
  <c r="D42" i="1"/>
  <c r="A42" i="1"/>
  <c r="D41" i="1"/>
  <c r="A41" i="1"/>
  <c r="D40" i="1"/>
  <c r="A40" i="1"/>
  <c r="D39" i="1"/>
  <c r="A39" i="1"/>
  <c r="D38" i="1"/>
  <c r="A38" i="1"/>
  <c r="D37" i="1"/>
  <c r="A37" i="1"/>
  <c r="D36" i="1"/>
  <c r="A36" i="1"/>
  <c r="D35" i="1"/>
  <c r="A35" i="1"/>
  <c r="D34" i="1"/>
  <c r="A34" i="1"/>
  <c r="D33" i="1"/>
  <c r="A33" i="1"/>
  <c r="D32" i="1"/>
  <c r="A32" i="1"/>
  <c r="D31" i="1"/>
  <c r="A31" i="1"/>
  <c r="D30" i="1"/>
  <c r="A30" i="1"/>
  <c r="D29" i="1"/>
  <c r="A29" i="1"/>
  <c r="D28" i="1"/>
  <c r="A28" i="1"/>
  <c r="D27" i="1"/>
  <c r="A27" i="1"/>
  <c r="D26" i="1"/>
  <c r="A26" i="1"/>
  <c r="D25" i="1"/>
  <c r="A25" i="1"/>
  <c r="D24" i="1"/>
  <c r="A24" i="1"/>
  <c r="D23" i="1"/>
  <c r="A23" i="1"/>
  <c r="D22" i="1"/>
  <c r="A22" i="1"/>
  <c r="D21" i="1"/>
  <c r="A21" i="1"/>
  <c r="D20" i="1"/>
  <c r="A20" i="1"/>
  <c r="D19" i="1"/>
  <c r="A19" i="1"/>
  <c r="D18" i="1"/>
  <c r="A18" i="1"/>
  <c r="D17" i="1"/>
  <c r="A17" i="1"/>
  <c r="D16" i="1"/>
  <c r="A16" i="1"/>
  <c r="D15" i="1"/>
  <c r="A15" i="1"/>
  <c r="D14" i="1"/>
  <c r="A14" i="1"/>
  <c r="D13" i="1"/>
  <c r="A13" i="1"/>
  <c r="D12" i="1"/>
  <c r="S12" i="2" s="1"/>
  <c r="A12" i="1"/>
  <c r="D11" i="1"/>
  <c r="A11" i="1"/>
  <c r="D10" i="1"/>
  <c r="A10" i="1"/>
  <c r="D9" i="1"/>
  <c r="A9" i="1"/>
  <c r="D8" i="1"/>
  <c r="S8" i="2" s="1"/>
  <c r="A8" i="1"/>
  <c r="D7" i="1"/>
  <c r="S7" i="2" s="1"/>
  <c r="A7" i="1"/>
  <c r="D6" i="1"/>
  <c r="A6" i="1"/>
  <c r="D5" i="1"/>
  <c r="A5" i="1"/>
  <c r="D4" i="1"/>
  <c r="S4" i="2" s="1"/>
  <c r="A4" i="1"/>
  <c r="D3" i="1"/>
  <c r="S3" i="2" s="1"/>
  <c r="A3" i="1"/>
  <c r="D2" i="1"/>
  <c r="A2" i="1" s="1"/>
  <c r="O295" i="2" l="1"/>
  <c r="O327" i="2"/>
  <c r="O359" i="2"/>
  <c r="O391" i="2"/>
  <c r="O423" i="2"/>
  <c r="O455" i="2"/>
  <c r="O487" i="2"/>
  <c r="O519" i="2"/>
  <c r="O551" i="2"/>
  <c r="O583" i="2"/>
  <c r="O615" i="2"/>
  <c r="O647" i="2"/>
  <c r="O679" i="2"/>
  <c r="O711" i="2"/>
  <c r="O743" i="2"/>
  <c r="O775" i="2"/>
  <c r="O807" i="2"/>
  <c r="O839" i="2"/>
  <c r="O871" i="2"/>
  <c r="O903" i="2"/>
  <c r="O935" i="2"/>
  <c r="O967" i="2"/>
  <c r="O999" i="2"/>
  <c r="O14" i="2"/>
  <c r="O46" i="2"/>
  <c r="O78" i="2"/>
  <c r="O110" i="2"/>
  <c r="O142" i="2"/>
  <c r="O174" i="2"/>
  <c r="O206" i="2"/>
  <c r="O238" i="2"/>
  <c r="O270" i="2"/>
  <c r="O302" i="2"/>
  <c r="O334" i="2"/>
  <c r="O366" i="2"/>
  <c r="O398" i="2"/>
  <c r="O430" i="2"/>
  <c r="O462" i="2"/>
  <c r="O494" i="2"/>
  <c r="O526" i="2"/>
  <c r="O558" i="2"/>
  <c r="O590" i="2"/>
  <c r="O622" i="2"/>
  <c r="O654" i="2"/>
  <c r="O686" i="2"/>
  <c r="O718" i="2"/>
  <c r="O750" i="2"/>
  <c r="O782" i="2"/>
  <c r="O814" i="2"/>
  <c r="O846" i="2"/>
  <c r="O878" i="2"/>
  <c r="O910" i="2"/>
  <c r="O942" i="2"/>
  <c r="O974" i="2"/>
  <c r="O23" i="2"/>
  <c r="O55" i="2"/>
  <c r="O87" i="2"/>
  <c r="O119" i="2"/>
  <c r="O151" i="2"/>
  <c r="O183" i="2"/>
  <c r="O215" i="2"/>
  <c r="O247" i="2"/>
  <c r="O279" i="2"/>
  <c r="O311" i="2"/>
  <c r="O343" i="2"/>
  <c r="O375" i="2"/>
  <c r="O407" i="2"/>
  <c r="O439" i="2"/>
  <c r="O471" i="2"/>
  <c r="O503" i="2"/>
  <c r="O535" i="2"/>
  <c r="O567" i="2"/>
  <c r="O599" i="2"/>
  <c r="O631" i="2"/>
  <c r="O663" i="2"/>
  <c r="O695" i="2"/>
  <c r="O727" i="2"/>
  <c r="O759" i="2"/>
  <c r="O791" i="2"/>
  <c r="O823" i="2"/>
  <c r="O855" i="2"/>
  <c r="O887" i="2"/>
  <c r="O919" i="2"/>
  <c r="O951" i="2"/>
  <c r="O983" i="2"/>
  <c r="O30" i="2"/>
  <c r="O62" i="2"/>
  <c r="O94" i="2"/>
  <c r="O126" i="2"/>
  <c r="O158" i="2"/>
  <c r="O190" i="2"/>
  <c r="O222" i="2"/>
  <c r="O254" i="2"/>
  <c r="O286" i="2"/>
  <c r="O318" i="2"/>
  <c r="O350" i="2"/>
  <c r="O382" i="2"/>
  <c r="O414" i="2"/>
  <c r="O446" i="2"/>
  <c r="O478" i="2"/>
  <c r="O510" i="2"/>
  <c r="O542" i="2"/>
  <c r="O574" i="2"/>
  <c r="O606" i="2"/>
  <c r="O638" i="2"/>
  <c r="O670" i="2"/>
  <c r="O702" i="2"/>
  <c r="O734" i="2"/>
  <c r="O766" i="2"/>
  <c r="O798" i="2"/>
  <c r="O830" i="2"/>
  <c r="O862" i="2"/>
  <c r="O894" i="2"/>
  <c r="O926" i="2"/>
  <c r="O958" i="2"/>
  <c r="O990" i="2"/>
  <c r="L994" i="2"/>
  <c r="L985" i="2"/>
  <c r="L973" i="2"/>
  <c r="L962" i="2"/>
  <c r="L953" i="2"/>
  <c r="L941" i="2"/>
  <c r="L930" i="2"/>
  <c r="L921" i="2"/>
  <c r="L909" i="2"/>
  <c r="L898" i="2"/>
  <c r="L889" i="2"/>
  <c r="L877" i="2"/>
  <c r="L866" i="2"/>
  <c r="L857" i="2"/>
  <c r="L845" i="2"/>
  <c r="L834" i="2"/>
  <c r="L825" i="2"/>
  <c r="L813" i="2"/>
  <c r="L802" i="2"/>
  <c r="L793" i="2"/>
  <c r="L781" i="2"/>
  <c r="L770" i="2"/>
  <c r="L989" i="2"/>
  <c r="L977" i="2"/>
  <c r="L961" i="2"/>
  <c r="L946" i="2"/>
  <c r="L933" i="2"/>
  <c r="L917" i="2"/>
  <c r="L905" i="2"/>
  <c r="L890" i="2"/>
  <c r="L874" i="2"/>
  <c r="L861" i="2"/>
  <c r="L849" i="2"/>
  <c r="L833" i="2"/>
  <c r="L818" i="2"/>
  <c r="L805" i="2"/>
  <c r="L789" i="2"/>
  <c r="L777" i="2"/>
  <c r="L762" i="2"/>
  <c r="L753" i="2"/>
  <c r="L741" i="2"/>
  <c r="L730" i="2"/>
  <c r="L721" i="2"/>
  <c r="L709" i="2"/>
  <c r="L698" i="2"/>
  <c r="L689" i="2"/>
  <c r="L677" i="2"/>
  <c r="L666" i="2"/>
  <c r="L657" i="2"/>
  <c r="L645" i="2"/>
  <c r="L634" i="2"/>
  <c r="L625" i="2"/>
  <c r="L613" i="2"/>
  <c r="L602" i="2"/>
  <c r="L593" i="2"/>
  <c r="L581" i="2"/>
  <c r="L570" i="2"/>
  <c r="L561" i="2"/>
  <c r="L550" i="2"/>
  <c r="L543" i="2"/>
  <c r="L537" i="2"/>
  <c r="L529" i="2"/>
  <c r="L522" i="2"/>
  <c r="L515" i="2"/>
  <c r="L507" i="2"/>
  <c r="L501" i="2"/>
  <c r="L494" i="2"/>
  <c r="L486" i="2"/>
  <c r="L479" i="2"/>
  <c r="L473" i="2"/>
  <c r="L465" i="2"/>
  <c r="L458" i="2"/>
  <c r="L451" i="2"/>
  <c r="L443" i="2"/>
  <c r="L437" i="2"/>
  <c r="L430" i="2"/>
  <c r="L422" i="2"/>
  <c r="L415" i="2"/>
  <c r="L409" i="2"/>
  <c r="L401" i="2"/>
  <c r="L394" i="2"/>
  <c r="L387" i="2"/>
  <c r="L379" i="2"/>
  <c r="L373" i="2"/>
  <c r="L366" i="2"/>
  <c r="L358" i="2"/>
  <c r="L351" i="2"/>
  <c r="L345" i="2"/>
  <c r="L337" i="2"/>
  <c r="L330" i="2"/>
  <c r="L323" i="2"/>
  <c r="L315" i="2"/>
  <c r="L309" i="2"/>
  <c r="L302" i="2"/>
  <c r="L294" i="2"/>
  <c r="L287" i="2"/>
  <c r="L281" i="2"/>
  <c r="L273" i="2"/>
  <c r="L266" i="2"/>
  <c r="L259" i="2"/>
  <c r="L251" i="2"/>
  <c r="L245" i="2"/>
  <c r="L238" i="2"/>
  <c r="L230" i="2"/>
  <c r="L223" i="2"/>
  <c r="L217" i="2"/>
  <c r="L209" i="2"/>
  <c r="L1001" i="2"/>
  <c r="L986" i="2"/>
  <c r="L970" i="2"/>
  <c r="L957" i="2"/>
  <c r="L945" i="2"/>
  <c r="L929" i="2"/>
  <c r="L914" i="2"/>
  <c r="L901" i="2"/>
  <c r="L885" i="2"/>
  <c r="L873" i="2"/>
  <c r="L858" i="2"/>
  <c r="L842" i="2"/>
  <c r="L829" i="2"/>
  <c r="L817" i="2"/>
  <c r="L801" i="2"/>
  <c r="L786" i="2"/>
  <c r="L773" i="2"/>
  <c r="L761" i="2"/>
  <c r="L749" i="2"/>
  <c r="L738" i="2"/>
  <c r="L729" i="2"/>
  <c r="L717" i="2"/>
  <c r="L706" i="2"/>
  <c r="L697" i="2"/>
  <c r="L685" i="2"/>
  <c r="L674" i="2"/>
  <c r="L665" i="2"/>
  <c r="L653" i="2"/>
  <c r="L642" i="2"/>
  <c r="L633" i="2"/>
  <c r="L621" i="2"/>
  <c r="L610" i="2"/>
  <c r="L601" i="2"/>
  <c r="L589" i="2"/>
  <c r="L578" i="2"/>
  <c r="L569" i="2"/>
  <c r="L557" i="2"/>
  <c r="L549" i="2"/>
  <c r="L542" i="2"/>
  <c r="L534" i="2"/>
  <c r="L527" i="2"/>
  <c r="L521" i="2"/>
  <c r="L513" i="2"/>
  <c r="L506" i="2"/>
  <c r="L499" i="2"/>
  <c r="L491" i="2"/>
  <c r="L485" i="2"/>
  <c r="L478" i="2"/>
  <c r="L470" i="2"/>
  <c r="L463" i="2"/>
  <c r="L457" i="2"/>
  <c r="L449" i="2"/>
  <c r="L442" i="2"/>
  <c r="L435" i="2"/>
  <c r="L427" i="2"/>
  <c r="L421" i="2"/>
  <c r="L414" i="2"/>
  <c r="L406" i="2"/>
  <c r="L399" i="2"/>
  <c r="L393" i="2"/>
  <c r="L385" i="2"/>
  <c r="L378" i="2"/>
  <c r="L371" i="2"/>
  <c r="L363" i="2"/>
  <c r="L357" i="2"/>
  <c r="L350" i="2"/>
  <c r="L342" i="2"/>
  <c r="L335" i="2"/>
  <c r="L329" i="2"/>
  <c r="L321" i="2"/>
  <c r="L314" i="2"/>
  <c r="L307" i="2"/>
  <c r="L299" i="2"/>
  <c r="L293" i="2"/>
  <c r="L286" i="2"/>
  <c r="L278" i="2"/>
  <c r="L271" i="2"/>
  <c r="L265" i="2"/>
  <c r="L257" i="2"/>
  <c r="L250" i="2"/>
  <c r="L243" i="2"/>
  <c r="L235" i="2"/>
  <c r="L229" i="2"/>
  <c r="L222" i="2"/>
  <c r="L214" i="2"/>
  <c r="L978" i="2"/>
  <c r="L949" i="2"/>
  <c r="L922" i="2"/>
  <c r="L893" i="2"/>
  <c r="L865" i="2"/>
  <c r="L837" i="2"/>
  <c r="L809" i="2"/>
  <c r="L778" i="2"/>
  <c r="L754" i="2"/>
  <c r="L733" i="2"/>
  <c r="L713" i="2"/>
  <c r="L690" i="2"/>
  <c r="L669" i="2"/>
  <c r="L649" i="2"/>
  <c r="L626" i="2"/>
  <c r="L605" i="2"/>
  <c r="L585" i="2"/>
  <c r="L562" i="2"/>
  <c r="L545" i="2"/>
  <c r="L531" i="2"/>
  <c r="L517" i="2"/>
  <c r="L502" i="2"/>
  <c r="L489" i="2"/>
  <c r="L474" i="2"/>
  <c r="L459" i="2"/>
  <c r="L446" i="2"/>
  <c r="L431" i="2"/>
  <c r="L417" i="2"/>
  <c r="L403" i="2"/>
  <c r="L389" i="2"/>
  <c r="L374" i="2"/>
  <c r="L361" i="2"/>
  <c r="L346" i="2"/>
  <c r="L331" i="2"/>
  <c r="L318" i="2"/>
  <c r="L303" i="2"/>
  <c r="L289" i="2"/>
  <c r="L275" i="2"/>
  <c r="L261" i="2"/>
  <c r="L246" i="2"/>
  <c r="L233" i="2"/>
  <c r="L218" i="2"/>
  <c r="L206" i="2"/>
  <c r="L198" i="2"/>
  <c r="L191" i="2"/>
  <c r="L185" i="2"/>
  <c r="L177" i="2"/>
  <c r="L170" i="2"/>
  <c r="L163" i="2"/>
  <c r="L155" i="2"/>
  <c r="L149" i="2"/>
  <c r="L142" i="2"/>
  <c r="L134" i="2"/>
  <c r="L127" i="2"/>
  <c r="L121" i="2"/>
  <c r="L113" i="2"/>
  <c r="L106" i="2"/>
  <c r="L99" i="2"/>
  <c r="L91" i="2"/>
  <c r="L85" i="2"/>
  <c r="L78" i="2"/>
  <c r="L70" i="2"/>
  <c r="L63" i="2"/>
  <c r="L57" i="2"/>
  <c r="L49" i="2"/>
  <c r="L42" i="2"/>
  <c r="L35" i="2"/>
  <c r="L27" i="2"/>
  <c r="L21" i="2"/>
  <c r="L14" i="2"/>
  <c r="L6" i="2"/>
  <c r="L2" i="2"/>
  <c r="L997" i="2"/>
  <c r="L969" i="2"/>
  <c r="L938" i="2"/>
  <c r="L913" i="2"/>
  <c r="L882" i="2"/>
  <c r="L853" i="2"/>
  <c r="L826" i="2"/>
  <c r="L797" i="2"/>
  <c r="L769" i="2"/>
  <c r="L746" i="2"/>
  <c r="L725" i="2"/>
  <c r="L705" i="2"/>
  <c r="L682" i="2"/>
  <c r="L661" i="2"/>
  <c r="L641" i="2"/>
  <c r="L618" i="2"/>
  <c r="L597" i="2"/>
  <c r="L577" i="2"/>
  <c r="L554" i="2"/>
  <c r="L539" i="2"/>
  <c r="L526" i="2"/>
  <c r="L511" i="2"/>
  <c r="L497" i="2"/>
  <c r="L483" i="2"/>
  <c r="L469" i="2"/>
  <c r="L454" i="2"/>
  <c r="L441" i="2"/>
  <c r="L426" i="2"/>
  <c r="L411" i="2"/>
  <c r="L398" i="2"/>
  <c r="L383" i="2"/>
  <c r="L369" i="2"/>
  <c r="L355" i="2"/>
  <c r="L341" i="2"/>
  <c r="L326" i="2"/>
  <c r="L313" i="2"/>
  <c r="L298" i="2"/>
  <c r="L283" i="2"/>
  <c r="L270" i="2"/>
  <c r="L255" i="2"/>
  <c r="L241" i="2"/>
  <c r="L227" i="2"/>
  <c r="L213" i="2"/>
  <c r="L203" i="2"/>
  <c r="L197" i="2"/>
  <c r="L190" i="2"/>
  <c r="L182" i="2"/>
  <c r="L175" i="2"/>
  <c r="L169" i="2"/>
  <c r="L161" i="2"/>
  <c r="L154" i="2"/>
  <c r="L147" i="2"/>
  <c r="L139" i="2"/>
  <c r="L133" i="2"/>
  <c r="L126" i="2"/>
  <c r="L118" i="2"/>
  <c r="L111" i="2"/>
  <c r="L105" i="2"/>
  <c r="L97" i="2"/>
  <c r="L90" i="2"/>
  <c r="L83" i="2"/>
  <c r="L75" i="2"/>
  <c r="L69" i="2"/>
  <c r="L62" i="2"/>
  <c r="L54" i="2"/>
  <c r="L47" i="2"/>
  <c r="L41" i="2"/>
  <c r="L33" i="2"/>
  <c r="L26" i="2"/>
  <c r="L19" i="2"/>
  <c r="L11" i="2"/>
  <c r="L5" i="2"/>
  <c r="L993" i="2"/>
  <c r="L965" i="2"/>
  <c r="L937" i="2"/>
  <c r="L906" i="2"/>
  <c r="L881" i="2"/>
  <c r="L850" i="2"/>
  <c r="L821" i="2"/>
  <c r="L794" i="2"/>
  <c r="L765" i="2"/>
  <c r="L745" i="2"/>
  <c r="L722" i="2"/>
  <c r="L701" i="2"/>
  <c r="L681" i="2"/>
  <c r="L658" i="2"/>
  <c r="L637" i="2"/>
  <c r="L617" i="2"/>
  <c r="L594" i="2"/>
  <c r="L573" i="2"/>
  <c r="L553" i="2"/>
  <c r="L538" i="2"/>
  <c r="L523" i="2"/>
  <c r="L510" i="2"/>
  <c r="L495" i="2"/>
  <c r="L481" i="2"/>
  <c r="L467" i="2"/>
  <c r="L453" i="2"/>
  <c r="L438" i="2"/>
  <c r="L425" i="2"/>
  <c r="L410" i="2"/>
  <c r="L395" i="2"/>
  <c r="L382" i="2"/>
  <c r="L367" i="2"/>
  <c r="L353" i="2"/>
  <c r="L339" i="2"/>
  <c r="L325" i="2"/>
  <c r="L310" i="2"/>
  <c r="L297" i="2"/>
  <c r="L282" i="2"/>
  <c r="L267" i="2"/>
  <c r="L254" i="2"/>
  <c r="L239" i="2"/>
  <c r="L225" i="2"/>
  <c r="L211" i="2"/>
  <c r="L202" i="2"/>
  <c r="L195" i="2"/>
  <c r="L187" i="2"/>
  <c r="L181" i="2"/>
  <c r="L174" i="2"/>
  <c r="L166" i="2"/>
  <c r="L159" i="2"/>
  <c r="L153" i="2"/>
  <c r="L145" i="2"/>
  <c r="L138" i="2"/>
  <c r="L131" i="2"/>
  <c r="L123" i="2"/>
  <c r="L117" i="2"/>
  <c r="L110" i="2"/>
  <c r="L102" i="2"/>
  <c r="L95" i="2"/>
  <c r="L89" i="2"/>
  <c r="L81" i="2"/>
  <c r="L74" i="2"/>
  <c r="L67" i="2"/>
  <c r="L59" i="2"/>
  <c r="L53" i="2"/>
  <c r="L46" i="2"/>
  <c r="L38" i="2"/>
  <c r="L31" i="2"/>
  <c r="L25" i="2"/>
  <c r="L17" i="2"/>
  <c r="L10" i="2"/>
  <c r="L3" i="2"/>
  <c r="L981" i="2"/>
  <c r="L954" i="2"/>
  <c r="L925" i="2"/>
  <c r="L897" i="2"/>
  <c r="L869" i="2"/>
  <c r="L841" i="2"/>
  <c r="L810" i="2"/>
  <c r="L785" i="2"/>
  <c r="L757" i="2"/>
  <c r="L737" i="2"/>
  <c r="L714" i="2"/>
  <c r="L693" i="2"/>
  <c r="L673" i="2"/>
  <c r="L650" i="2"/>
  <c r="L629" i="2"/>
  <c r="L609" i="2"/>
  <c r="L586" i="2"/>
  <c r="L565" i="2"/>
  <c r="L547" i="2"/>
  <c r="L533" i="2"/>
  <c r="L518" i="2"/>
  <c r="L505" i="2"/>
  <c r="L490" i="2"/>
  <c r="L475" i="2"/>
  <c r="L462" i="2"/>
  <c r="L58" i="2"/>
  <c r="L115" i="2"/>
  <c r="L171" i="2"/>
  <c r="L249" i="2"/>
  <c r="L305" i="2"/>
  <c r="L419" i="2"/>
  <c r="L37" i="2"/>
  <c r="L94" i="2"/>
  <c r="L150" i="2"/>
  <c r="L179" i="2"/>
  <c r="L262" i="2"/>
  <c r="L319" i="2"/>
  <c r="L377" i="2"/>
  <c r="L15" i="2"/>
  <c r="L43" i="2"/>
  <c r="L73" i="2"/>
  <c r="L101" i="2"/>
  <c r="L129" i="2"/>
  <c r="L158" i="2"/>
  <c r="L186" i="2"/>
  <c r="L219" i="2"/>
  <c r="L277" i="2"/>
  <c r="L334" i="2"/>
  <c r="L390" i="2"/>
  <c r="L447" i="2"/>
  <c r="L30" i="2"/>
  <c r="L86" i="2"/>
  <c r="L143" i="2"/>
  <c r="L201" i="2"/>
  <c r="L362" i="2"/>
  <c r="L9" i="2"/>
  <c r="L65" i="2"/>
  <c r="L122" i="2"/>
  <c r="L207" i="2"/>
  <c r="L433" i="2"/>
  <c r="L22" i="2"/>
  <c r="L51" i="2"/>
  <c r="L79" i="2"/>
  <c r="L107" i="2"/>
  <c r="L137" i="2"/>
  <c r="L165" i="2"/>
  <c r="L193" i="2"/>
  <c r="L234" i="2"/>
  <c r="L291" i="2"/>
  <c r="L347" i="2"/>
  <c r="L405" i="2"/>
  <c r="O15" i="2"/>
  <c r="O31" i="2"/>
  <c r="O47" i="2"/>
  <c r="O63" i="2"/>
  <c r="O79" i="2"/>
  <c r="O95" i="2"/>
  <c r="O111" i="2"/>
  <c r="O127" i="2"/>
  <c r="O143" i="2"/>
  <c r="O159" i="2"/>
  <c r="O175" i="2"/>
  <c r="O191" i="2"/>
  <c r="O207" i="2"/>
  <c r="O223" i="2"/>
  <c r="O239" i="2"/>
  <c r="O255" i="2"/>
  <c r="O271" i="2"/>
  <c r="O287" i="2"/>
  <c r="O303" i="2"/>
  <c r="O319" i="2"/>
  <c r="O335" i="2"/>
  <c r="O351" i="2"/>
  <c r="O367" i="2"/>
  <c r="O383" i="2"/>
  <c r="O399" i="2"/>
  <c r="O415" i="2"/>
  <c r="O431" i="2"/>
  <c r="O447" i="2"/>
  <c r="O463" i="2"/>
  <c r="O479" i="2"/>
  <c r="O495" i="2"/>
  <c r="O511" i="2"/>
  <c r="O527" i="2"/>
  <c r="O543" i="2"/>
  <c r="O559" i="2"/>
  <c r="O575" i="2"/>
  <c r="O591" i="2"/>
  <c r="O607" i="2"/>
  <c r="O623" i="2"/>
  <c r="O639" i="2"/>
  <c r="O655" i="2"/>
  <c r="O671" i="2"/>
  <c r="O687" i="2"/>
  <c r="O703" i="2"/>
  <c r="O719" i="2"/>
  <c r="O735" i="2"/>
  <c r="O751" i="2"/>
  <c r="O767" i="2"/>
  <c r="O783" i="2"/>
  <c r="O799" i="2"/>
  <c r="O815" i="2"/>
  <c r="O831" i="2"/>
  <c r="O847" i="2"/>
  <c r="O863" i="2"/>
  <c r="O879" i="2"/>
  <c r="O895" i="2"/>
  <c r="O911" i="2"/>
  <c r="O927" i="2"/>
  <c r="O943" i="2"/>
  <c r="O959" i="2"/>
  <c r="O975" i="2"/>
  <c r="O991" i="2"/>
  <c r="O6" i="2"/>
  <c r="O22" i="2"/>
  <c r="O38" i="2"/>
  <c r="O54" i="2"/>
  <c r="O70" i="2"/>
  <c r="O86" i="2"/>
  <c r="O102" i="2"/>
  <c r="O118" i="2"/>
  <c r="O134" i="2"/>
  <c r="O150" i="2"/>
  <c r="O166" i="2"/>
  <c r="O182" i="2"/>
  <c r="O198" i="2"/>
  <c r="O214" i="2"/>
  <c r="O230" i="2"/>
  <c r="O246" i="2"/>
  <c r="O262" i="2"/>
  <c r="O278" i="2"/>
  <c r="O294" i="2"/>
  <c r="O310" i="2"/>
  <c r="O326" i="2"/>
  <c r="O342" i="2"/>
  <c r="O358" i="2"/>
  <c r="O374" i="2"/>
  <c r="O390" i="2"/>
  <c r="O406" i="2"/>
  <c r="O422" i="2"/>
  <c r="O438" i="2"/>
  <c r="O454" i="2"/>
  <c r="O470" i="2"/>
  <c r="O486" i="2"/>
  <c r="O502" i="2"/>
  <c r="O518" i="2"/>
  <c r="O534" i="2"/>
  <c r="O550" i="2"/>
  <c r="O566" i="2"/>
  <c r="O582" i="2"/>
  <c r="O598" i="2"/>
  <c r="O614" i="2"/>
  <c r="O630" i="2"/>
  <c r="O646" i="2"/>
  <c r="O662" i="2"/>
  <c r="O678" i="2"/>
  <c r="O694" i="2"/>
  <c r="O710" i="2"/>
  <c r="O726" i="2"/>
  <c r="O742" i="2"/>
  <c r="O758" i="2"/>
  <c r="O774" i="2"/>
  <c r="O790" i="2"/>
  <c r="O806" i="2"/>
  <c r="O822" i="2"/>
  <c r="O838" i="2"/>
  <c r="O854" i="2"/>
  <c r="O870" i="2"/>
  <c r="O886" i="2"/>
  <c r="O902" i="2"/>
  <c r="O918" i="2"/>
  <c r="O934" i="2"/>
  <c r="O950" i="2"/>
  <c r="O966" i="2"/>
  <c r="O982" i="2"/>
  <c r="N184" i="2"/>
  <c r="M184" i="2" s="1"/>
  <c r="S184" i="2"/>
  <c r="N186" i="2"/>
  <c r="M186" i="2" s="1"/>
  <c r="S186" i="2"/>
  <c r="N188" i="2"/>
  <c r="M188" i="2" s="1"/>
  <c r="S188" i="2"/>
  <c r="N190" i="2"/>
  <c r="M190" i="2" s="1"/>
  <c r="S190" i="2"/>
  <c r="N192" i="2"/>
  <c r="M192" i="2" s="1"/>
  <c r="S192" i="2"/>
  <c r="N194" i="2"/>
  <c r="M194" i="2" s="1"/>
  <c r="S194" i="2"/>
  <c r="N196" i="2"/>
  <c r="M196" i="2" s="1"/>
  <c r="S196" i="2"/>
  <c r="N198" i="2"/>
  <c r="M198" i="2" s="1"/>
  <c r="S198" i="2"/>
  <c r="N200" i="2"/>
  <c r="M200" i="2" s="1"/>
  <c r="S200" i="2"/>
  <c r="N202" i="2"/>
  <c r="M202" i="2" s="1"/>
  <c r="S202" i="2"/>
  <c r="N204" i="2"/>
  <c r="M204" i="2" s="1"/>
  <c r="S204" i="2"/>
  <c r="N206" i="2"/>
  <c r="M206" i="2" s="1"/>
  <c r="S206" i="2"/>
  <c r="N208" i="2"/>
  <c r="M208" i="2" s="1"/>
  <c r="S208" i="2"/>
  <c r="N210" i="2"/>
  <c r="M210" i="2" s="1"/>
  <c r="S210" i="2"/>
  <c r="N212" i="2"/>
  <c r="M212" i="2" s="1"/>
  <c r="S212" i="2"/>
  <c r="N214" i="2"/>
  <c r="M214" i="2" s="1"/>
  <c r="S214" i="2"/>
  <c r="N216" i="2"/>
  <c r="M216" i="2" s="1"/>
  <c r="S216" i="2"/>
  <c r="N218" i="2"/>
  <c r="M218" i="2" s="1"/>
  <c r="S218" i="2"/>
  <c r="N220" i="2"/>
  <c r="M220" i="2" s="1"/>
  <c r="S220" i="2"/>
  <c r="N222" i="2"/>
  <c r="M222" i="2" s="1"/>
  <c r="S222" i="2"/>
  <c r="N224" i="2"/>
  <c r="M224" i="2" s="1"/>
  <c r="S224" i="2"/>
  <c r="N226" i="2"/>
  <c r="M226" i="2" s="1"/>
  <c r="S226" i="2"/>
  <c r="N228" i="2"/>
  <c r="M228" i="2" s="1"/>
  <c r="S228" i="2"/>
  <c r="N230" i="2"/>
  <c r="M230" i="2" s="1"/>
  <c r="S230" i="2"/>
  <c r="N232" i="2"/>
  <c r="M232" i="2" s="1"/>
  <c r="S232" i="2"/>
  <c r="N234" i="2"/>
  <c r="M234" i="2" s="1"/>
  <c r="S234" i="2"/>
  <c r="N236" i="2"/>
  <c r="M236" i="2" s="1"/>
  <c r="S236" i="2"/>
  <c r="N238" i="2"/>
  <c r="M238" i="2" s="1"/>
  <c r="S238" i="2"/>
  <c r="N240" i="2"/>
  <c r="M240" i="2" s="1"/>
  <c r="S240" i="2"/>
  <c r="N242" i="2"/>
  <c r="M242" i="2" s="1"/>
  <c r="S242" i="2"/>
  <c r="N244" i="2"/>
  <c r="M244" i="2" s="1"/>
  <c r="S244" i="2"/>
  <c r="N246" i="2"/>
  <c r="M246" i="2" s="1"/>
  <c r="S246" i="2"/>
  <c r="N248" i="2"/>
  <c r="M248" i="2" s="1"/>
  <c r="S248" i="2"/>
  <c r="N250" i="2"/>
  <c r="M250" i="2" s="1"/>
  <c r="S250" i="2"/>
  <c r="N252" i="2"/>
  <c r="M252" i="2" s="1"/>
  <c r="S252" i="2"/>
  <c r="N254" i="2"/>
  <c r="M254" i="2" s="1"/>
  <c r="S254" i="2"/>
  <c r="N256" i="2"/>
  <c r="M256" i="2" s="1"/>
  <c r="S256" i="2"/>
  <c r="N258" i="2"/>
  <c r="M258" i="2" s="1"/>
  <c r="S258" i="2"/>
  <c r="N260" i="2"/>
  <c r="M260" i="2" s="1"/>
  <c r="S260" i="2"/>
  <c r="N262" i="2"/>
  <c r="M262" i="2" s="1"/>
  <c r="S262" i="2"/>
  <c r="N264" i="2"/>
  <c r="M264" i="2" s="1"/>
  <c r="S264" i="2"/>
  <c r="N266" i="2"/>
  <c r="M266" i="2" s="1"/>
  <c r="S266" i="2"/>
  <c r="N268" i="2"/>
  <c r="M268" i="2" s="1"/>
  <c r="S268" i="2"/>
  <c r="N270" i="2"/>
  <c r="M270" i="2" s="1"/>
  <c r="S270" i="2"/>
  <c r="N272" i="2"/>
  <c r="M272" i="2" s="1"/>
  <c r="S272" i="2"/>
  <c r="N274" i="2"/>
  <c r="M274" i="2" s="1"/>
  <c r="S274" i="2"/>
  <c r="N276" i="2"/>
  <c r="M276" i="2" s="1"/>
  <c r="S276" i="2"/>
  <c r="N278" i="2"/>
  <c r="M278" i="2" s="1"/>
  <c r="S278" i="2"/>
  <c r="N280" i="2"/>
  <c r="M280" i="2" s="1"/>
  <c r="S280" i="2"/>
  <c r="S282" i="2"/>
  <c r="N282" i="2"/>
  <c r="M282" i="2" s="1"/>
  <c r="N284" i="2"/>
  <c r="M284" i="2" s="1"/>
  <c r="S284" i="2"/>
  <c r="S286" i="2"/>
  <c r="N286" i="2"/>
  <c r="M286" i="2" s="1"/>
  <c r="N288" i="2"/>
  <c r="M288" i="2" s="1"/>
  <c r="S288" i="2"/>
  <c r="S290" i="2"/>
  <c r="N290" i="2"/>
  <c r="M290" i="2" s="1"/>
  <c r="N292" i="2"/>
  <c r="M292" i="2" s="1"/>
  <c r="S292" i="2"/>
  <c r="S294" i="2"/>
  <c r="N294" i="2"/>
  <c r="M294" i="2" s="1"/>
  <c r="N296" i="2"/>
  <c r="M296" i="2" s="1"/>
  <c r="S296" i="2"/>
  <c r="S298" i="2"/>
  <c r="N298" i="2"/>
  <c r="M298" i="2" s="1"/>
  <c r="N300" i="2"/>
  <c r="M300" i="2" s="1"/>
  <c r="S300" i="2"/>
  <c r="S302" i="2"/>
  <c r="N302" i="2"/>
  <c r="M302" i="2" s="1"/>
  <c r="N304" i="2"/>
  <c r="M304" i="2" s="1"/>
  <c r="S304" i="2"/>
  <c r="S306" i="2"/>
  <c r="N306" i="2"/>
  <c r="M306" i="2" s="1"/>
  <c r="N308" i="2"/>
  <c r="M308" i="2" s="1"/>
  <c r="S308" i="2"/>
  <c r="S310" i="2"/>
  <c r="N310" i="2"/>
  <c r="M310" i="2" s="1"/>
  <c r="N312" i="2"/>
  <c r="M312" i="2" s="1"/>
  <c r="S312" i="2"/>
  <c r="S314" i="2"/>
  <c r="N314" i="2"/>
  <c r="M314" i="2" s="1"/>
  <c r="N316" i="2"/>
  <c r="M316" i="2" s="1"/>
  <c r="S316" i="2"/>
  <c r="S318" i="2"/>
  <c r="N318" i="2"/>
  <c r="M318" i="2" s="1"/>
  <c r="N320" i="2"/>
  <c r="M320" i="2" s="1"/>
  <c r="S320" i="2"/>
  <c r="S322" i="2"/>
  <c r="N322" i="2"/>
  <c r="M322" i="2" s="1"/>
  <c r="N324" i="2"/>
  <c r="M324" i="2" s="1"/>
  <c r="S324" i="2"/>
  <c r="S326" i="2"/>
  <c r="N326" i="2"/>
  <c r="M326" i="2" s="1"/>
  <c r="N328" i="2"/>
  <c r="M328" i="2" s="1"/>
  <c r="S328" i="2"/>
  <c r="S330" i="2"/>
  <c r="N330" i="2"/>
  <c r="M330" i="2" s="1"/>
  <c r="N332" i="2"/>
  <c r="M332" i="2" s="1"/>
  <c r="S332" i="2"/>
  <c r="S334" i="2"/>
  <c r="N334" i="2"/>
  <c r="M334" i="2" s="1"/>
  <c r="N336" i="2"/>
  <c r="M336" i="2" s="1"/>
  <c r="S336" i="2"/>
  <c r="S338" i="2"/>
  <c r="N338" i="2"/>
  <c r="M338" i="2" s="1"/>
  <c r="N340" i="2"/>
  <c r="M340" i="2" s="1"/>
  <c r="S340" i="2"/>
  <c r="S342" i="2"/>
  <c r="N342" i="2"/>
  <c r="M342" i="2" s="1"/>
  <c r="N344" i="2"/>
  <c r="M344" i="2" s="1"/>
  <c r="S344" i="2"/>
  <c r="S346" i="2"/>
  <c r="N346" i="2"/>
  <c r="M346" i="2" s="1"/>
  <c r="N348" i="2"/>
  <c r="M348" i="2" s="1"/>
  <c r="S348" i="2"/>
  <c r="S350" i="2"/>
  <c r="N350" i="2"/>
  <c r="M350" i="2" s="1"/>
  <c r="N352" i="2"/>
  <c r="M352" i="2" s="1"/>
  <c r="S352" i="2"/>
  <c r="S354" i="2"/>
  <c r="N354" i="2"/>
  <c r="M354" i="2" s="1"/>
  <c r="N356" i="2"/>
  <c r="M356" i="2" s="1"/>
  <c r="S356" i="2"/>
  <c r="S358" i="2"/>
  <c r="N358" i="2"/>
  <c r="M358" i="2" s="1"/>
  <c r="N360" i="2"/>
  <c r="M360" i="2" s="1"/>
  <c r="S360" i="2"/>
  <c r="S362" i="2"/>
  <c r="N362" i="2"/>
  <c r="M362" i="2" s="1"/>
  <c r="N364" i="2"/>
  <c r="M364" i="2" s="1"/>
  <c r="S364" i="2"/>
  <c r="S366" i="2"/>
  <c r="N366" i="2"/>
  <c r="M366" i="2" s="1"/>
  <c r="N368" i="2"/>
  <c r="M368" i="2" s="1"/>
  <c r="S368" i="2"/>
  <c r="S370" i="2"/>
  <c r="N370" i="2"/>
  <c r="M370" i="2" s="1"/>
  <c r="N372" i="2"/>
  <c r="M372" i="2" s="1"/>
  <c r="S372" i="2"/>
  <c r="S374" i="2"/>
  <c r="N374" i="2"/>
  <c r="M374" i="2" s="1"/>
  <c r="N376" i="2"/>
  <c r="M376" i="2" s="1"/>
  <c r="S376" i="2"/>
  <c r="S378" i="2"/>
  <c r="N378" i="2"/>
  <c r="M378" i="2" s="1"/>
  <c r="N380" i="2"/>
  <c r="M380" i="2" s="1"/>
  <c r="S380" i="2"/>
  <c r="S382" i="2"/>
  <c r="N382" i="2"/>
  <c r="M382" i="2" s="1"/>
  <c r="N384" i="2"/>
  <c r="M384" i="2" s="1"/>
  <c r="S384" i="2"/>
  <c r="S386" i="2"/>
  <c r="N386" i="2"/>
  <c r="M386" i="2" s="1"/>
  <c r="N388" i="2"/>
  <c r="M388" i="2" s="1"/>
  <c r="S388" i="2"/>
  <c r="S390" i="2"/>
  <c r="N390" i="2"/>
  <c r="M390" i="2" s="1"/>
  <c r="N392" i="2"/>
  <c r="M392" i="2" s="1"/>
  <c r="S392" i="2"/>
  <c r="S394" i="2"/>
  <c r="N394" i="2"/>
  <c r="M394" i="2" s="1"/>
  <c r="N396" i="2"/>
  <c r="M396" i="2" s="1"/>
  <c r="S396" i="2"/>
  <c r="S398" i="2"/>
  <c r="N398" i="2"/>
  <c r="M398" i="2" s="1"/>
  <c r="N400" i="2"/>
  <c r="M400" i="2" s="1"/>
  <c r="S400" i="2"/>
  <c r="S402" i="2"/>
  <c r="N402" i="2"/>
  <c r="M402" i="2" s="1"/>
  <c r="N404" i="2"/>
  <c r="M404" i="2" s="1"/>
  <c r="S404" i="2"/>
  <c r="S406" i="2"/>
  <c r="N406" i="2"/>
  <c r="M406" i="2" s="1"/>
  <c r="N408" i="2"/>
  <c r="M408" i="2" s="1"/>
  <c r="S408" i="2"/>
  <c r="S410" i="2"/>
  <c r="N410" i="2"/>
  <c r="M410" i="2" s="1"/>
  <c r="N412" i="2"/>
  <c r="M412" i="2" s="1"/>
  <c r="S412" i="2"/>
  <c r="S414" i="2"/>
  <c r="N414" i="2"/>
  <c r="M414" i="2" s="1"/>
  <c r="N416" i="2"/>
  <c r="M416" i="2" s="1"/>
  <c r="S416" i="2"/>
  <c r="S418" i="2"/>
  <c r="N418" i="2"/>
  <c r="M418" i="2" s="1"/>
  <c r="S420" i="2"/>
  <c r="N420" i="2"/>
  <c r="M420" i="2" s="1"/>
  <c r="S422" i="2"/>
  <c r="N422" i="2"/>
  <c r="M422" i="2" s="1"/>
  <c r="N424" i="2"/>
  <c r="M424" i="2" s="1"/>
  <c r="S424" i="2"/>
  <c r="S426" i="2"/>
  <c r="N426" i="2"/>
  <c r="M426" i="2" s="1"/>
  <c r="N428" i="2"/>
  <c r="M428" i="2" s="1"/>
  <c r="S428" i="2"/>
  <c r="S430" i="2"/>
  <c r="N430" i="2"/>
  <c r="M430" i="2" s="1"/>
  <c r="N432" i="2"/>
  <c r="M432" i="2" s="1"/>
  <c r="S432" i="2"/>
  <c r="S434" i="2"/>
  <c r="N434" i="2"/>
  <c r="M434" i="2" s="1"/>
  <c r="N436" i="2"/>
  <c r="M436" i="2" s="1"/>
  <c r="S436" i="2"/>
  <c r="S438" i="2"/>
  <c r="N438" i="2"/>
  <c r="M438" i="2" s="1"/>
  <c r="N440" i="2"/>
  <c r="M440" i="2" s="1"/>
  <c r="S440" i="2"/>
  <c r="S442" i="2"/>
  <c r="N442" i="2"/>
  <c r="M442" i="2" s="1"/>
  <c r="N444" i="2"/>
  <c r="M444" i="2" s="1"/>
  <c r="S444" i="2"/>
  <c r="S446" i="2"/>
  <c r="N446" i="2"/>
  <c r="M446" i="2" s="1"/>
  <c r="N448" i="2"/>
  <c r="M448" i="2" s="1"/>
  <c r="S448" i="2"/>
  <c r="S450" i="2"/>
  <c r="N450" i="2"/>
  <c r="M450" i="2" s="1"/>
  <c r="N452" i="2"/>
  <c r="M452" i="2" s="1"/>
  <c r="S452" i="2"/>
  <c r="S454" i="2"/>
  <c r="N454" i="2"/>
  <c r="M454" i="2" s="1"/>
  <c r="N456" i="2"/>
  <c r="M456" i="2" s="1"/>
  <c r="S456" i="2"/>
  <c r="S458" i="2"/>
  <c r="N458" i="2"/>
  <c r="M458" i="2" s="1"/>
  <c r="N460" i="2"/>
  <c r="M460" i="2" s="1"/>
  <c r="S460" i="2"/>
  <c r="S462" i="2"/>
  <c r="N462" i="2"/>
  <c r="M462" i="2" s="1"/>
  <c r="N464" i="2"/>
  <c r="M464" i="2" s="1"/>
  <c r="S464" i="2"/>
  <c r="S466" i="2"/>
  <c r="N466" i="2"/>
  <c r="M466" i="2" s="1"/>
  <c r="N468" i="2"/>
  <c r="M468" i="2" s="1"/>
  <c r="S468" i="2"/>
  <c r="S470" i="2"/>
  <c r="N470" i="2"/>
  <c r="M470" i="2" s="1"/>
  <c r="N472" i="2"/>
  <c r="M472" i="2" s="1"/>
  <c r="S472" i="2"/>
  <c r="S474" i="2"/>
  <c r="N474" i="2"/>
  <c r="M474" i="2" s="1"/>
  <c r="N476" i="2"/>
  <c r="M476" i="2" s="1"/>
  <c r="S476" i="2"/>
  <c r="S478" i="2"/>
  <c r="N478" i="2"/>
  <c r="M478" i="2" s="1"/>
  <c r="N480" i="2"/>
  <c r="M480" i="2" s="1"/>
  <c r="S480" i="2"/>
  <c r="S482" i="2"/>
  <c r="N482" i="2"/>
  <c r="M482" i="2" s="1"/>
  <c r="N484" i="2"/>
  <c r="M484" i="2" s="1"/>
  <c r="S484" i="2"/>
  <c r="S486" i="2"/>
  <c r="N486" i="2"/>
  <c r="M486" i="2" s="1"/>
  <c r="N488" i="2"/>
  <c r="M488" i="2" s="1"/>
  <c r="S488" i="2"/>
  <c r="S490" i="2"/>
  <c r="N490" i="2"/>
  <c r="M490" i="2" s="1"/>
  <c r="N492" i="2"/>
  <c r="M492" i="2" s="1"/>
  <c r="S492" i="2"/>
  <c r="S494" i="2"/>
  <c r="N494" i="2"/>
  <c r="M494" i="2" s="1"/>
  <c r="N496" i="2"/>
  <c r="M496" i="2" s="1"/>
  <c r="S496" i="2"/>
  <c r="S498" i="2"/>
  <c r="N498" i="2"/>
  <c r="M498" i="2" s="1"/>
  <c r="N500" i="2"/>
  <c r="M500" i="2" s="1"/>
  <c r="S500" i="2"/>
  <c r="S502" i="2"/>
  <c r="N502" i="2"/>
  <c r="M502" i="2" s="1"/>
  <c r="N504" i="2"/>
  <c r="M504" i="2" s="1"/>
  <c r="S504" i="2"/>
  <c r="S506" i="2"/>
  <c r="N506" i="2"/>
  <c r="M506" i="2" s="1"/>
  <c r="N508" i="2"/>
  <c r="M508" i="2" s="1"/>
  <c r="S508" i="2"/>
  <c r="S510" i="2"/>
  <c r="N510" i="2"/>
  <c r="M510" i="2" s="1"/>
  <c r="N512" i="2"/>
  <c r="M512" i="2" s="1"/>
  <c r="S512" i="2"/>
  <c r="S514" i="2"/>
  <c r="N514" i="2"/>
  <c r="M514" i="2" s="1"/>
  <c r="N516" i="2"/>
  <c r="M516" i="2" s="1"/>
  <c r="S516" i="2"/>
  <c r="S518" i="2"/>
  <c r="N518" i="2"/>
  <c r="M518" i="2" s="1"/>
  <c r="N520" i="2"/>
  <c r="M520" i="2" s="1"/>
  <c r="S520" i="2"/>
  <c r="S522" i="2"/>
  <c r="N522" i="2"/>
  <c r="M522" i="2" s="1"/>
  <c r="N524" i="2"/>
  <c r="M524" i="2" s="1"/>
  <c r="S524" i="2"/>
  <c r="S526" i="2"/>
  <c r="N526" i="2"/>
  <c r="M526" i="2" s="1"/>
  <c r="N528" i="2"/>
  <c r="M528" i="2" s="1"/>
  <c r="S528" i="2"/>
  <c r="S530" i="2"/>
  <c r="N530" i="2"/>
  <c r="M530" i="2" s="1"/>
  <c r="N532" i="2"/>
  <c r="M532" i="2" s="1"/>
  <c r="S532" i="2"/>
  <c r="S534" i="2"/>
  <c r="N534" i="2"/>
  <c r="M534" i="2" s="1"/>
  <c r="N536" i="2"/>
  <c r="M536" i="2" s="1"/>
  <c r="S536" i="2"/>
  <c r="S538" i="2"/>
  <c r="N538" i="2"/>
  <c r="M538" i="2" s="1"/>
  <c r="N540" i="2"/>
  <c r="M540" i="2" s="1"/>
  <c r="S540" i="2"/>
  <c r="S542" i="2"/>
  <c r="N542" i="2"/>
  <c r="M542" i="2" s="1"/>
  <c r="N544" i="2"/>
  <c r="M544" i="2" s="1"/>
  <c r="S544" i="2"/>
  <c r="S546" i="2"/>
  <c r="N546" i="2"/>
  <c r="M546" i="2" s="1"/>
  <c r="N548" i="2"/>
  <c r="M548" i="2" s="1"/>
  <c r="S548" i="2"/>
  <c r="S550" i="2"/>
  <c r="N550" i="2"/>
  <c r="M550" i="2" s="1"/>
  <c r="N552" i="2"/>
  <c r="M552" i="2" s="1"/>
  <c r="S552" i="2"/>
  <c r="S554" i="2"/>
  <c r="N554" i="2"/>
  <c r="M554" i="2" s="1"/>
  <c r="N556" i="2"/>
  <c r="M556" i="2" s="1"/>
  <c r="S556" i="2"/>
  <c r="S558" i="2"/>
  <c r="N558" i="2"/>
  <c r="M558" i="2" s="1"/>
  <c r="N560" i="2"/>
  <c r="M560" i="2" s="1"/>
  <c r="S560" i="2"/>
  <c r="S562" i="2"/>
  <c r="N562" i="2"/>
  <c r="M562" i="2" s="1"/>
  <c r="N564" i="2"/>
  <c r="M564" i="2" s="1"/>
  <c r="S564" i="2"/>
  <c r="S566" i="2"/>
  <c r="N566" i="2"/>
  <c r="M566" i="2" s="1"/>
  <c r="N568" i="2"/>
  <c r="M568" i="2" s="1"/>
  <c r="S568" i="2"/>
  <c r="S570" i="2"/>
  <c r="N570" i="2"/>
  <c r="M570" i="2" s="1"/>
  <c r="N572" i="2"/>
  <c r="M572" i="2" s="1"/>
  <c r="S572" i="2"/>
  <c r="S574" i="2"/>
  <c r="N574" i="2"/>
  <c r="M574" i="2" s="1"/>
  <c r="N576" i="2"/>
  <c r="M576" i="2" s="1"/>
  <c r="S576" i="2"/>
  <c r="S578" i="2"/>
  <c r="N578" i="2"/>
  <c r="M578" i="2" s="1"/>
  <c r="N580" i="2"/>
  <c r="M580" i="2" s="1"/>
  <c r="S580" i="2"/>
  <c r="S582" i="2"/>
  <c r="N582" i="2"/>
  <c r="M582" i="2" s="1"/>
  <c r="N584" i="2"/>
  <c r="M584" i="2" s="1"/>
  <c r="S584" i="2"/>
  <c r="S586" i="2"/>
  <c r="N586" i="2"/>
  <c r="M586" i="2" s="1"/>
  <c r="N588" i="2"/>
  <c r="M588" i="2" s="1"/>
  <c r="S588" i="2"/>
  <c r="S590" i="2"/>
  <c r="N590" i="2"/>
  <c r="M590" i="2" s="1"/>
  <c r="N592" i="2"/>
  <c r="M592" i="2" s="1"/>
  <c r="S592" i="2"/>
  <c r="S594" i="2"/>
  <c r="N594" i="2"/>
  <c r="M594" i="2" s="1"/>
  <c r="N596" i="2"/>
  <c r="M596" i="2" s="1"/>
  <c r="S596" i="2"/>
  <c r="S598" i="2"/>
  <c r="N598" i="2"/>
  <c r="M598" i="2" s="1"/>
  <c r="N600" i="2"/>
  <c r="M600" i="2" s="1"/>
  <c r="S600" i="2"/>
  <c r="S602" i="2"/>
  <c r="N602" i="2"/>
  <c r="M602" i="2" s="1"/>
  <c r="N604" i="2"/>
  <c r="M604" i="2" s="1"/>
  <c r="S604" i="2"/>
  <c r="S606" i="2"/>
  <c r="N606" i="2"/>
  <c r="M606" i="2" s="1"/>
  <c r="N608" i="2"/>
  <c r="M608" i="2" s="1"/>
  <c r="S608" i="2"/>
  <c r="S610" i="2"/>
  <c r="N610" i="2"/>
  <c r="M610" i="2" s="1"/>
  <c r="S612" i="2"/>
  <c r="N612" i="2"/>
  <c r="M612" i="2" s="1"/>
  <c r="N614" i="2"/>
  <c r="M614" i="2" s="1"/>
  <c r="S614" i="2"/>
  <c r="S616" i="2"/>
  <c r="N616" i="2"/>
  <c r="M616" i="2" s="1"/>
  <c r="S618" i="2"/>
  <c r="N618" i="2"/>
  <c r="M618" i="2" s="1"/>
  <c r="S620" i="2"/>
  <c r="N620" i="2"/>
  <c r="M620" i="2" s="1"/>
  <c r="N622" i="2"/>
  <c r="M622" i="2" s="1"/>
  <c r="S622" i="2"/>
  <c r="N624" i="2"/>
  <c r="M624" i="2" s="1"/>
  <c r="S624" i="2"/>
  <c r="N626" i="2"/>
  <c r="M626" i="2" s="1"/>
  <c r="S626" i="2"/>
  <c r="N628" i="2"/>
  <c r="M628" i="2" s="1"/>
  <c r="S628" i="2"/>
  <c r="S630" i="2"/>
  <c r="N630" i="2"/>
  <c r="M630" i="2" s="1"/>
  <c r="N632" i="2"/>
  <c r="M632" i="2" s="1"/>
  <c r="S632" i="2"/>
  <c r="S634" i="2"/>
  <c r="N634" i="2"/>
  <c r="M634" i="2" s="1"/>
  <c r="N636" i="2"/>
  <c r="M636" i="2" s="1"/>
  <c r="S636" i="2"/>
  <c r="S638" i="2"/>
  <c r="N638" i="2"/>
  <c r="M638" i="2" s="1"/>
  <c r="N640" i="2"/>
  <c r="M640" i="2" s="1"/>
  <c r="S640" i="2"/>
  <c r="S642" i="2"/>
  <c r="N642" i="2"/>
  <c r="M642" i="2" s="1"/>
  <c r="N644" i="2"/>
  <c r="M644" i="2" s="1"/>
  <c r="S644" i="2"/>
  <c r="S646" i="2"/>
  <c r="N646" i="2"/>
  <c r="M646" i="2" s="1"/>
  <c r="N648" i="2"/>
  <c r="M648" i="2" s="1"/>
  <c r="S648" i="2"/>
  <c r="S650" i="2"/>
  <c r="N650" i="2"/>
  <c r="M650" i="2" s="1"/>
  <c r="N652" i="2"/>
  <c r="M652" i="2" s="1"/>
  <c r="S652" i="2"/>
  <c r="N654" i="2"/>
  <c r="M654" i="2" s="1"/>
  <c r="S654" i="2"/>
  <c r="N656" i="2"/>
  <c r="M656" i="2" s="1"/>
  <c r="S656" i="2"/>
  <c r="S658" i="2"/>
  <c r="N658" i="2"/>
  <c r="M658" i="2" s="1"/>
  <c r="N660" i="2"/>
  <c r="M660" i="2" s="1"/>
  <c r="S660" i="2"/>
  <c r="N662" i="2"/>
  <c r="M662" i="2" s="1"/>
  <c r="S662" i="2"/>
  <c r="N664" i="2"/>
  <c r="M664" i="2" s="1"/>
  <c r="S664" i="2"/>
  <c r="S666" i="2"/>
  <c r="N666" i="2"/>
  <c r="M666" i="2" s="1"/>
  <c r="N668" i="2"/>
  <c r="M668" i="2" s="1"/>
  <c r="S668" i="2"/>
  <c r="N670" i="2"/>
  <c r="M670" i="2" s="1"/>
  <c r="S670" i="2"/>
  <c r="N672" i="2"/>
  <c r="M672" i="2" s="1"/>
  <c r="S672" i="2"/>
  <c r="S674" i="2"/>
  <c r="N674" i="2"/>
  <c r="M674" i="2" s="1"/>
  <c r="N676" i="2"/>
  <c r="M676" i="2" s="1"/>
  <c r="S676" i="2"/>
  <c r="N678" i="2"/>
  <c r="M678" i="2" s="1"/>
  <c r="S678" i="2"/>
  <c r="N680" i="2"/>
  <c r="M680" i="2" s="1"/>
  <c r="S680" i="2"/>
  <c r="S682" i="2"/>
  <c r="N682" i="2"/>
  <c r="M682" i="2" s="1"/>
  <c r="N684" i="2"/>
  <c r="M684" i="2" s="1"/>
  <c r="S684" i="2"/>
  <c r="N686" i="2"/>
  <c r="M686" i="2" s="1"/>
  <c r="S686" i="2"/>
  <c r="N688" i="2"/>
  <c r="M688" i="2" s="1"/>
  <c r="S688" i="2"/>
  <c r="S690" i="2"/>
  <c r="N690" i="2"/>
  <c r="M690" i="2" s="1"/>
  <c r="N692" i="2"/>
  <c r="M692" i="2" s="1"/>
  <c r="S692" i="2"/>
  <c r="N694" i="2"/>
  <c r="M694" i="2" s="1"/>
  <c r="S694" i="2"/>
  <c r="N696" i="2"/>
  <c r="M696" i="2" s="1"/>
  <c r="S696" i="2"/>
  <c r="S698" i="2"/>
  <c r="N698" i="2"/>
  <c r="M698" i="2" s="1"/>
  <c r="N700" i="2"/>
  <c r="M700" i="2" s="1"/>
  <c r="S700" i="2"/>
  <c r="N702" i="2"/>
  <c r="M702" i="2" s="1"/>
  <c r="S702" i="2"/>
  <c r="N704" i="2"/>
  <c r="M704" i="2" s="1"/>
  <c r="S704" i="2"/>
  <c r="N706" i="2"/>
  <c r="M706" i="2" s="1"/>
  <c r="S706" i="2"/>
  <c r="N708" i="2"/>
  <c r="M708" i="2" s="1"/>
  <c r="S708" i="2"/>
  <c r="N710" i="2"/>
  <c r="M710" i="2" s="1"/>
  <c r="S710" i="2"/>
  <c r="N712" i="2"/>
  <c r="M712" i="2" s="1"/>
  <c r="S712" i="2"/>
  <c r="N714" i="2"/>
  <c r="M714" i="2" s="1"/>
  <c r="S714" i="2"/>
  <c r="N716" i="2"/>
  <c r="M716" i="2" s="1"/>
  <c r="S716" i="2"/>
  <c r="N718" i="2"/>
  <c r="M718" i="2" s="1"/>
  <c r="S718" i="2"/>
  <c r="N720" i="2"/>
  <c r="M720" i="2" s="1"/>
  <c r="S720" i="2"/>
  <c r="N722" i="2"/>
  <c r="M722" i="2" s="1"/>
  <c r="S722" i="2"/>
  <c r="N724" i="2"/>
  <c r="M724" i="2" s="1"/>
  <c r="S724" i="2"/>
  <c r="N726" i="2"/>
  <c r="M726" i="2" s="1"/>
  <c r="S726" i="2"/>
  <c r="N728" i="2"/>
  <c r="M728" i="2" s="1"/>
  <c r="S728" i="2"/>
  <c r="N730" i="2"/>
  <c r="M730" i="2" s="1"/>
  <c r="S730" i="2"/>
  <c r="N732" i="2"/>
  <c r="M732" i="2" s="1"/>
  <c r="S732" i="2"/>
  <c r="N734" i="2"/>
  <c r="M734" i="2" s="1"/>
  <c r="S734" i="2"/>
  <c r="N736" i="2"/>
  <c r="M736" i="2" s="1"/>
  <c r="S736" i="2"/>
  <c r="N738" i="2"/>
  <c r="M738" i="2" s="1"/>
  <c r="S738" i="2"/>
  <c r="N740" i="2"/>
  <c r="M740" i="2" s="1"/>
  <c r="S740" i="2"/>
  <c r="N742" i="2"/>
  <c r="M742" i="2" s="1"/>
  <c r="S742" i="2"/>
  <c r="N744" i="2"/>
  <c r="M744" i="2" s="1"/>
  <c r="S744" i="2"/>
  <c r="N746" i="2"/>
  <c r="M746" i="2" s="1"/>
  <c r="S746" i="2"/>
  <c r="N748" i="2"/>
  <c r="M748" i="2" s="1"/>
  <c r="S748" i="2"/>
  <c r="N750" i="2"/>
  <c r="M750" i="2" s="1"/>
  <c r="S750" i="2"/>
  <c r="N752" i="2"/>
  <c r="M752" i="2" s="1"/>
  <c r="S752" i="2"/>
  <c r="N754" i="2"/>
  <c r="M754" i="2" s="1"/>
  <c r="S754" i="2"/>
  <c r="N756" i="2"/>
  <c r="M756" i="2" s="1"/>
  <c r="S756" i="2"/>
  <c r="S758" i="2"/>
  <c r="N758" i="2"/>
  <c r="M758" i="2" s="1"/>
  <c r="N760" i="2"/>
  <c r="M760" i="2" s="1"/>
  <c r="S760" i="2"/>
  <c r="S762" i="2"/>
  <c r="N762" i="2"/>
  <c r="M762" i="2" s="1"/>
  <c r="N764" i="2"/>
  <c r="M764" i="2" s="1"/>
  <c r="S764" i="2"/>
  <c r="S766" i="2"/>
  <c r="N766" i="2"/>
  <c r="M766" i="2" s="1"/>
  <c r="N768" i="2"/>
  <c r="M768" i="2" s="1"/>
  <c r="S768" i="2"/>
  <c r="S770" i="2"/>
  <c r="N770" i="2"/>
  <c r="M770" i="2" s="1"/>
  <c r="N772" i="2"/>
  <c r="M772" i="2" s="1"/>
  <c r="S772" i="2"/>
  <c r="S774" i="2"/>
  <c r="N774" i="2"/>
  <c r="M774" i="2" s="1"/>
  <c r="N776" i="2"/>
  <c r="M776" i="2" s="1"/>
  <c r="S776" i="2"/>
  <c r="S778" i="2"/>
  <c r="N778" i="2"/>
  <c r="M778" i="2" s="1"/>
  <c r="N780" i="2"/>
  <c r="M780" i="2" s="1"/>
  <c r="S780" i="2"/>
  <c r="S782" i="2"/>
  <c r="N782" i="2"/>
  <c r="M782" i="2" s="1"/>
  <c r="N784" i="2"/>
  <c r="M784" i="2" s="1"/>
  <c r="S784" i="2"/>
  <c r="S786" i="2"/>
  <c r="N786" i="2"/>
  <c r="M786" i="2" s="1"/>
  <c r="N788" i="2"/>
  <c r="M788" i="2" s="1"/>
  <c r="S788" i="2"/>
  <c r="S790" i="2"/>
  <c r="N790" i="2"/>
  <c r="M790" i="2" s="1"/>
  <c r="N792" i="2"/>
  <c r="M792" i="2" s="1"/>
  <c r="S792" i="2"/>
  <c r="S794" i="2"/>
  <c r="N794" i="2"/>
  <c r="M794" i="2" s="1"/>
  <c r="N796" i="2"/>
  <c r="M796" i="2" s="1"/>
  <c r="S796" i="2"/>
  <c r="S798" i="2"/>
  <c r="N798" i="2"/>
  <c r="M798" i="2" s="1"/>
  <c r="N800" i="2"/>
  <c r="M800" i="2" s="1"/>
  <c r="S800" i="2"/>
  <c r="S802" i="2"/>
  <c r="N802" i="2"/>
  <c r="M802" i="2" s="1"/>
  <c r="N804" i="2"/>
  <c r="M804" i="2" s="1"/>
  <c r="S804" i="2"/>
  <c r="S806" i="2"/>
  <c r="N806" i="2"/>
  <c r="M806" i="2" s="1"/>
  <c r="N808" i="2"/>
  <c r="M808" i="2" s="1"/>
  <c r="S808" i="2"/>
  <c r="S810" i="2"/>
  <c r="N810" i="2"/>
  <c r="M810" i="2" s="1"/>
  <c r="N812" i="2"/>
  <c r="M812" i="2" s="1"/>
  <c r="S812" i="2"/>
  <c r="S814" i="2"/>
  <c r="N814" i="2"/>
  <c r="M814" i="2" s="1"/>
  <c r="N816" i="2"/>
  <c r="M816" i="2" s="1"/>
  <c r="S816" i="2"/>
  <c r="S818" i="2"/>
  <c r="N818" i="2"/>
  <c r="M818" i="2" s="1"/>
  <c r="N820" i="2"/>
  <c r="M820" i="2" s="1"/>
  <c r="S820" i="2"/>
  <c r="S822" i="2"/>
  <c r="N822" i="2"/>
  <c r="M822" i="2" s="1"/>
  <c r="N824" i="2"/>
  <c r="M824" i="2" s="1"/>
  <c r="S824" i="2"/>
  <c r="N826" i="2"/>
  <c r="M826" i="2" s="1"/>
  <c r="S826" i="2"/>
  <c r="S828" i="2"/>
  <c r="N828" i="2"/>
  <c r="M828" i="2" s="1"/>
  <c r="N830" i="2"/>
  <c r="M830" i="2" s="1"/>
  <c r="S830" i="2"/>
  <c r="S832" i="2"/>
  <c r="N832" i="2"/>
  <c r="M832" i="2" s="1"/>
  <c r="N834" i="2"/>
  <c r="M834" i="2" s="1"/>
  <c r="S834" i="2"/>
  <c r="S836" i="2"/>
  <c r="N836" i="2"/>
  <c r="M836" i="2" s="1"/>
  <c r="N838" i="2"/>
  <c r="M838" i="2" s="1"/>
  <c r="S838" i="2"/>
  <c r="S840" i="2"/>
  <c r="N840" i="2"/>
  <c r="M840" i="2" s="1"/>
  <c r="N842" i="2"/>
  <c r="M842" i="2" s="1"/>
  <c r="S842" i="2"/>
  <c r="S844" i="2"/>
  <c r="N844" i="2"/>
  <c r="M844" i="2" s="1"/>
  <c r="N846" i="2"/>
  <c r="M846" i="2" s="1"/>
  <c r="S846" i="2"/>
  <c r="S848" i="2"/>
  <c r="N848" i="2"/>
  <c r="M848" i="2" s="1"/>
  <c r="N850" i="2"/>
  <c r="M850" i="2" s="1"/>
  <c r="S850" i="2"/>
  <c r="S852" i="2"/>
  <c r="N852" i="2"/>
  <c r="M852" i="2" s="1"/>
  <c r="N854" i="2"/>
  <c r="M854" i="2" s="1"/>
  <c r="S854" i="2"/>
  <c r="S856" i="2"/>
  <c r="N856" i="2"/>
  <c r="M856" i="2" s="1"/>
  <c r="N858" i="2"/>
  <c r="M858" i="2" s="1"/>
  <c r="S858" i="2"/>
  <c r="S860" i="2"/>
  <c r="N860" i="2"/>
  <c r="M860" i="2" s="1"/>
  <c r="N862" i="2"/>
  <c r="M862" i="2" s="1"/>
  <c r="S862" i="2"/>
  <c r="S864" i="2"/>
  <c r="N864" i="2"/>
  <c r="M864" i="2" s="1"/>
  <c r="N866" i="2"/>
  <c r="M866" i="2" s="1"/>
  <c r="S866" i="2"/>
  <c r="S868" i="2"/>
  <c r="N868" i="2"/>
  <c r="M868" i="2" s="1"/>
  <c r="N870" i="2"/>
  <c r="M870" i="2" s="1"/>
  <c r="S870" i="2"/>
  <c r="S872" i="2"/>
  <c r="N872" i="2"/>
  <c r="M872" i="2" s="1"/>
  <c r="N874" i="2"/>
  <c r="M874" i="2" s="1"/>
  <c r="S874" i="2"/>
  <c r="S876" i="2"/>
  <c r="N876" i="2"/>
  <c r="M876" i="2" s="1"/>
  <c r="N878" i="2"/>
  <c r="M878" i="2" s="1"/>
  <c r="S878" i="2"/>
  <c r="S880" i="2"/>
  <c r="N880" i="2"/>
  <c r="M880" i="2" s="1"/>
  <c r="N882" i="2"/>
  <c r="M882" i="2" s="1"/>
  <c r="S882" i="2"/>
  <c r="S884" i="2"/>
  <c r="N884" i="2"/>
  <c r="M884" i="2" s="1"/>
  <c r="N886" i="2"/>
  <c r="M886" i="2" s="1"/>
  <c r="S886" i="2"/>
  <c r="N888" i="2"/>
  <c r="M888" i="2" s="1"/>
  <c r="S888" i="2"/>
  <c r="N890" i="2"/>
  <c r="M890" i="2" s="1"/>
  <c r="S890" i="2"/>
  <c r="N892" i="2"/>
  <c r="M892" i="2" s="1"/>
  <c r="S892" i="2"/>
  <c r="N894" i="2"/>
  <c r="M894" i="2" s="1"/>
  <c r="S894" i="2"/>
  <c r="N896" i="2"/>
  <c r="M896" i="2" s="1"/>
  <c r="S896" i="2"/>
  <c r="N898" i="2"/>
  <c r="M898" i="2" s="1"/>
  <c r="S898" i="2"/>
  <c r="N900" i="2"/>
  <c r="M900" i="2" s="1"/>
  <c r="S900" i="2"/>
  <c r="N902" i="2"/>
  <c r="M902" i="2" s="1"/>
  <c r="S902" i="2"/>
  <c r="N904" i="2"/>
  <c r="M904" i="2" s="1"/>
  <c r="S904" i="2"/>
  <c r="N906" i="2"/>
  <c r="M906" i="2" s="1"/>
  <c r="S906" i="2"/>
  <c r="N908" i="2"/>
  <c r="M908" i="2" s="1"/>
  <c r="S908" i="2"/>
  <c r="N910" i="2"/>
  <c r="M910" i="2" s="1"/>
  <c r="S910" i="2"/>
  <c r="N912" i="2"/>
  <c r="M912" i="2" s="1"/>
  <c r="S912" i="2"/>
  <c r="N914" i="2"/>
  <c r="M914" i="2" s="1"/>
  <c r="S914" i="2"/>
  <c r="N916" i="2"/>
  <c r="M916" i="2" s="1"/>
  <c r="S916" i="2"/>
  <c r="N918" i="2"/>
  <c r="M918" i="2" s="1"/>
  <c r="S918" i="2"/>
  <c r="N920" i="2"/>
  <c r="M920" i="2" s="1"/>
  <c r="S920" i="2"/>
  <c r="N922" i="2"/>
  <c r="M922" i="2" s="1"/>
  <c r="S922" i="2"/>
  <c r="N924" i="2"/>
  <c r="M924" i="2" s="1"/>
  <c r="S924" i="2"/>
  <c r="N926" i="2"/>
  <c r="M926" i="2" s="1"/>
  <c r="S926" i="2"/>
  <c r="N928" i="2"/>
  <c r="M928" i="2" s="1"/>
  <c r="S928" i="2"/>
  <c r="N930" i="2"/>
  <c r="M930" i="2" s="1"/>
  <c r="S930" i="2"/>
  <c r="S932" i="2"/>
  <c r="N932" i="2"/>
  <c r="M932" i="2" s="1"/>
  <c r="N934" i="2"/>
  <c r="M934" i="2" s="1"/>
  <c r="S934" i="2"/>
  <c r="S936" i="2"/>
  <c r="N936" i="2"/>
  <c r="M936" i="2" s="1"/>
  <c r="N938" i="2"/>
  <c r="M938" i="2" s="1"/>
  <c r="S938" i="2"/>
  <c r="S940" i="2"/>
  <c r="N940" i="2"/>
  <c r="M940" i="2" s="1"/>
  <c r="N942" i="2"/>
  <c r="M942" i="2" s="1"/>
  <c r="S942" i="2"/>
  <c r="S944" i="2"/>
  <c r="N944" i="2"/>
  <c r="M944" i="2" s="1"/>
  <c r="N949" i="2"/>
  <c r="M949" i="2" s="1"/>
  <c r="S949" i="2"/>
  <c r="S952" i="2"/>
  <c r="N952" i="2"/>
  <c r="M952" i="2" s="1"/>
  <c r="A952" i="1"/>
  <c r="S957" i="2"/>
  <c r="N957" i="2"/>
  <c r="M957" i="2" s="1"/>
  <c r="N960" i="2"/>
  <c r="M960" i="2" s="1"/>
  <c r="S960" i="2"/>
  <c r="A960" i="1"/>
  <c r="S965" i="2"/>
  <c r="N965" i="2"/>
  <c r="M965" i="2" s="1"/>
  <c r="N968" i="2"/>
  <c r="M968" i="2" s="1"/>
  <c r="S968" i="2"/>
  <c r="A968" i="1"/>
  <c r="S973" i="2"/>
  <c r="N973" i="2"/>
  <c r="M973" i="2" s="1"/>
  <c r="S976" i="2"/>
  <c r="N976" i="2"/>
  <c r="M976" i="2" s="1"/>
  <c r="A976" i="1"/>
  <c r="S981" i="2"/>
  <c r="N981" i="2"/>
  <c r="M981" i="2" s="1"/>
  <c r="S984" i="2"/>
  <c r="N984" i="2"/>
  <c r="M984" i="2" s="1"/>
  <c r="A984" i="1"/>
  <c r="N989" i="2"/>
  <c r="M989" i="2" s="1"/>
  <c r="S989" i="2"/>
  <c r="S992" i="2"/>
  <c r="N992" i="2"/>
  <c r="M992" i="2" s="1"/>
  <c r="A992" i="1"/>
  <c r="N997" i="2"/>
  <c r="M997" i="2" s="1"/>
  <c r="S997" i="2"/>
  <c r="S1000" i="2"/>
  <c r="N1000" i="2"/>
  <c r="M1000" i="2" s="1"/>
  <c r="A1000" i="1"/>
  <c r="N946" i="2"/>
  <c r="M946" i="2" s="1"/>
  <c r="S946" i="2"/>
  <c r="A946" i="1"/>
  <c r="N951" i="2"/>
  <c r="M951" i="2" s="1"/>
  <c r="S951" i="2"/>
  <c r="N954" i="2"/>
  <c r="M954" i="2" s="1"/>
  <c r="S954" i="2"/>
  <c r="A954" i="1"/>
  <c r="S959" i="2"/>
  <c r="N959" i="2"/>
  <c r="M959" i="2" s="1"/>
  <c r="N962" i="2"/>
  <c r="M962" i="2" s="1"/>
  <c r="S962" i="2"/>
  <c r="A962" i="1"/>
  <c r="N967" i="2"/>
  <c r="M967" i="2" s="1"/>
  <c r="S967" i="2"/>
  <c r="S970" i="2"/>
  <c r="N970" i="2"/>
  <c r="M970" i="2" s="1"/>
  <c r="A970" i="1"/>
  <c r="N975" i="2"/>
  <c r="M975" i="2" s="1"/>
  <c r="S975" i="2"/>
  <c r="S978" i="2"/>
  <c r="N978" i="2"/>
  <c r="M978" i="2" s="1"/>
  <c r="A978" i="1"/>
  <c r="N983" i="2"/>
  <c r="M983" i="2" s="1"/>
  <c r="S983" i="2"/>
  <c r="S986" i="2"/>
  <c r="N986" i="2"/>
  <c r="M986" i="2" s="1"/>
  <c r="A986" i="1"/>
  <c r="N991" i="2"/>
  <c r="M991" i="2" s="1"/>
  <c r="S991" i="2"/>
  <c r="S994" i="2"/>
  <c r="N994" i="2"/>
  <c r="M994" i="2" s="1"/>
  <c r="A994" i="1"/>
  <c r="N999" i="2"/>
  <c r="M999" i="2" s="1"/>
  <c r="S999" i="2"/>
  <c r="N82" i="2"/>
  <c r="M82" i="2" s="1"/>
  <c r="S82" i="2"/>
  <c r="N84" i="2"/>
  <c r="M84" i="2" s="1"/>
  <c r="S84" i="2"/>
  <c r="N86" i="2"/>
  <c r="M86" i="2" s="1"/>
  <c r="S86" i="2"/>
  <c r="N88" i="2"/>
  <c r="M88" i="2" s="1"/>
  <c r="S88" i="2"/>
  <c r="N90" i="2"/>
  <c r="M90" i="2" s="1"/>
  <c r="S90" i="2"/>
  <c r="N92" i="2"/>
  <c r="M92" i="2" s="1"/>
  <c r="S92" i="2"/>
  <c r="N94" i="2"/>
  <c r="M94" i="2" s="1"/>
  <c r="S94" i="2"/>
  <c r="N96" i="2"/>
  <c r="M96" i="2" s="1"/>
  <c r="S96" i="2"/>
  <c r="N98" i="2"/>
  <c r="M98" i="2" s="1"/>
  <c r="S98" i="2"/>
  <c r="N100" i="2"/>
  <c r="M100" i="2" s="1"/>
  <c r="S100" i="2"/>
  <c r="N102" i="2"/>
  <c r="M102" i="2" s="1"/>
  <c r="S102" i="2"/>
  <c r="N104" i="2"/>
  <c r="M104" i="2" s="1"/>
  <c r="S104" i="2"/>
  <c r="N947" i="2"/>
  <c r="M947" i="2" s="1"/>
  <c r="S947" i="2"/>
  <c r="N950" i="2"/>
  <c r="M950" i="2" s="1"/>
  <c r="S950" i="2"/>
  <c r="A950" i="1"/>
  <c r="N955" i="2"/>
  <c r="M955" i="2" s="1"/>
  <c r="S955" i="2"/>
  <c r="N958" i="2"/>
  <c r="M958" i="2" s="1"/>
  <c r="S958" i="2"/>
  <c r="A958" i="1"/>
  <c r="N963" i="2"/>
  <c r="M963" i="2" s="1"/>
  <c r="S963" i="2"/>
  <c r="S966" i="2"/>
  <c r="N966" i="2"/>
  <c r="M966" i="2" s="1"/>
  <c r="A966" i="1"/>
  <c r="N971" i="2"/>
  <c r="M971" i="2" s="1"/>
  <c r="S971" i="2"/>
  <c r="N974" i="2"/>
  <c r="M974" i="2" s="1"/>
  <c r="S974" i="2"/>
  <c r="A974" i="1"/>
  <c r="N979" i="2"/>
  <c r="M979" i="2" s="1"/>
  <c r="S979" i="2"/>
  <c r="N982" i="2"/>
  <c r="M982" i="2" s="1"/>
  <c r="S982" i="2"/>
  <c r="A982" i="1"/>
  <c r="N987" i="2"/>
  <c r="M987" i="2" s="1"/>
  <c r="S987" i="2"/>
  <c r="S990" i="2"/>
  <c r="N990" i="2"/>
  <c r="M990" i="2" s="1"/>
  <c r="A990" i="1"/>
  <c r="N995" i="2"/>
  <c r="M995" i="2" s="1"/>
  <c r="S995" i="2"/>
  <c r="S998" i="2"/>
  <c r="N998" i="2"/>
  <c r="M998" i="2" s="1"/>
  <c r="A998" i="1"/>
  <c r="N12" i="2"/>
  <c r="M12" i="2" s="1"/>
  <c r="S2" i="2"/>
  <c r="N2" i="2"/>
  <c r="N6" i="2"/>
  <c r="M6" i="2" s="1"/>
  <c r="S6" i="2"/>
  <c r="N10" i="2"/>
  <c r="M10" i="2" s="1"/>
  <c r="S10" i="2"/>
  <c r="N14" i="2"/>
  <c r="M14" i="2" s="1"/>
  <c r="S14" i="2"/>
  <c r="S16" i="2"/>
  <c r="N16" i="2"/>
  <c r="M16" i="2" s="1"/>
  <c r="N18" i="2"/>
  <c r="M18" i="2" s="1"/>
  <c r="S18" i="2"/>
  <c r="N20" i="2"/>
  <c r="M20" i="2" s="1"/>
  <c r="S20" i="2"/>
  <c r="N22" i="2"/>
  <c r="M22" i="2" s="1"/>
  <c r="S22" i="2"/>
  <c r="N24" i="2"/>
  <c r="M24" i="2" s="1"/>
  <c r="S24" i="2"/>
  <c r="N26" i="2"/>
  <c r="M26" i="2" s="1"/>
  <c r="S26" i="2"/>
  <c r="N28" i="2"/>
  <c r="M28" i="2" s="1"/>
  <c r="S28" i="2"/>
  <c r="N30" i="2"/>
  <c r="M30" i="2" s="1"/>
  <c r="S30" i="2"/>
  <c r="N32" i="2"/>
  <c r="M32" i="2" s="1"/>
  <c r="S32" i="2"/>
  <c r="N34" i="2"/>
  <c r="M34" i="2" s="1"/>
  <c r="S34" i="2"/>
  <c r="N36" i="2"/>
  <c r="M36" i="2" s="1"/>
  <c r="S36" i="2"/>
  <c r="N38" i="2"/>
  <c r="M38" i="2" s="1"/>
  <c r="S38" i="2"/>
  <c r="N40" i="2"/>
  <c r="M40" i="2" s="1"/>
  <c r="S40" i="2"/>
  <c r="N42" i="2"/>
  <c r="M42" i="2" s="1"/>
  <c r="S42" i="2"/>
  <c r="N44" i="2"/>
  <c r="M44" i="2" s="1"/>
  <c r="S44" i="2"/>
  <c r="N46" i="2"/>
  <c r="M46" i="2" s="1"/>
  <c r="S46" i="2"/>
  <c r="N48" i="2"/>
  <c r="M48" i="2" s="1"/>
  <c r="S48" i="2"/>
  <c r="N50" i="2"/>
  <c r="M50" i="2" s="1"/>
  <c r="S50" i="2"/>
  <c r="N52" i="2"/>
  <c r="M52" i="2" s="1"/>
  <c r="S52" i="2"/>
  <c r="N54" i="2"/>
  <c r="M54" i="2" s="1"/>
  <c r="S54" i="2"/>
  <c r="N56" i="2"/>
  <c r="M56" i="2" s="1"/>
  <c r="S56" i="2"/>
  <c r="N58" i="2"/>
  <c r="M58" i="2" s="1"/>
  <c r="S58" i="2"/>
  <c r="N60" i="2"/>
  <c r="M60" i="2" s="1"/>
  <c r="S60" i="2"/>
  <c r="N62" i="2"/>
  <c r="M62" i="2" s="1"/>
  <c r="S62" i="2"/>
  <c r="N64" i="2"/>
  <c r="M64" i="2" s="1"/>
  <c r="S64" i="2"/>
  <c r="N66" i="2"/>
  <c r="M66" i="2" s="1"/>
  <c r="S66" i="2"/>
  <c r="N68" i="2"/>
  <c r="M68" i="2" s="1"/>
  <c r="S68" i="2"/>
  <c r="N70" i="2"/>
  <c r="M70" i="2" s="1"/>
  <c r="S70" i="2"/>
  <c r="N72" i="2"/>
  <c r="M72" i="2" s="1"/>
  <c r="S72" i="2"/>
  <c r="N74" i="2"/>
  <c r="M74" i="2" s="1"/>
  <c r="S74" i="2"/>
  <c r="N76" i="2"/>
  <c r="M76" i="2" s="1"/>
  <c r="S76" i="2"/>
  <c r="N78" i="2"/>
  <c r="M78" i="2" s="1"/>
  <c r="S78" i="2"/>
  <c r="N80" i="2"/>
  <c r="M80" i="2" s="1"/>
  <c r="S80" i="2"/>
  <c r="N106" i="2"/>
  <c r="M106" i="2" s="1"/>
  <c r="S106" i="2"/>
  <c r="N108" i="2"/>
  <c r="M108" i="2" s="1"/>
  <c r="S108" i="2"/>
  <c r="N110" i="2"/>
  <c r="M110" i="2" s="1"/>
  <c r="S110" i="2"/>
  <c r="N112" i="2"/>
  <c r="M112" i="2" s="1"/>
  <c r="S112" i="2"/>
  <c r="N114" i="2"/>
  <c r="M114" i="2" s="1"/>
  <c r="S114" i="2"/>
  <c r="N116" i="2"/>
  <c r="M116" i="2" s="1"/>
  <c r="S116" i="2"/>
  <c r="N118" i="2"/>
  <c r="M118" i="2" s="1"/>
  <c r="S118" i="2"/>
  <c r="N120" i="2"/>
  <c r="M120" i="2" s="1"/>
  <c r="S120" i="2"/>
  <c r="N122" i="2"/>
  <c r="M122" i="2" s="1"/>
  <c r="S122" i="2"/>
  <c r="N124" i="2"/>
  <c r="M124" i="2" s="1"/>
  <c r="S124" i="2"/>
  <c r="N126" i="2"/>
  <c r="M126" i="2" s="1"/>
  <c r="S126" i="2"/>
  <c r="N128" i="2"/>
  <c r="M128" i="2" s="1"/>
  <c r="S128" i="2"/>
  <c r="N130" i="2"/>
  <c r="M130" i="2" s="1"/>
  <c r="S130" i="2"/>
  <c r="N132" i="2"/>
  <c r="M132" i="2" s="1"/>
  <c r="S132" i="2"/>
  <c r="N134" i="2"/>
  <c r="M134" i="2" s="1"/>
  <c r="S134" i="2"/>
  <c r="N136" i="2"/>
  <c r="M136" i="2" s="1"/>
  <c r="S136" i="2"/>
  <c r="N138" i="2"/>
  <c r="M138" i="2" s="1"/>
  <c r="S138" i="2"/>
  <c r="N140" i="2"/>
  <c r="M140" i="2" s="1"/>
  <c r="S140" i="2"/>
  <c r="N142" i="2"/>
  <c r="M142" i="2" s="1"/>
  <c r="S142" i="2"/>
  <c r="N144" i="2"/>
  <c r="M144" i="2" s="1"/>
  <c r="S144" i="2"/>
  <c r="N146" i="2"/>
  <c r="M146" i="2" s="1"/>
  <c r="S146" i="2"/>
  <c r="N148" i="2"/>
  <c r="M148" i="2" s="1"/>
  <c r="S148" i="2"/>
  <c r="N150" i="2"/>
  <c r="M150" i="2" s="1"/>
  <c r="S150" i="2"/>
  <c r="N152" i="2"/>
  <c r="M152" i="2" s="1"/>
  <c r="S152" i="2"/>
  <c r="N154" i="2"/>
  <c r="M154" i="2" s="1"/>
  <c r="S154" i="2"/>
  <c r="N156" i="2"/>
  <c r="M156" i="2" s="1"/>
  <c r="S156" i="2"/>
  <c r="N158" i="2"/>
  <c r="M158" i="2" s="1"/>
  <c r="S158" i="2"/>
  <c r="N160" i="2"/>
  <c r="M160" i="2" s="1"/>
  <c r="S160" i="2"/>
  <c r="N162" i="2"/>
  <c r="M162" i="2" s="1"/>
  <c r="S162" i="2"/>
  <c r="N164" i="2"/>
  <c r="M164" i="2" s="1"/>
  <c r="S164" i="2"/>
  <c r="N166" i="2"/>
  <c r="M166" i="2" s="1"/>
  <c r="S166" i="2"/>
  <c r="N168" i="2"/>
  <c r="M168" i="2" s="1"/>
  <c r="S168" i="2"/>
  <c r="N170" i="2"/>
  <c r="M170" i="2" s="1"/>
  <c r="S170" i="2"/>
  <c r="N172" i="2"/>
  <c r="M172" i="2" s="1"/>
  <c r="S172" i="2"/>
  <c r="N174" i="2"/>
  <c r="M174" i="2" s="1"/>
  <c r="S174" i="2"/>
  <c r="N176" i="2"/>
  <c r="M176" i="2" s="1"/>
  <c r="S176" i="2"/>
  <c r="N178" i="2"/>
  <c r="M178" i="2" s="1"/>
  <c r="S178" i="2"/>
  <c r="N180" i="2"/>
  <c r="M180" i="2" s="1"/>
  <c r="S180" i="2"/>
  <c r="N182" i="2"/>
  <c r="M182" i="2" s="1"/>
  <c r="S182" i="2"/>
  <c r="N5" i="2"/>
  <c r="M5" i="2" s="1"/>
  <c r="S5" i="2"/>
  <c r="N9" i="2"/>
  <c r="M9" i="2" s="1"/>
  <c r="S9" i="2"/>
  <c r="N11" i="2"/>
  <c r="M11" i="2" s="1"/>
  <c r="S11" i="2"/>
  <c r="N13" i="2"/>
  <c r="M13" i="2" s="1"/>
  <c r="S13" i="2"/>
  <c r="N15" i="2"/>
  <c r="M15" i="2" s="1"/>
  <c r="S15" i="2"/>
  <c r="N17" i="2"/>
  <c r="M17" i="2" s="1"/>
  <c r="S17" i="2"/>
  <c r="S19" i="2"/>
  <c r="N19" i="2"/>
  <c r="M19" i="2" s="1"/>
  <c r="N21" i="2"/>
  <c r="M21" i="2" s="1"/>
  <c r="S21" i="2"/>
  <c r="S23" i="2"/>
  <c r="N23" i="2"/>
  <c r="M23" i="2" s="1"/>
  <c r="N25" i="2"/>
  <c r="M25" i="2" s="1"/>
  <c r="S25" i="2"/>
  <c r="S27" i="2"/>
  <c r="N27" i="2"/>
  <c r="M27" i="2" s="1"/>
  <c r="N29" i="2"/>
  <c r="M29" i="2" s="1"/>
  <c r="S29" i="2"/>
  <c r="S31" i="2"/>
  <c r="N31" i="2"/>
  <c r="M31" i="2" s="1"/>
  <c r="N33" i="2"/>
  <c r="M33" i="2" s="1"/>
  <c r="S33" i="2"/>
  <c r="S35" i="2"/>
  <c r="N35" i="2"/>
  <c r="M35" i="2" s="1"/>
  <c r="N37" i="2"/>
  <c r="M37" i="2" s="1"/>
  <c r="S37" i="2"/>
  <c r="S39" i="2"/>
  <c r="N39" i="2"/>
  <c r="M39" i="2" s="1"/>
  <c r="N41" i="2"/>
  <c r="M41" i="2" s="1"/>
  <c r="S41" i="2"/>
  <c r="S43" i="2"/>
  <c r="N43" i="2"/>
  <c r="M43" i="2" s="1"/>
  <c r="N45" i="2"/>
  <c r="M45" i="2" s="1"/>
  <c r="S45" i="2"/>
  <c r="S47" i="2"/>
  <c r="N47" i="2"/>
  <c r="M47" i="2" s="1"/>
  <c r="N49" i="2"/>
  <c r="M49" i="2" s="1"/>
  <c r="S49" i="2"/>
  <c r="S51" i="2"/>
  <c r="N51" i="2"/>
  <c r="M51" i="2" s="1"/>
  <c r="N53" i="2"/>
  <c r="M53" i="2" s="1"/>
  <c r="S53" i="2"/>
  <c r="S55" i="2"/>
  <c r="N55" i="2"/>
  <c r="M55" i="2" s="1"/>
  <c r="N57" i="2"/>
  <c r="M57" i="2" s="1"/>
  <c r="S57" i="2"/>
  <c r="S59" i="2"/>
  <c r="N59" i="2"/>
  <c r="M59" i="2" s="1"/>
  <c r="N61" i="2"/>
  <c r="M61" i="2" s="1"/>
  <c r="S61" i="2"/>
  <c r="S63" i="2"/>
  <c r="N63" i="2"/>
  <c r="M63" i="2" s="1"/>
  <c r="N65" i="2"/>
  <c r="M65" i="2" s="1"/>
  <c r="S65" i="2"/>
  <c r="S67" i="2"/>
  <c r="N67" i="2"/>
  <c r="M67" i="2" s="1"/>
  <c r="N69" i="2"/>
  <c r="M69" i="2" s="1"/>
  <c r="S69" i="2"/>
  <c r="S71" i="2"/>
  <c r="N71" i="2"/>
  <c r="M71" i="2" s="1"/>
  <c r="N73" i="2"/>
  <c r="M73" i="2" s="1"/>
  <c r="S73" i="2"/>
  <c r="S75" i="2"/>
  <c r="N75" i="2"/>
  <c r="M75" i="2" s="1"/>
  <c r="N77" i="2"/>
  <c r="M77" i="2" s="1"/>
  <c r="S77" i="2"/>
  <c r="S79" i="2"/>
  <c r="N79" i="2"/>
  <c r="M79" i="2" s="1"/>
  <c r="N81" i="2"/>
  <c r="M81" i="2" s="1"/>
  <c r="S81" i="2"/>
  <c r="S83" i="2"/>
  <c r="N83" i="2"/>
  <c r="M83" i="2" s="1"/>
  <c r="N85" i="2"/>
  <c r="M85" i="2" s="1"/>
  <c r="S85" i="2"/>
  <c r="S87" i="2"/>
  <c r="N87" i="2"/>
  <c r="M87" i="2" s="1"/>
  <c r="N89" i="2"/>
  <c r="M89" i="2" s="1"/>
  <c r="S89" i="2"/>
  <c r="S91" i="2"/>
  <c r="N91" i="2"/>
  <c r="M91" i="2" s="1"/>
  <c r="N93" i="2"/>
  <c r="M93" i="2" s="1"/>
  <c r="S93" i="2"/>
  <c r="S95" i="2"/>
  <c r="N95" i="2"/>
  <c r="M95" i="2" s="1"/>
  <c r="N97" i="2"/>
  <c r="M97" i="2" s="1"/>
  <c r="S97" i="2"/>
  <c r="S99" i="2"/>
  <c r="N99" i="2"/>
  <c r="M99" i="2" s="1"/>
  <c r="N101" i="2"/>
  <c r="M101" i="2" s="1"/>
  <c r="S101" i="2"/>
  <c r="S103" i="2"/>
  <c r="N103" i="2"/>
  <c r="M103" i="2" s="1"/>
  <c r="N105" i="2"/>
  <c r="M105" i="2" s="1"/>
  <c r="S105" i="2"/>
  <c r="S107" i="2"/>
  <c r="N107" i="2"/>
  <c r="M107" i="2" s="1"/>
  <c r="N109" i="2"/>
  <c r="M109" i="2" s="1"/>
  <c r="S109" i="2"/>
  <c r="S111" i="2"/>
  <c r="N111" i="2"/>
  <c r="M111" i="2" s="1"/>
  <c r="N113" i="2"/>
  <c r="M113" i="2" s="1"/>
  <c r="S113" i="2"/>
  <c r="S115" i="2"/>
  <c r="N115" i="2"/>
  <c r="M115" i="2" s="1"/>
  <c r="N117" i="2"/>
  <c r="M117" i="2" s="1"/>
  <c r="S117" i="2"/>
  <c r="S119" i="2"/>
  <c r="N119" i="2"/>
  <c r="M119" i="2" s="1"/>
  <c r="N121" i="2"/>
  <c r="M121" i="2" s="1"/>
  <c r="S121" i="2"/>
  <c r="S123" i="2"/>
  <c r="N123" i="2"/>
  <c r="M123" i="2" s="1"/>
  <c r="N125" i="2"/>
  <c r="M125" i="2" s="1"/>
  <c r="S125" i="2"/>
  <c r="S127" i="2"/>
  <c r="N127" i="2"/>
  <c r="M127" i="2" s="1"/>
  <c r="N129" i="2"/>
  <c r="M129" i="2" s="1"/>
  <c r="S129" i="2"/>
  <c r="S131" i="2"/>
  <c r="N131" i="2"/>
  <c r="M131" i="2" s="1"/>
  <c r="N133" i="2"/>
  <c r="M133" i="2" s="1"/>
  <c r="S133" i="2"/>
  <c r="S135" i="2"/>
  <c r="N135" i="2"/>
  <c r="M135" i="2" s="1"/>
  <c r="N137" i="2"/>
  <c r="M137" i="2" s="1"/>
  <c r="S137" i="2"/>
  <c r="S139" i="2"/>
  <c r="N139" i="2"/>
  <c r="M139" i="2" s="1"/>
  <c r="N141" i="2"/>
  <c r="M141" i="2" s="1"/>
  <c r="S141" i="2"/>
  <c r="S143" i="2"/>
  <c r="N143" i="2"/>
  <c r="M143" i="2" s="1"/>
  <c r="N145" i="2"/>
  <c r="M145" i="2" s="1"/>
  <c r="S145" i="2"/>
  <c r="S147" i="2"/>
  <c r="N147" i="2"/>
  <c r="M147" i="2" s="1"/>
  <c r="N149" i="2"/>
  <c r="M149" i="2" s="1"/>
  <c r="S149" i="2"/>
  <c r="S151" i="2"/>
  <c r="N151" i="2"/>
  <c r="M151" i="2" s="1"/>
  <c r="N153" i="2"/>
  <c r="M153" i="2" s="1"/>
  <c r="S153" i="2"/>
  <c r="S155" i="2"/>
  <c r="N155" i="2"/>
  <c r="M155" i="2" s="1"/>
  <c r="N157" i="2"/>
  <c r="M157" i="2" s="1"/>
  <c r="S157" i="2"/>
  <c r="S159" i="2"/>
  <c r="N159" i="2"/>
  <c r="M159" i="2" s="1"/>
  <c r="N161" i="2"/>
  <c r="M161" i="2" s="1"/>
  <c r="S161" i="2"/>
  <c r="S163" i="2"/>
  <c r="N163" i="2"/>
  <c r="M163" i="2" s="1"/>
  <c r="N165" i="2"/>
  <c r="M165" i="2" s="1"/>
  <c r="S165" i="2"/>
  <c r="S167" i="2"/>
  <c r="N167" i="2"/>
  <c r="M167" i="2" s="1"/>
  <c r="N169" i="2"/>
  <c r="M169" i="2" s="1"/>
  <c r="S169" i="2"/>
  <c r="S171" i="2"/>
  <c r="N171" i="2"/>
  <c r="M171" i="2" s="1"/>
  <c r="N173" i="2"/>
  <c r="M173" i="2" s="1"/>
  <c r="S173" i="2"/>
  <c r="S175" i="2"/>
  <c r="N175" i="2"/>
  <c r="M175" i="2" s="1"/>
  <c r="N177" i="2"/>
  <c r="M177" i="2" s="1"/>
  <c r="S177" i="2"/>
  <c r="S179" i="2"/>
  <c r="N179" i="2"/>
  <c r="M179" i="2" s="1"/>
  <c r="N181" i="2"/>
  <c r="M181" i="2" s="1"/>
  <c r="S181" i="2"/>
  <c r="S183" i="2"/>
  <c r="N183" i="2"/>
  <c r="M183" i="2" s="1"/>
  <c r="N185" i="2"/>
  <c r="M185" i="2" s="1"/>
  <c r="S185" i="2"/>
  <c r="S187" i="2"/>
  <c r="N187" i="2"/>
  <c r="M187" i="2" s="1"/>
  <c r="N189" i="2"/>
  <c r="M189" i="2" s="1"/>
  <c r="S189" i="2"/>
  <c r="S191" i="2"/>
  <c r="N191" i="2"/>
  <c r="M191" i="2" s="1"/>
  <c r="N193" i="2"/>
  <c r="M193" i="2" s="1"/>
  <c r="S193" i="2"/>
  <c r="S195" i="2"/>
  <c r="N195" i="2"/>
  <c r="M195" i="2" s="1"/>
  <c r="N197" i="2"/>
  <c r="M197" i="2" s="1"/>
  <c r="S197" i="2"/>
  <c r="S199" i="2"/>
  <c r="N199" i="2"/>
  <c r="M199" i="2" s="1"/>
  <c r="N201" i="2"/>
  <c r="M201" i="2" s="1"/>
  <c r="S201" i="2"/>
  <c r="S203" i="2"/>
  <c r="N203" i="2"/>
  <c r="M203" i="2" s="1"/>
  <c r="N205" i="2"/>
  <c r="M205" i="2" s="1"/>
  <c r="S205" i="2"/>
  <c r="S207" i="2"/>
  <c r="N207" i="2"/>
  <c r="M207" i="2" s="1"/>
  <c r="N209" i="2"/>
  <c r="M209" i="2" s="1"/>
  <c r="S209" i="2"/>
  <c r="S211" i="2"/>
  <c r="N211" i="2"/>
  <c r="M211" i="2" s="1"/>
  <c r="N213" i="2"/>
  <c r="M213" i="2" s="1"/>
  <c r="S213" i="2"/>
  <c r="S215" i="2"/>
  <c r="N215" i="2"/>
  <c r="M215" i="2" s="1"/>
  <c r="N217" i="2"/>
  <c r="M217" i="2" s="1"/>
  <c r="S217" i="2"/>
  <c r="S219" i="2"/>
  <c r="N219" i="2"/>
  <c r="M219" i="2" s="1"/>
  <c r="N221" i="2"/>
  <c r="M221" i="2" s="1"/>
  <c r="S221" i="2"/>
  <c r="S223" i="2"/>
  <c r="N223" i="2"/>
  <c r="M223" i="2" s="1"/>
  <c r="N225" i="2"/>
  <c r="M225" i="2" s="1"/>
  <c r="S225" i="2"/>
  <c r="S227" i="2"/>
  <c r="N227" i="2"/>
  <c r="M227" i="2" s="1"/>
  <c r="N229" i="2"/>
  <c r="M229" i="2" s="1"/>
  <c r="S229" i="2"/>
  <c r="S231" i="2"/>
  <c r="N231" i="2"/>
  <c r="M231" i="2" s="1"/>
  <c r="N233" i="2"/>
  <c r="M233" i="2" s="1"/>
  <c r="S233" i="2"/>
  <c r="S235" i="2"/>
  <c r="N235" i="2"/>
  <c r="M235" i="2" s="1"/>
  <c r="N237" i="2"/>
  <c r="M237" i="2" s="1"/>
  <c r="S237" i="2"/>
  <c r="S239" i="2"/>
  <c r="N239" i="2"/>
  <c r="M239" i="2" s="1"/>
  <c r="N241" i="2"/>
  <c r="M241" i="2" s="1"/>
  <c r="S241" i="2"/>
  <c r="S243" i="2"/>
  <c r="N243" i="2"/>
  <c r="M243" i="2" s="1"/>
  <c r="N245" i="2"/>
  <c r="M245" i="2" s="1"/>
  <c r="S245" i="2"/>
  <c r="S247" i="2"/>
  <c r="N247" i="2"/>
  <c r="M247" i="2" s="1"/>
  <c r="N249" i="2"/>
  <c r="M249" i="2" s="1"/>
  <c r="S249" i="2"/>
  <c r="S251" i="2"/>
  <c r="N251" i="2"/>
  <c r="M251" i="2" s="1"/>
  <c r="N253" i="2"/>
  <c r="M253" i="2" s="1"/>
  <c r="S253" i="2"/>
  <c r="S255" i="2"/>
  <c r="N255" i="2"/>
  <c r="M255" i="2" s="1"/>
  <c r="N257" i="2"/>
  <c r="M257" i="2" s="1"/>
  <c r="S257" i="2"/>
  <c r="S259" i="2"/>
  <c r="N259" i="2"/>
  <c r="M259" i="2" s="1"/>
  <c r="N261" i="2"/>
  <c r="M261" i="2" s="1"/>
  <c r="S261" i="2"/>
  <c r="S263" i="2"/>
  <c r="N263" i="2"/>
  <c r="M263" i="2" s="1"/>
  <c r="N265" i="2"/>
  <c r="M265" i="2" s="1"/>
  <c r="S265" i="2"/>
  <c r="S267" i="2"/>
  <c r="N267" i="2"/>
  <c r="M267" i="2" s="1"/>
  <c r="N269" i="2"/>
  <c r="M269" i="2" s="1"/>
  <c r="S269" i="2"/>
  <c r="S271" i="2"/>
  <c r="N271" i="2"/>
  <c r="M271" i="2" s="1"/>
  <c r="N273" i="2"/>
  <c r="M273" i="2" s="1"/>
  <c r="S273" i="2"/>
  <c r="S275" i="2"/>
  <c r="N275" i="2"/>
  <c r="M275" i="2" s="1"/>
  <c r="N277" i="2"/>
  <c r="M277" i="2" s="1"/>
  <c r="S277" i="2"/>
  <c r="N279" i="2"/>
  <c r="M279" i="2" s="1"/>
  <c r="S279" i="2"/>
  <c r="S281" i="2"/>
  <c r="N281" i="2"/>
  <c r="M281" i="2" s="1"/>
  <c r="N283" i="2"/>
  <c r="M283" i="2" s="1"/>
  <c r="S283" i="2"/>
  <c r="S285" i="2"/>
  <c r="N285" i="2"/>
  <c r="M285" i="2" s="1"/>
  <c r="N287" i="2"/>
  <c r="M287" i="2" s="1"/>
  <c r="S287" i="2"/>
  <c r="S289" i="2"/>
  <c r="N289" i="2"/>
  <c r="M289" i="2" s="1"/>
  <c r="N291" i="2"/>
  <c r="M291" i="2" s="1"/>
  <c r="S291" i="2"/>
  <c r="S293" i="2"/>
  <c r="N293" i="2"/>
  <c r="M293" i="2" s="1"/>
  <c r="N295" i="2"/>
  <c r="M295" i="2" s="1"/>
  <c r="S295" i="2"/>
  <c r="S297" i="2"/>
  <c r="N297" i="2"/>
  <c r="M297" i="2" s="1"/>
  <c r="N299" i="2"/>
  <c r="M299" i="2" s="1"/>
  <c r="S299" i="2"/>
  <c r="N301" i="2"/>
  <c r="M301" i="2" s="1"/>
  <c r="S301" i="2"/>
  <c r="N303" i="2"/>
  <c r="M303" i="2" s="1"/>
  <c r="S303" i="2"/>
  <c r="N305" i="2"/>
  <c r="M305" i="2" s="1"/>
  <c r="S305" i="2"/>
  <c r="N307" i="2"/>
  <c r="M307" i="2" s="1"/>
  <c r="S307" i="2"/>
  <c r="N309" i="2"/>
  <c r="M309" i="2" s="1"/>
  <c r="S309" i="2"/>
  <c r="N311" i="2"/>
  <c r="M311" i="2" s="1"/>
  <c r="S311" i="2"/>
  <c r="N313" i="2"/>
  <c r="M313" i="2" s="1"/>
  <c r="S313" i="2"/>
  <c r="N315" i="2"/>
  <c r="M315" i="2" s="1"/>
  <c r="S315" i="2"/>
  <c r="N317" i="2"/>
  <c r="M317" i="2" s="1"/>
  <c r="S317" i="2"/>
  <c r="N319" i="2"/>
  <c r="M319" i="2" s="1"/>
  <c r="S319" i="2"/>
  <c r="N321" i="2"/>
  <c r="M321" i="2" s="1"/>
  <c r="S321" i="2"/>
  <c r="N323" i="2"/>
  <c r="M323" i="2" s="1"/>
  <c r="S323" i="2"/>
  <c r="N325" i="2"/>
  <c r="M325" i="2" s="1"/>
  <c r="S325" i="2"/>
  <c r="N327" i="2"/>
  <c r="M327" i="2" s="1"/>
  <c r="S327" i="2"/>
  <c r="N329" i="2"/>
  <c r="M329" i="2" s="1"/>
  <c r="S329" i="2"/>
  <c r="N331" i="2"/>
  <c r="M331" i="2" s="1"/>
  <c r="S331" i="2"/>
  <c r="N333" i="2"/>
  <c r="M333" i="2" s="1"/>
  <c r="S333" i="2"/>
  <c r="N335" i="2"/>
  <c r="M335" i="2" s="1"/>
  <c r="S335" i="2"/>
  <c r="N337" i="2"/>
  <c r="M337" i="2" s="1"/>
  <c r="S337" i="2"/>
  <c r="N339" i="2"/>
  <c r="M339" i="2" s="1"/>
  <c r="S339" i="2"/>
  <c r="N341" i="2"/>
  <c r="M341" i="2" s="1"/>
  <c r="S341" i="2"/>
  <c r="N343" i="2"/>
  <c r="M343" i="2" s="1"/>
  <c r="S343" i="2"/>
  <c r="N345" i="2"/>
  <c r="M345" i="2" s="1"/>
  <c r="S345" i="2"/>
  <c r="N347" i="2"/>
  <c r="M347" i="2" s="1"/>
  <c r="S347" i="2"/>
  <c r="N349" i="2"/>
  <c r="M349" i="2" s="1"/>
  <c r="S349" i="2"/>
  <c r="N351" i="2"/>
  <c r="M351" i="2" s="1"/>
  <c r="S351" i="2"/>
  <c r="N353" i="2"/>
  <c r="M353" i="2" s="1"/>
  <c r="S353" i="2"/>
  <c r="N355" i="2"/>
  <c r="M355" i="2" s="1"/>
  <c r="S355" i="2"/>
  <c r="N357" i="2"/>
  <c r="M357" i="2" s="1"/>
  <c r="S357" i="2"/>
  <c r="N359" i="2"/>
  <c r="M359" i="2" s="1"/>
  <c r="S359" i="2"/>
  <c r="N361" i="2"/>
  <c r="M361" i="2" s="1"/>
  <c r="S361" i="2"/>
  <c r="N363" i="2"/>
  <c r="M363" i="2" s="1"/>
  <c r="S363" i="2"/>
  <c r="N365" i="2"/>
  <c r="M365" i="2" s="1"/>
  <c r="S365" i="2"/>
  <c r="N367" i="2"/>
  <c r="M367" i="2" s="1"/>
  <c r="S367" i="2"/>
  <c r="N369" i="2"/>
  <c r="M369" i="2" s="1"/>
  <c r="S369" i="2"/>
  <c r="N371" i="2"/>
  <c r="M371" i="2" s="1"/>
  <c r="S371" i="2"/>
  <c r="N373" i="2"/>
  <c r="M373" i="2" s="1"/>
  <c r="S373" i="2"/>
  <c r="N375" i="2"/>
  <c r="M375" i="2" s="1"/>
  <c r="S375" i="2"/>
  <c r="N377" i="2"/>
  <c r="M377" i="2" s="1"/>
  <c r="S377" i="2"/>
  <c r="N379" i="2"/>
  <c r="M379" i="2" s="1"/>
  <c r="S379" i="2"/>
  <c r="N381" i="2"/>
  <c r="M381" i="2" s="1"/>
  <c r="S381" i="2"/>
  <c r="N383" i="2"/>
  <c r="M383" i="2" s="1"/>
  <c r="S383" i="2"/>
  <c r="N385" i="2"/>
  <c r="M385" i="2" s="1"/>
  <c r="S385" i="2"/>
  <c r="N387" i="2"/>
  <c r="M387" i="2" s="1"/>
  <c r="S387" i="2"/>
  <c r="N389" i="2"/>
  <c r="M389" i="2" s="1"/>
  <c r="S389" i="2"/>
  <c r="N391" i="2"/>
  <c r="M391" i="2" s="1"/>
  <c r="S391" i="2"/>
  <c r="N393" i="2"/>
  <c r="M393" i="2" s="1"/>
  <c r="S393" i="2"/>
  <c r="N395" i="2"/>
  <c r="M395" i="2" s="1"/>
  <c r="S395" i="2"/>
  <c r="N397" i="2"/>
  <c r="M397" i="2" s="1"/>
  <c r="S397" i="2"/>
  <c r="N399" i="2"/>
  <c r="M399" i="2" s="1"/>
  <c r="S399" i="2"/>
  <c r="N401" i="2"/>
  <c r="M401" i="2" s="1"/>
  <c r="S401" i="2"/>
  <c r="N403" i="2"/>
  <c r="M403" i="2" s="1"/>
  <c r="S403" i="2"/>
  <c r="N405" i="2"/>
  <c r="M405" i="2" s="1"/>
  <c r="S405" i="2"/>
  <c r="N407" i="2"/>
  <c r="M407" i="2" s="1"/>
  <c r="S407" i="2"/>
  <c r="N409" i="2"/>
  <c r="M409" i="2" s="1"/>
  <c r="S409" i="2"/>
  <c r="N411" i="2"/>
  <c r="M411" i="2" s="1"/>
  <c r="S411" i="2"/>
  <c r="N413" i="2"/>
  <c r="M413" i="2" s="1"/>
  <c r="S413" i="2"/>
  <c r="N415" i="2"/>
  <c r="M415" i="2" s="1"/>
  <c r="S415" i="2"/>
  <c r="N417" i="2"/>
  <c r="M417" i="2" s="1"/>
  <c r="S417" i="2"/>
  <c r="N419" i="2"/>
  <c r="M419" i="2" s="1"/>
  <c r="S419" i="2"/>
  <c r="N421" i="2"/>
  <c r="M421" i="2" s="1"/>
  <c r="S421" i="2"/>
  <c r="N423" i="2"/>
  <c r="M423" i="2" s="1"/>
  <c r="S423" i="2"/>
  <c r="N425" i="2"/>
  <c r="M425" i="2" s="1"/>
  <c r="S425" i="2"/>
  <c r="N427" i="2"/>
  <c r="M427" i="2" s="1"/>
  <c r="S427" i="2"/>
  <c r="N429" i="2"/>
  <c r="M429" i="2" s="1"/>
  <c r="S429" i="2"/>
  <c r="N431" i="2"/>
  <c r="M431" i="2" s="1"/>
  <c r="S431" i="2"/>
  <c r="N433" i="2"/>
  <c r="M433" i="2" s="1"/>
  <c r="S433" i="2"/>
  <c r="N435" i="2"/>
  <c r="M435" i="2" s="1"/>
  <c r="S435" i="2"/>
  <c r="N437" i="2"/>
  <c r="M437" i="2" s="1"/>
  <c r="S437" i="2"/>
  <c r="N439" i="2"/>
  <c r="M439" i="2" s="1"/>
  <c r="S439" i="2"/>
  <c r="N441" i="2"/>
  <c r="M441" i="2" s="1"/>
  <c r="S441" i="2"/>
  <c r="N443" i="2"/>
  <c r="M443" i="2" s="1"/>
  <c r="S443" i="2"/>
  <c r="N445" i="2"/>
  <c r="M445" i="2" s="1"/>
  <c r="S445" i="2"/>
  <c r="N447" i="2"/>
  <c r="M447" i="2" s="1"/>
  <c r="S447" i="2"/>
  <c r="N449" i="2"/>
  <c r="M449" i="2" s="1"/>
  <c r="S449" i="2"/>
  <c r="N451" i="2"/>
  <c r="M451" i="2" s="1"/>
  <c r="S451" i="2"/>
  <c r="N453" i="2"/>
  <c r="M453" i="2" s="1"/>
  <c r="S453" i="2"/>
  <c r="N455" i="2"/>
  <c r="M455" i="2" s="1"/>
  <c r="S455" i="2"/>
  <c r="N457" i="2"/>
  <c r="M457" i="2" s="1"/>
  <c r="S457" i="2"/>
  <c r="N459" i="2"/>
  <c r="M459" i="2" s="1"/>
  <c r="S459" i="2"/>
  <c r="N461" i="2"/>
  <c r="M461" i="2" s="1"/>
  <c r="S461" i="2"/>
  <c r="N463" i="2"/>
  <c r="M463" i="2" s="1"/>
  <c r="S463" i="2"/>
  <c r="N465" i="2"/>
  <c r="M465" i="2" s="1"/>
  <c r="S465" i="2"/>
  <c r="N467" i="2"/>
  <c r="M467" i="2" s="1"/>
  <c r="S467" i="2"/>
  <c r="N469" i="2"/>
  <c r="M469" i="2" s="1"/>
  <c r="S469" i="2"/>
  <c r="N471" i="2"/>
  <c r="M471" i="2" s="1"/>
  <c r="S471" i="2"/>
  <c r="N473" i="2"/>
  <c r="M473" i="2" s="1"/>
  <c r="S473" i="2"/>
  <c r="N475" i="2"/>
  <c r="M475" i="2" s="1"/>
  <c r="S475" i="2"/>
  <c r="N477" i="2"/>
  <c r="M477" i="2" s="1"/>
  <c r="S477" i="2"/>
  <c r="N479" i="2"/>
  <c r="M479" i="2" s="1"/>
  <c r="S479" i="2"/>
  <c r="N481" i="2"/>
  <c r="M481" i="2" s="1"/>
  <c r="S481" i="2"/>
  <c r="N483" i="2"/>
  <c r="M483" i="2" s="1"/>
  <c r="S483" i="2"/>
  <c r="N485" i="2"/>
  <c r="M485" i="2" s="1"/>
  <c r="S485" i="2"/>
  <c r="N487" i="2"/>
  <c r="M487" i="2" s="1"/>
  <c r="S487" i="2"/>
  <c r="N489" i="2"/>
  <c r="M489" i="2" s="1"/>
  <c r="S489" i="2"/>
  <c r="N491" i="2"/>
  <c r="M491" i="2" s="1"/>
  <c r="S491" i="2"/>
  <c r="N493" i="2"/>
  <c r="M493" i="2" s="1"/>
  <c r="S493" i="2"/>
  <c r="N495" i="2"/>
  <c r="M495" i="2" s="1"/>
  <c r="S495" i="2"/>
  <c r="N497" i="2"/>
  <c r="M497" i="2" s="1"/>
  <c r="S497" i="2"/>
  <c r="N499" i="2"/>
  <c r="M499" i="2" s="1"/>
  <c r="S499" i="2"/>
  <c r="N501" i="2"/>
  <c r="M501" i="2" s="1"/>
  <c r="S501" i="2"/>
  <c r="N503" i="2"/>
  <c r="M503" i="2" s="1"/>
  <c r="S503" i="2"/>
  <c r="N505" i="2"/>
  <c r="M505" i="2" s="1"/>
  <c r="S505" i="2"/>
  <c r="N507" i="2"/>
  <c r="M507" i="2" s="1"/>
  <c r="S507" i="2"/>
  <c r="N509" i="2"/>
  <c r="M509" i="2" s="1"/>
  <c r="S509" i="2"/>
  <c r="N511" i="2"/>
  <c r="M511" i="2" s="1"/>
  <c r="S511" i="2"/>
  <c r="N513" i="2"/>
  <c r="M513" i="2" s="1"/>
  <c r="S513" i="2"/>
  <c r="N515" i="2"/>
  <c r="M515" i="2" s="1"/>
  <c r="S515" i="2"/>
  <c r="N517" i="2"/>
  <c r="M517" i="2" s="1"/>
  <c r="S517" i="2"/>
  <c r="N519" i="2"/>
  <c r="M519" i="2" s="1"/>
  <c r="S519" i="2"/>
  <c r="N521" i="2"/>
  <c r="M521" i="2" s="1"/>
  <c r="S521" i="2"/>
  <c r="N523" i="2"/>
  <c r="M523" i="2" s="1"/>
  <c r="S523" i="2"/>
  <c r="N525" i="2"/>
  <c r="M525" i="2" s="1"/>
  <c r="S525" i="2"/>
  <c r="N527" i="2"/>
  <c r="M527" i="2" s="1"/>
  <c r="S527" i="2"/>
  <c r="N529" i="2"/>
  <c r="M529" i="2" s="1"/>
  <c r="S529" i="2"/>
  <c r="N531" i="2"/>
  <c r="M531" i="2" s="1"/>
  <c r="S531" i="2"/>
  <c r="N533" i="2"/>
  <c r="M533" i="2" s="1"/>
  <c r="S533" i="2"/>
  <c r="N535" i="2"/>
  <c r="M535" i="2" s="1"/>
  <c r="S535" i="2"/>
  <c r="N537" i="2"/>
  <c r="M537" i="2" s="1"/>
  <c r="S537" i="2"/>
  <c r="N539" i="2"/>
  <c r="M539" i="2" s="1"/>
  <c r="S539" i="2"/>
  <c r="N541" i="2"/>
  <c r="M541" i="2" s="1"/>
  <c r="S541" i="2"/>
  <c r="N543" i="2"/>
  <c r="M543" i="2" s="1"/>
  <c r="S543" i="2"/>
  <c r="N545" i="2"/>
  <c r="M545" i="2" s="1"/>
  <c r="S545" i="2"/>
  <c r="N547" i="2"/>
  <c r="M547" i="2" s="1"/>
  <c r="S547" i="2"/>
  <c r="N549" i="2"/>
  <c r="M549" i="2" s="1"/>
  <c r="S549" i="2"/>
  <c r="N551" i="2"/>
  <c r="M551" i="2" s="1"/>
  <c r="S551" i="2"/>
  <c r="N553" i="2"/>
  <c r="M553" i="2" s="1"/>
  <c r="S553" i="2"/>
  <c r="N555" i="2"/>
  <c r="M555" i="2" s="1"/>
  <c r="S555" i="2"/>
  <c r="S557" i="2"/>
  <c r="N557" i="2"/>
  <c r="M557" i="2" s="1"/>
  <c r="N559" i="2"/>
  <c r="M559" i="2" s="1"/>
  <c r="S559" i="2"/>
  <c r="S561" i="2"/>
  <c r="N561" i="2"/>
  <c r="M561" i="2" s="1"/>
  <c r="N563" i="2"/>
  <c r="M563" i="2" s="1"/>
  <c r="S563" i="2"/>
  <c r="N565" i="2"/>
  <c r="M565" i="2" s="1"/>
  <c r="S565" i="2"/>
  <c r="N567" i="2"/>
  <c r="M567" i="2" s="1"/>
  <c r="S567" i="2"/>
  <c r="N569" i="2"/>
  <c r="M569" i="2" s="1"/>
  <c r="S569" i="2"/>
  <c r="N571" i="2"/>
  <c r="M571" i="2" s="1"/>
  <c r="S571" i="2"/>
  <c r="N573" i="2"/>
  <c r="M573" i="2" s="1"/>
  <c r="S573" i="2"/>
  <c r="N575" i="2"/>
  <c r="M575" i="2" s="1"/>
  <c r="S575" i="2"/>
  <c r="N577" i="2"/>
  <c r="M577" i="2" s="1"/>
  <c r="S577" i="2"/>
  <c r="N579" i="2"/>
  <c r="M579" i="2" s="1"/>
  <c r="S579" i="2"/>
  <c r="N581" i="2"/>
  <c r="M581" i="2" s="1"/>
  <c r="S581" i="2"/>
  <c r="N583" i="2"/>
  <c r="M583" i="2" s="1"/>
  <c r="S583" i="2"/>
  <c r="N585" i="2"/>
  <c r="M585" i="2" s="1"/>
  <c r="S585" i="2"/>
  <c r="N587" i="2"/>
  <c r="M587" i="2" s="1"/>
  <c r="S587" i="2"/>
  <c r="N589" i="2"/>
  <c r="M589" i="2" s="1"/>
  <c r="S589" i="2"/>
  <c r="N591" i="2"/>
  <c r="M591" i="2" s="1"/>
  <c r="S591" i="2"/>
  <c r="N593" i="2"/>
  <c r="M593" i="2" s="1"/>
  <c r="S593" i="2"/>
  <c r="N595" i="2"/>
  <c r="M595" i="2" s="1"/>
  <c r="S595" i="2"/>
  <c r="N597" i="2"/>
  <c r="M597" i="2" s="1"/>
  <c r="S597" i="2"/>
  <c r="N599" i="2"/>
  <c r="M599" i="2" s="1"/>
  <c r="S599" i="2"/>
  <c r="N601" i="2"/>
  <c r="M601" i="2" s="1"/>
  <c r="S601" i="2"/>
  <c r="N603" i="2"/>
  <c r="M603" i="2" s="1"/>
  <c r="S603" i="2"/>
  <c r="N605" i="2"/>
  <c r="M605" i="2" s="1"/>
  <c r="S605" i="2"/>
  <c r="N607" i="2"/>
  <c r="M607" i="2" s="1"/>
  <c r="S607" i="2"/>
  <c r="N609" i="2"/>
  <c r="M609" i="2" s="1"/>
  <c r="S609" i="2"/>
  <c r="N611" i="2"/>
  <c r="M611" i="2" s="1"/>
  <c r="S611" i="2"/>
  <c r="N613" i="2"/>
  <c r="M613" i="2" s="1"/>
  <c r="S613" i="2"/>
  <c r="N615" i="2"/>
  <c r="M615" i="2" s="1"/>
  <c r="S615" i="2"/>
  <c r="N617" i="2"/>
  <c r="M617" i="2" s="1"/>
  <c r="S617" i="2"/>
  <c r="N619" i="2"/>
  <c r="M619" i="2" s="1"/>
  <c r="S619" i="2"/>
  <c r="N621" i="2"/>
  <c r="M621" i="2" s="1"/>
  <c r="S621" i="2"/>
  <c r="N623" i="2"/>
  <c r="M623" i="2" s="1"/>
  <c r="S623" i="2"/>
  <c r="S625" i="2"/>
  <c r="N625" i="2"/>
  <c r="M625" i="2" s="1"/>
  <c r="S627" i="2"/>
  <c r="N627" i="2"/>
  <c r="M627" i="2" s="1"/>
  <c r="S629" i="2"/>
  <c r="N629" i="2"/>
  <c r="M629" i="2" s="1"/>
  <c r="S631" i="2"/>
  <c r="N631" i="2"/>
  <c r="M631" i="2" s="1"/>
  <c r="S633" i="2"/>
  <c r="N633" i="2"/>
  <c r="M633" i="2" s="1"/>
  <c r="N635" i="2"/>
  <c r="M635" i="2" s="1"/>
  <c r="S635" i="2"/>
  <c r="S637" i="2"/>
  <c r="N637" i="2"/>
  <c r="M637" i="2" s="1"/>
  <c r="S639" i="2"/>
  <c r="N639" i="2"/>
  <c r="M639" i="2" s="1"/>
  <c r="S641" i="2"/>
  <c r="N641" i="2"/>
  <c r="M641" i="2" s="1"/>
  <c r="N643" i="2"/>
  <c r="M643" i="2" s="1"/>
  <c r="S643" i="2"/>
  <c r="S645" i="2"/>
  <c r="N645" i="2"/>
  <c r="M645" i="2" s="1"/>
  <c r="S647" i="2"/>
  <c r="N647" i="2"/>
  <c r="M647" i="2" s="1"/>
  <c r="S649" i="2"/>
  <c r="N649" i="2"/>
  <c r="M649" i="2" s="1"/>
  <c r="N651" i="2"/>
  <c r="M651" i="2" s="1"/>
  <c r="S651" i="2"/>
  <c r="S653" i="2"/>
  <c r="N653" i="2"/>
  <c r="M653" i="2" s="1"/>
  <c r="S655" i="2"/>
  <c r="N655" i="2"/>
  <c r="M655" i="2" s="1"/>
  <c r="S657" i="2"/>
  <c r="N657" i="2"/>
  <c r="M657" i="2" s="1"/>
  <c r="N659" i="2"/>
  <c r="M659" i="2" s="1"/>
  <c r="S659" i="2"/>
  <c r="S661" i="2"/>
  <c r="N661" i="2"/>
  <c r="M661" i="2" s="1"/>
  <c r="S663" i="2"/>
  <c r="N663" i="2"/>
  <c r="M663" i="2" s="1"/>
  <c r="S665" i="2"/>
  <c r="N665" i="2"/>
  <c r="M665" i="2" s="1"/>
  <c r="N667" i="2"/>
  <c r="M667" i="2" s="1"/>
  <c r="S667" i="2"/>
  <c r="S669" i="2"/>
  <c r="N669" i="2"/>
  <c r="M669" i="2" s="1"/>
  <c r="S671" i="2"/>
  <c r="N671" i="2"/>
  <c r="M671" i="2" s="1"/>
  <c r="S673" i="2"/>
  <c r="N673" i="2"/>
  <c r="M673" i="2" s="1"/>
  <c r="N675" i="2"/>
  <c r="M675" i="2" s="1"/>
  <c r="S675" i="2"/>
  <c r="S677" i="2"/>
  <c r="N677" i="2"/>
  <c r="M677" i="2" s="1"/>
  <c r="S679" i="2"/>
  <c r="N679" i="2"/>
  <c r="M679" i="2" s="1"/>
  <c r="S681" i="2"/>
  <c r="N681" i="2"/>
  <c r="M681" i="2" s="1"/>
  <c r="N683" i="2"/>
  <c r="M683" i="2" s="1"/>
  <c r="S683" i="2"/>
  <c r="S685" i="2"/>
  <c r="N685" i="2"/>
  <c r="M685" i="2" s="1"/>
  <c r="S687" i="2"/>
  <c r="N687" i="2"/>
  <c r="M687" i="2" s="1"/>
  <c r="S689" i="2"/>
  <c r="N689" i="2"/>
  <c r="M689" i="2" s="1"/>
  <c r="N691" i="2"/>
  <c r="M691" i="2" s="1"/>
  <c r="S691" i="2"/>
  <c r="S693" i="2"/>
  <c r="N693" i="2"/>
  <c r="M693" i="2" s="1"/>
  <c r="S695" i="2"/>
  <c r="N695" i="2"/>
  <c r="M695" i="2" s="1"/>
  <c r="S697" i="2"/>
  <c r="N697" i="2"/>
  <c r="M697" i="2" s="1"/>
  <c r="N699" i="2"/>
  <c r="M699" i="2" s="1"/>
  <c r="S699" i="2"/>
  <c r="S701" i="2"/>
  <c r="N701" i="2"/>
  <c r="M701" i="2" s="1"/>
  <c r="N703" i="2"/>
  <c r="M703" i="2" s="1"/>
  <c r="S703" i="2"/>
  <c r="S705" i="2"/>
  <c r="N705" i="2"/>
  <c r="M705" i="2" s="1"/>
  <c r="N707" i="2"/>
  <c r="M707" i="2" s="1"/>
  <c r="S707" i="2"/>
  <c r="S709" i="2"/>
  <c r="N709" i="2"/>
  <c r="M709" i="2" s="1"/>
  <c r="N711" i="2"/>
  <c r="M711" i="2" s="1"/>
  <c r="S711" i="2"/>
  <c r="S713" i="2"/>
  <c r="N713" i="2"/>
  <c r="M713" i="2" s="1"/>
  <c r="N715" i="2"/>
  <c r="M715" i="2" s="1"/>
  <c r="S715" i="2"/>
  <c r="S717" i="2"/>
  <c r="N717" i="2"/>
  <c r="M717" i="2" s="1"/>
  <c r="N719" i="2"/>
  <c r="M719" i="2" s="1"/>
  <c r="S719" i="2"/>
  <c r="S721" i="2"/>
  <c r="N721" i="2"/>
  <c r="M721" i="2" s="1"/>
  <c r="N723" i="2"/>
  <c r="M723" i="2" s="1"/>
  <c r="S723" i="2"/>
  <c r="S725" i="2"/>
  <c r="N725" i="2"/>
  <c r="M725" i="2" s="1"/>
  <c r="N727" i="2"/>
  <c r="M727" i="2" s="1"/>
  <c r="S727" i="2"/>
  <c r="S729" i="2"/>
  <c r="N729" i="2"/>
  <c r="M729" i="2" s="1"/>
  <c r="N731" i="2"/>
  <c r="M731" i="2" s="1"/>
  <c r="S731" i="2"/>
  <c r="S733" i="2"/>
  <c r="N733" i="2"/>
  <c r="M733" i="2" s="1"/>
  <c r="N735" i="2"/>
  <c r="M735" i="2" s="1"/>
  <c r="S735" i="2"/>
  <c r="S737" i="2"/>
  <c r="N737" i="2"/>
  <c r="M737" i="2" s="1"/>
  <c r="N739" i="2"/>
  <c r="M739" i="2" s="1"/>
  <c r="S739" i="2"/>
  <c r="S741" i="2"/>
  <c r="N741" i="2"/>
  <c r="M741" i="2" s="1"/>
  <c r="N743" i="2"/>
  <c r="M743" i="2" s="1"/>
  <c r="S743" i="2"/>
  <c r="S745" i="2"/>
  <c r="N745" i="2"/>
  <c r="M745" i="2" s="1"/>
  <c r="N747" i="2"/>
  <c r="M747" i="2" s="1"/>
  <c r="S747" i="2"/>
  <c r="S749" i="2"/>
  <c r="N749" i="2"/>
  <c r="M749" i="2" s="1"/>
  <c r="N751" i="2"/>
  <c r="M751" i="2" s="1"/>
  <c r="S751" i="2"/>
  <c r="S753" i="2"/>
  <c r="N753" i="2"/>
  <c r="M753" i="2" s="1"/>
  <c r="S755" i="2"/>
  <c r="N755" i="2"/>
  <c r="M755" i="2" s="1"/>
  <c r="N757" i="2"/>
  <c r="M757" i="2" s="1"/>
  <c r="S757" i="2"/>
  <c r="S759" i="2"/>
  <c r="N759" i="2"/>
  <c r="M759" i="2" s="1"/>
  <c r="N761" i="2"/>
  <c r="M761" i="2" s="1"/>
  <c r="S761" i="2"/>
  <c r="N763" i="2"/>
  <c r="M763" i="2" s="1"/>
  <c r="S763" i="2"/>
  <c r="N765" i="2"/>
  <c r="M765" i="2" s="1"/>
  <c r="S765" i="2"/>
  <c r="N767" i="2"/>
  <c r="M767" i="2" s="1"/>
  <c r="S767" i="2"/>
  <c r="N769" i="2"/>
  <c r="M769" i="2" s="1"/>
  <c r="S769" i="2"/>
  <c r="N771" i="2"/>
  <c r="M771" i="2" s="1"/>
  <c r="S771" i="2"/>
  <c r="N773" i="2"/>
  <c r="M773" i="2" s="1"/>
  <c r="S773" i="2"/>
  <c r="N775" i="2"/>
  <c r="M775" i="2" s="1"/>
  <c r="S775" i="2"/>
  <c r="N777" i="2"/>
  <c r="M777" i="2" s="1"/>
  <c r="S777" i="2"/>
  <c r="N779" i="2"/>
  <c r="M779" i="2" s="1"/>
  <c r="S779" i="2"/>
  <c r="N781" i="2"/>
  <c r="M781" i="2" s="1"/>
  <c r="S781" i="2"/>
  <c r="N783" i="2"/>
  <c r="M783" i="2" s="1"/>
  <c r="S783" i="2"/>
  <c r="N785" i="2"/>
  <c r="M785" i="2" s="1"/>
  <c r="S785" i="2"/>
  <c r="N787" i="2"/>
  <c r="M787" i="2" s="1"/>
  <c r="S787" i="2"/>
  <c r="N789" i="2"/>
  <c r="M789" i="2" s="1"/>
  <c r="S789" i="2"/>
  <c r="N791" i="2"/>
  <c r="M791" i="2" s="1"/>
  <c r="S791" i="2"/>
  <c r="N793" i="2"/>
  <c r="M793" i="2" s="1"/>
  <c r="S793" i="2"/>
  <c r="N795" i="2"/>
  <c r="M795" i="2" s="1"/>
  <c r="S795" i="2"/>
  <c r="N797" i="2"/>
  <c r="M797" i="2" s="1"/>
  <c r="S797" i="2"/>
  <c r="N799" i="2"/>
  <c r="M799" i="2" s="1"/>
  <c r="S799" i="2"/>
  <c r="N801" i="2"/>
  <c r="M801" i="2" s="1"/>
  <c r="S801" i="2"/>
  <c r="N803" i="2"/>
  <c r="M803" i="2" s="1"/>
  <c r="S803" i="2"/>
  <c r="N805" i="2"/>
  <c r="M805" i="2" s="1"/>
  <c r="S805" i="2"/>
  <c r="N807" i="2"/>
  <c r="M807" i="2" s="1"/>
  <c r="S807" i="2"/>
  <c r="N809" i="2"/>
  <c r="M809" i="2" s="1"/>
  <c r="S809" i="2"/>
  <c r="N811" i="2"/>
  <c r="M811" i="2" s="1"/>
  <c r="S811" i="2"/>
  <c r="N813" i="2"/>
  <c r="M813" i="2" s="1"/>
  <c r="S813" i="2"/>
  <c r="N815" i="2"/>
  <c r="M815" i="2" s="1"/>
  <c r="S815" i="2"/>
  <c r="N817" i="2"/>
  <c r="M817" i="2" s="1"/>
  <c r="S817" i="2"/>
  <c r="N819" i="2"/>
  <c r="M819" i="2" s="1"/>
  <c r="S819" i="2"/>
  <c r="N821" i="2"/>
  <c r="M821" i="2" s="1"/>
  <c r="S821" i="2"/>
  <c r="N823" i="2"/>
  <c r="M823" i="2" s="1"/>
  <c r="S823" i="2"/>
  <c r="N825" i="2"/>
  <c r="M825" i="2" s="1"/>
  <c r="S825" i="2"/>
  <c r="S827" i="2"/>
  <c r="N827" i="2"/>
  <c r="M827" i="2" s="1"/>
  <c r="N829" i="2"/>
  <c r="M829" i="2" s="1"/>
  <c r="S829" i="2"/>
  <c r="N831" i="2"/>
  <c r="M831" i="2" s="1"/>
  <c r="S831" i="2"/>
  <c r="N833" i="2"/>
  <c r="M833" i="2" s="1"/>
  <c r="S833" i="2"/>
  <c r="N835" i="2"/>
  <c r="M835" i="2" s="1"/>
  <c r="S835" i="2"/>
  <c r="N837" i="2"/>
  <c r="M837" i="2" s="1"/>
  <c r="S837" i="2"/>
  <c r="N839" i="2"/>
  <c r="M839" i="2" s="1"/>
  <c r="S839" i="2"/>
  <c r="N841" i="2"/>
  <c r="M841" i="2" s="1"/>
  <c r="S841" i="2"/>
  <c r="N843" i="2"/>
  <c r="M843" i="2" s="1"/>
  <c r="S843" i="2"/>
  <c r="N845" i="2"/>
  <c r="M845" i="2" s="1"/>
  <c r="S845" i="2"/>
  <c r="N847" i="2"/>
  <c r="M847" i="2" s="1"/>
  <c r="S847" i="2"/>
  <c r="N849" i="2"/>
  <c r="M849" i="2" s="1"/>
  <c r="S849" i="2"/>
  <c r="N851" i="2"/>
  <c r="M851" i="2" s="1"/>
  <c r="S851" i="2"/>
  <c r="N853" i="2"/>
  <c r="M853" i="2" s="1"/>
  <c r="S853" i="2"/>
  <c r="N855" i="2"/>
  <c r="M855" i="2" s="1"/>
  <c r="S855" i="2"/>
  <c r="N857" i="2"/>
  <c r="M857" i="2" s="1"/>
  <c r="S857" i="2"/>
  <c r="N859" i="2"/>
  <c r="M859" i="2" s="1"/>
  <c r="S859" i="2"/>
  <c r="N861" i="2"/>
  <c r="M861" i="2" s="1"/>
  <c r="S861" i="2"/>
  <c r="N863" i="2"/>
  <c r="M863" i="2" s="1"/>
  <c r="S863" i="2"/>
  <c r="N865" i="2"/>
  <c r="M865" i="2" s="1"/>
  <c r="S865" i="2"/>
  <c r="N867" i="2"/>
  <c r="M867" i="2" s="1"/>
  <c r="S867" i="2"/>
  <c r="N869" i="2"/>
  <c r="M869" i="2" s="1"/>
  <c r="S869" i="2"/>
  <c r="N871" i="2"/>
  <c r="M871" i="2" s="1"/>
  <c r="S871" i="2"/>
  <c r="N873" i="2"/>
  <c r="M873" i="2" s="1"/>
  <c r="S873" i="2"/>
  <c r="N875" i="2"/>
  <c r="M875" i="2" s="1"/>
  <c r="S875" i="2"/>
  <c r="N877" i="2"/>
  <c r="M877" i="2" s="1"/>
  <c r="S877" i="2"/>
  <c r="N879" i="2"/>
  <c r="M879" i="2" s="1"/>
  <c r="S879" i="2"/>
  <c r="N881" i="2"/>
  <c r="M881" i="2" s="1"/>
  <c r="S881" i="2"/>
  <c r="N883" i="2"/>
  <c r="M883" i="2" s="1"/>
  <c r="S883" i="2"/>
  <c r="N885" i="2"/>
  <c r="M885" i="2" s="1"/>
  <c r="S885" i="2"/>
  <c r="N887" i="2"/>
  <c r="M887" i="2" s="1"/>
  <c r="S887" i="2"/>
  <c r="S889" i="2"/>
  <c r="N889" i="2"/>
  <c r="M889" i="2" s="1"/>
  <c r="N891" i="2"/>
  <c r="M891" i="2" s="1"/>
  <c r="S891" i="2"/>
  <c r="S893" i="2"/>
  <c r="N893" i="2"/>
  <c r="M893" i="2" s="1"/>
  <c r="N895" i="2"/>
  <c r="M895" i="2" s="1"/>
  <c r="S895" i="2"/>
  <c r="S897" i="2"/>
  <c r="N897" i="2"/>
  <c r="M897" i="2" s="1"/>
  <c r="N899" i="2"/>
  <c r="M899" i="2" s="1"/>
  <c r="S899" i="2"/>
  <c r="S901" i="2"/>
  <c r="N901" i="2"/>
  <c r="M901" i="2" s="1"/>
  <c r="N903" i="2"/>
  <c r="M903" i="2" s="1"/>
  <c r="S903" i="2"/>
  <c r="S905" i="2"/>
  <c r="N905" i="2"/>
  <c r="M905" i="2" s="1"/>
  <c r="N907" i="2"/>
  <c r="M907" i="2" s="1"/>
  <c r="S907" i="2"/>
  <c r="S909" i="2"/>
  <c r="N909" i="2"/>
  <c r="M909" i="2" s="1"/>
  <c r="N911" i="2"/>
  <c r="M911" i="2" s="1"/>
  <c r="S911" i="2"/>
  <c r="S913" i="2"/>
  <c r="N913" i="2"/>
  <c r="M913" i="2" s="1"/>
  <c r="N915" i="2"/>
  <c r="M915" i="2" s="1"/>
  <c r="S915" i="2"/>
  <c r="S917" i="2"/>
  <c r="N917" i="2"/>
  <c r="M917" i="2" s="1"/>
  <c r="N919" i="2"/>
  <c r="M919" i="2" s="1"/>
  <c r="S919" i="2"/>
  <c r="S921" i="2"/>
  <c r="N921" i="2"/>
  <c r="M921" i="2" s="1"/>
  <c r="N923" i="2"/>
  <c r="M923" i="2" s="1"/>
  <c r="S923" i="2"/>
  <c r="S925" i="2"/>
  <c r="N925" i="2"/>
  <c r="M925" i="2" s="1"/>
  <c r="N927" i="2"/>
  <c r="M927" i="2" s="1"/>
  <c r="S927" i="2"/>
  <c r="S929" i="2"/>
  <c r="N929" i="2"/>
  <c r="M929" i="2" s="1"/>
  <c r="N931" i="2"/>
  <c r="M931" i="2" s="1"/>
  <c r="S931" i="2"/>
  <c r="N933" i="2"/>
  <c r="M933" i="2" s="1"/>
  <c r="S933" i="2"/>
  <c r="N935" i="2"/>
  <c r="M935" i="2" s="1"/>
  <c r="S935" i="2"/>
  <c r="N937" i="2"/>
  <c r="M937" i="2" s="1"/>
  <c r="S937" i="2"/>
  <c r="N939" i="2"/>
  <c r="M939" i="2" s="1"/>
  <c r="S939" i="2"/>
  <c r="N941" i="2"/>
  <c r="M941" i="2" s="1"/>
  <c r="S941" i="2"/>
  <c r="N943" i="2"/>
  <c r="M943" i="2" s="1"/>
  <c r="S943" i="2"/>
  <c r="N945" i="2"/>
  <c r="M945" i="2" s="1"/>
  <c r="S945" i="2"/>
  <c r="S948" i="2"/>
  <c r="N948" i="2"/>
  <c r="M948" i="2" s="1"/>
  <c r="A948" i="1"/>
  <c r="A951" i="1"/>
  <c r="N953" i="2"/>
  <c r="M953" i="2" s="1"/>
  <c r="S953" i="2"/>
  <c r="S956" i="2"/>
  <c r="N956" i="2"/>
  <c r="M956" i="2" s="1"/>
  <c r="A956" i="1"/>
  <c r="A959" i="1"/>
  <c r="S961" i="2"/>
  <c r="N961" i="2"/>
  <c r="M961" i="2" s="1"/>
  <c r="N964" i="2"/>
  <c r="M964" i="2" s="1"/>
  <c r="S964" i="2"/>
  <c r="A964" i="1"/>
  <c r="A967" i="1"/>
  <c r="N969" i="2"/>
  <c r="M969" i="2" s="1"/>
  <c r="S969" i="2"/>
  <c r="S972" i="2"/>
  <c r="N972" i="2"/>
  <c r="M972" i="2" s="1"/>
  <c r="A972" i="1"/>
  <c r="A975" i="1"/>
  <c r="N977" i="2"/>
  <c r="M977" i="2" s="1"/>
  <c r="S977" i="2"/>
  <c r="S980" i="2"/>
  <c r="N980" i="2"/>
  <c r="M980" i="2" s="1"/>
  <c r="A980" i="1"/>
  <c r="A983" i="1"/>
  <c r="N985" i="2"/>
  <c r="M985" i="2" s="1"/>
  <c r="S985" i="2"/>
  <c r="S988" i="2"/>
  <c r="N988" i="2"/>
  <c r="M988" i="2" s="1"/>
  <c r="A988" i="1"/>
  <c r="A991" i="1"/>
  <c r="N993" i="2"/>
  <c r="M993" i="2" s="1"/>
  <c r="S993" i="2"/>
  <c r="S996" i="2"/>
  <c r="N996" i="2"/>
  <c r="M996" i="2" s="1"/>
  <c r="A996" i="1"/>
  <c r="A999" i="1"/>
  <c r="N1001" i="2"/>
  <c r="M1001" i="2" s="1"/>
  <c r="S1001" i="2"/>
  <c r="N3" i="2"/>
  <c r="N7" i="2"/>
  <c r="M7" i="2" s="1"/>
  <c r="O1001" i="2"/>
  <c r="O997" i="2"/>
  <c r="O993" i="2"/>
  <c r="O989" i="2"/>
  <c r="O985" i="2"/>
  <c r="O981" i="2"/>
  <c r="O977" i="2"/>
  <c r="O973" i="2"/>
  <c r="O969" i="2"/>
  <c r="O965" i="2"/>
  <c r="O961" i="2"/>
  <c r="O957" i="2"/>
  <c r="O953" i="2"/>
  <c r="O949" i="2"/>
  <c r="O945" i="2"/>
  <c r="O941" i="2"/>
  <c r="O937" i="2"/>
  <c r="O933" i="2"/>
  <c r="O929" i="2"/>
  <c r="O925" i="2"/>
  <c r="O921" i="2"/>
  <c r="O917" i="2"/>
  <c r="O913" i="2"/>
  <c r="O909" i="2"/>
  <c r="O905" i="2"/>
  <c r="O901" i="2"/>
  <c r="O897" i="2"/>
  <c r="O893" i="2"/>
  <c r="O889" i="2"/>
  <c r="O885" i="2"/>
  <c r="O881" i="2"/>
  <c r="O877" i="2"/>
  <c r="O873" i="2"/>
  <c r="O869" i="2"/>
  <c r="O865" i="2"/>
  <c r="O861" i="2"/>
  <c r="O857" i="2"/>
  <c r="O853" i="2"/>
  <c r="O849" i="2"/>
  <c r="O845" i="2"/>
  <c r="O841" i="2"/>
  <c r="O837" i="2"/>
  <c r="O833" i="2"/>
  <c r="O829" i="2"/>
  <c r="O825" i="2"/>
  <c r="O821" i="2"/>
  <c r="O817" i="2"/>
  <c r="O813" i="2"/>
  <c r="O809" i="2"/>
  <c r="O805" i="2"/>
  <c r="O801" i="2"/>
  <c r="O797" i="2"/>
  <c r="O793" i="2"/>
  <c r="O789" i="2"/>
  <c r="O785" i="2"/>
  <c r="O781" i="2"/>
  <c r="O777" i="2"/>
  <c r="O773" i="2"/>
  <c r="O769" i="2"/>
  <c r="O765" i="2"/>
  <c r="O761" i="2"/>
  <c r="O757" i="2"/>
  <c r="O753" i="2"/>
  <c r="O749" i="2"/>
  <c r="O745" i="2"/>
  <c r="O741" i="2"/>
  <c r="O737" i="2"/>
  <c r="O733" i="2"/>
  <c r="O729" i="2"/>
  <c r="O725" i="2"/>
  <c r="O721" i="2"/>
  <c r="O717" i="2"/>
  <c r="O713" i="2"/>
  <c r="O709" i="2"/>
  <c r="O705" i="2"/>
  <c r="O701" i="2"/>
  <c r="O697" i="2"/>
  <c r="O693" i="2"/>
  <c r="O689" i="2"/>
  <c r="O685" i="2"/>
  <c r="O681" i="2"/>
  <c r="O677" i="2"/>
  <c r="O673" i="2"/>
  <c r="O669" i="2"/>
  <c r="O665" i="2"/>
  <c r="O661" i="2"/>
  <c r="O657" i="2"/>
  <c r="O653" i="2"/>
  <c r="O649" i="2"/>
  <c r="O645" i="2"/>
  <c r="O641" i="2"/>
  <c r="O637" i="2"/>
  <c r="O633" i="2"/>
  <c r="O629" i="2"/>
  <c r="O625" i="2"/>
  <c r="O621" i="2"/>
  <c r="O617" i="2"/>
  <c r="O613" i="2"/>
  <c r="O609" i="2"/>
  <c r="O605" i="2"/>
  <c r="O601" i="2"/>
  <c r="O597" i="2"/>
  <c r="O593" i="2"/>
  <c r="O589" i="2"/>
  <c r="O585" i="2"/>
  <c r="O581" i="2"/>
  <c r="O577" i="2"/>
  <c r="O573" i="2"/>
  <c r="O569" i="2"/>
  <c r="O565" i="2"/>
  <c r="O561" i="2"/>
  <c r="O557" i="2"/>
  <c r="O553" i="2"/>
  <c r="O549" i="2"/>
  <c r="O545" i="2"/>
  <c r="O541" i="2"/>
  <c r="O537" i="2"/>
  <c r="O533" i="2"/>
  <c r="O529" i="2"/>
  <c r="O525" i="2"/>
  <c r="O521" i="2"/>
  <c r="O517" i="2"/>
  <c r="O513" i="2"/>
  <c r="O509" i="2"/>
  <c r="O505" i="2"/>
  <c r="O501" i="2"/>
  <c r="O497" i="2"/>
  <c r="O493" i="2"/>
  <c r="O489" i="2"/>
  <c r="O485" i="2"/>
  <c r="O481" i="2"/>
  <c r="O477" i="2"/>
  <c r="O473" i="2"/>
  <c r="O469" i="2"/>
  <c r="O465" i="2"/>
  <c r="O461" i="2"/>
  <c r="O457" i="2"/>
  <c r="O453" i="2"/>
  <c r="O449" i="2"/>
  <c r="O445" i="2"/>
  <c r="O441" i="2"/>
  <c r="O437" i="2"/>
  <c r="O433" i="2"/>
  <c r="O429" i="2"/>
  <c r="O425" i="2"/>
  <c r="O421" i="2"/>
  <c r="O417" i="2"/>
  <c r="O413" i="2"/>
  <c r="O409" i="2"/>
  <c r="O405" i="2"/>
  <c r="O401" i="2"/>
  <c r="O397" i="2"/>
  <c r="O393" i="2"/>
  <c r="O389" i="2"/>
  <c r="O385" i="2"/>
  <c r="O381" i="2"/>
  <c r="O377" i="2"/>
  <c r="O373" i="2"/>
  <c r="O369" i="2"/>
  <c r="O365" i="2"/>
  <c r="O361" i="2"/>
  <c r="O357" i="2"/>
  <c r="O353" i="2"/>
  <c r="O349" i="2"/>
  <c r="O345" i="2"/>
  <c r="O341" i="2"/>
  <c r="O337" i="2"/>
  <c r="O333" i="2"/>
  <c r="O329" i="2"/>
  <c r="O325" i="2"/>
  <c r="O321" i="2"/>
  <c r="O317" i="2"/>
  <c r="O313" i="2"/>
  <c r="O309" i="2"/>
  <c r="O305" i="2"/>
  <c r="O301" i="2"/>
  <c r="O297" i="2"/>
  <c r="O293" i="2"/>
  <c r="O289" i="2"/>
  <c r="O285" i="2"/>
  <c r="O281" i="2"/>
  <c r="O277" i="2"/>
  <c r="O273" i="2"/>
  <c r="O269" i="2"/>
  <c r="O265" i="2"/>
  <c r="O261" i="2"/>
  <c r="O257" i="2"/>
  <c r="O253" i="2"/>
  <c r="O249" i="2"/>
  <c r="O245" i="2"/>
  <c r="O241" i="2"/>
  <c r="O237" i="2"/>
  <c r="O233" i="2"/>
  <c r="O229" i="2"/>
  <c r="O225" i="2"/>
  <c r="O221" i="2"/>
  <c r="O217" i="2"/>
  <c r="O213" i="2"/>
  <c r="O209" i="2"/>
  <c r="O205" i="2"/>
  <c r="O201" i="2"/>
  <c r="O197" i="2"/>
  <c r="O193" i="2"/>
  <c r="O189" i="2"/>
  <c r="O185" i="2"/>
  <c r="O181" i="2"/>
  <c r="O177" i="2"/>
  <c r="O173" i="2"/>
  <c r="O169" i="2"/>
  <c r="O165" i="2"/>
  <c r="O161" i="2"/>
  <c r="O157" i="2"/>
  <c r="O153" i="2"/>
  <c r="O149" i="2"/>
  <c r="O145" i="2"/>
  <c r="O141" i="2"/>
  <c r="O137" i="2"/>
  <c r="O133" i="2"/>
  <c r="O129" i="2"/>
  <c r="O125" i="2"/>
  <c r="O121" i="2"/>
  <c r="O117" i="2"/>
  <c r="O113" i="2"/>
  <c r="O109" i="2"/>
  <c r="O105" i="2"/>
  <c r="O101" i="2"/>
  <c r="O97" i="2"/>
  <c r="O93" i="2"/>
  <c r="O89" i="2"/>
  <c r="O85" i="2"/>
  <c r="O81" i="2"/>
  <c r="O77" i="2"/>
  <c r="O73" i="2"/>
  <c r="O69" i="2"/>
  <c r="O65" i="2"/>
  <c r="O61" i="2"/>
  <c r="O57" i="2"/>
  <c r="O53" i="2"/>
  <c r="O49" i="2"/>
  <c r="O45" i="2"/>
  <c r="O41" i="2"/>
  <c r="O37" i="2"/>
  <c r="O33" i="2"/>
  <c r="O29" i="2"/>
  <c r="O25" i="2"/>
  <c r="O21" i="2"/>
  <c r="O17" i="2"/>
  <c r="O13" i="2"/>
  <c r="O9" i="2"/>
  <c r="O5" i="2"/>
  <c r="O2" i="2"/>
  <c r="O1000" i="2"/>
  <c r="O996" i="2"/>
  <c r="O992" i="2"/>
  <c r="O988" i="2"/>
  <c r="O984" i="2"/>
  <c r="O980" i="2"/>
  <c r="O976" i="2"/>
  <c r="O972" i="2"/>
  <c r="O968" i="2"/>
  <c r="O964" i="2"/>
  <c r="O960" i="2"/>
  <c r="O956" i="2"/>
  <c r="O952" i="2"/>
  <c r="O948" i="2"/>
  <c r="O944" i="2"/>
  <c r="O940" i="2"/>
  <c r="O936" i="2"/>
  <c r="O932" i="2"/>
  <c r="O928" i="2"/>
  <c r="O924" i="2"/>
  <c r="O920" i="2"/>
  <c r="O916" i="2"/>
  <c r="O912" i="2"/>
  <c r="O908" i="2"/>
  <c r="O904" i="2"/>
  <c r="O900" i="2"/>
  <c r="O896" i="2"/>
  <c r="O892" i="2"/>
  <c r="O888" i="2"/>
  <c r="O884" i="2"/>
  <c r="O880" i="2"/>
  <c r="O876" i="2"/>
  <c r="O872" i="2"/>
  <c r="O868" i="2"/>
  <c r="O864" i="2"/>
  <c r="O860" i="2"/>
  <c r="O856" i="2"/>
  <c r="O852" i="2"/>
  <c r="O848" i="2"/>
  <c r="O844" i="2"/>
  <c r="O840" i="2"/>
  <c r="O836" i="2"/>
  <c r="O832" i="2"/>
  <c r="O828" i="2"/>
  <c r="O824" i="2"/>
  <c r="O820" i="2"/>
  <c r="O816" i="2"/>
  <c r="O812" i="2"/>
  <c r="O808" i="2"/>
  <c r="O804" i="2"/>
  <c r="O800" i="2"/>
  <c r="O796" i="2"/>
  <c r="O792" i="2"/>
  <c r="O788" i="2"/>
  <c r="O784" i="2"/>
  <c r="O780" i="2"/>
  <c r="O776" i="2"/>
  <c r="O772" i="2"/>
  <c r="O768" i="2"/>
  <c r="O764" i="2"/>
  <c r="O760" i="2"/>
  <c r="O756" i="2"/>
  <c r="O752" i="2"/>
  <c r="O748" i="2"/>
  <c r="O744" i="2"/>
  <c r="O740" i="2"/>
  <c r="O736" i="2"/>
  <c r="O732" i="2"/>
  <c r="O728" i="2"/>
  <c r="O724" i="2"/>
  <c r="O720" i="2"/>
  <c r="O716" i="2"/>
  <c r="O712" i="2"/>
  <c r="O708" i="2"/>
  <c r="O704" i="2"/>
  <c r="O700" i="2"/>
  <c r="O696" i="2"/>
  <c r="O692" i="2"/>
  <c r="O688" i="2"/>
  <c r="O684" i="2"/>
  <c r="O680" i="2"/>
  <c r="O676" i="2"/>
  <c r="O672" i="2"/>
  <c r="O668" i="2"/>
  <c r="O664" i="2"/>
  <c r="O660" i="2"/>
  <c r="O656" i="2"/>
  <c r="O652" i="2"/>
  <c r="O648" i="2"/>
  <c r="O644" i="2"/>
  <c r="O640" i="2"/>
  <c r="O636" i="2"/>
  <c r="O632" i="2"/>
  <c r="O628" i="2"/>
  <c r="O624" i="2"/>
  <c r="O620" i="2"/>
  <c r="O616" i="2"/>
  <c r="O612" i="2"/>
  <c r="O608" i="2"/>
  <c r="O604" i="2"/>
  <c r="O600" i="2"/>
  <c r="O596" i="2"/>
  <c r="O592" i="2"/>
  <c r="O588" i="2"/>
  <c r="O584" i="2"/>
  <c r="O580" i="2"/>
  <c r="O576" i="2"/>
  <c r="O572" i="2"/>
  <c r="O568" i="2"/>
  <c r="O564" i="2"/>
  <c r="O560" i="2"/>
  <c r="O556" i="2"/>
  <c r="O552" i="2"/>
  <c r="O548" i="2"/>
  <c r="O544" i="2"/>
  <c r="O540" i="2"/>
  <c r="O536" i="2"/>
  <c r="O532" i="2"/>
  <c r="O528" i="2"/>
  <c r="O524" i="2"/>
  <c r="O520" i="2"/>
  <c r="O516" i="2"/>
  <c r="O512" i="2"/>
  <c r="O508" i="2"/>
  <c r="O504" i="2"/>
  <c r="O500" i="2"/>
  <c r="O496" i="2"/>
  <c r="O492" i="2"/>
  <c r="O488" i="2"/>
  <c r="O484" i="2"/>
  <c r="O480" i="2"/>
  <c r="O476" i="2"/>
  <c r="O472" i="2"/>
  <c r="O468" i="2"/>
  <c r="O464" i="2"/>
  <c r="O460" i="2"/>
  <c r="O456" i="2"/>
  <c r="O452" i="2"/>
  <c r="O448" i="2"/>
  <c r="O444" i="2"/>
  <c r="O440" i="2"/>
  <c r="O436" i="2"/>
  <c r="O432" i="2"/>
  <c r="O428" i="2"/>
  <c r="O424" i="2"/>
  <c r="O420" i="2"/>
  <c r="O416" i="2"/>
  <c r="O412" i="2"/>
  <c r="O408" i="2"/>
  <c r="O404" i="2"/>
  <c r="O400" i="2"/>
  <c r="O396" i="2"/>
  <c r="O392" i="2"/>
  <c r="O388" i="2"/>
  <c r="O384" i="2"/>
  <c r="O380" i="2"/>
  <c r="O376" i="2"/>
  <c r="O372" i="2"/>
  <c r="O368" i="2"/>
  <c r="O364" i="2"/>
  <c r="O360" i="2"/>
  <c r="O356" i="2"/>
  <c r="O352" i="2"/>
  <c r="O348" i="2"/>
  <c r="O344" i="2"/>
  <c r="O340" i="2"/>
  <c r="O336" i="2"/>
  <c r="O332" i="2"/>
  <c r="O328" i="2"/>
  <c r="O324" i="2"/>
  <c r="O320" i="2"/>
  <c r="O316" i="2"/>
  <c r="O312" i="2"/>
  <c r="O308" i="2"/>
  <c r="O304" i="2"/>
  <c r="O300" i="2"/>
  <c r="O296" i="2"/>
  <c r="O292" i="2"/>
  <c r="O288" i="2"/>
  <c r="O284" i="2"/>
  <c r="O280" i="2"/>
  <c r="O276" i="2"/>
  <c r="O272" i="2"/>
  <c r="O268" i="2"/>
  <c r="O264" i="2"/>
  <c r="O260" i="2"/>
  <c r="O256" i="2"/>
  <c r="O252" i="2"/>
  <c r="O248" i="2"/>
  <c r="O244" i="2"/>
  <c r="O240" i="2"/>
  <c r="O236" i="2"/>
  <c r="O232" i="2"/>
  <c r="O228" i="2"/>
  <c r="O224" i="2"/>
  <c r="O220" i="2"/>
  <c r="O216" i="2"/>
  <c r="O212" i="2"/>
  <c r="O208" i="2"/>
  <c r="O204" i="2"/>
  <c r="O200" i="2"/>
  <c r="O196" i="2"/>
  <c r="O192" i="2"/>
  <c r="O188" i="2"/>
  <c r="O184" i="2"/>
  <c r="O180" i="2"/>
  <c r="O176" i="2"/>
  <c r="O172" i="2"/>
  <c r="O168" i="2"/>
  <c r="O164" i="2"/>
  <c r="O160" i="2"/>
  <c r="O156" i="2"/>
  <c r="O152" i="2"/>
  <c r="O148" i="2"/>
  <c r="O144" i="2"/>
  <c r="O140" i="2"/>
  <c r="O136" i="2"/>
  <c r="O132" i="2"/>
  <c r="O128" i="2"/>
  <c r="O124" i="2"/>
  <c r="O120" i="2"/>
  <c r="O116" i="2"/>
  <c r="O112" i="2"/>
  <c r="O108" i="2"/>
  <c r="O104" i="2"/>
  <c r="O100" i="2"/>
  <c r="O96" i="2"/>
  <c r="O92" i="2"/>
  <c r="O88" i="2"/>
  <c r="O84" i="2"/>
  <c r="O80" i="2"/>
  <c r="O76" i="2"/>
  <c r="O72" i="2"/>
  <c r="O68" i="2"/>
  <c r="O64" i="2"/>
  <c r="O60" i="2"/>
  <c r="O56" i="2"/>
  <c r="O52" i="2"/>
  <c r="O48" i="2"/>
  <c r="O44" i="2"/>
  <c r="O40" i="2"/>
  <c r="O36" i="2"/>
  <c r="O32" i="2"/>
  <c r="O28" i="2"/>
  <c r="O24" i="2"/>
  <c r="O20" i="2"/>
  <c r="O16" i="2"/>
  <c r="O12" i="2"/>
  <c r="O8" i="2"/>
  <c r="O4" i="2"/>
  <c r="O10" i="2"/>
  <c r="O18" i="2"/>
  <c r="O26" i="2"/>
  <c r="O34" i="2"/>
  <c r="O42" i="2"/>
  <c r="O50" i="2"/>
  <c r="O58" i="2"/>
  <c r="O66" i="2"/>
  <c r="O74" i="2"/>
  <c r="O82" i="2"/>
  <c r="O90" i="2"/>
  <c r="O98" i="2"/>
  <c r="O106" i="2"/>
  <c r="O114" i="2"/>
  <c r="O122" i="2"/>
  <c r="O130" i="2"/>
  <c r="O138" i="2"/>
  <c r="O146" i="2"/>
  <c r="O154" i="2"/>
  <c r="O162" i="2"/>
  <c r="O170" i="2"/>
  <c r="O178" i="2"/>
  <c r="O186" i="2"/>
  <c r="O194" i="2"/>
  <c r="O202" i="2"/>
  <c r="O210" i="2"/>
  <c r="O218" i="2"/>
  <c r="O226" i="2"/>
  <c r="O234" i="2"/>
  <c r="O242" i="2"/>
  <c r="O250" i="2"/>
  <c r="O258" i="2"/>
  <c r="O266" i="2"/>
  <c r="O274" i="2"/>
  <c r="O282" i="2"/>
  <c r="O290" i="2"/>
  <c r="O298" i="2"/>
  <c r="O306" i="2"/>
  <c r="O314" i="2"/>
  <c r="O322" i="2"/>
  <c r="O330" i="2"/>
  <c r="O338" i="2"/>
  <c r="O346" i="2"/>
  <c r="O354" i="2"/>
  <c r="O362" i="2"/>
  <c r="O370" i="2"/>
  <c r="O378" i="2"/>
  <c r="O386" i="2"/>
  <c r="O394" i="2"/>
  <c r="O402" i="2"/>
  <c r="O410" i="2"/>
  <c r="O418" i="2"/>
  <c r="O426" i="2"/>
  <c r="O434" i="2"/>
  <c r="O442" i="2"/>
  <c r="O450" i="2"/>
  <c r="O458" i="2"/>
  <c r="O466" i="2"/>
  <c r="O474" i="2"/>
  <c r="O482" i="2"/>
  <c r="O490" i="2"/>
  <c r="O498" i="2"/>
  <c r="O506" i="2"/>
  <c r="O514" i="2"/>
  <c r="O522" i="2"/>
  <c r="O530" i="2"/>
  <c r="O538" i="2"/>
  <c r="O546" i="2"/>
  <c r="O554" i="2"/>
  <c r="O562" i="2"/>
  <c r="O570" i="2"/>
  <c r="O578" i="2"/>
  <c r="O586" i="2"/>
  <c r="O594" i="2"/>
  <c r="O602" i="2"/>
  <c r="O610" i="2"/>
  <c r="O618" i="2"/>
  <c r="O626" i="2"/>
  <c r="O634" i="2"/>
  <c r="O642" i="2"/>
  <c r="O650" i="2"/>
  <c r="O658" i="2"/>
  <c r="O666" i="2"/>
  <c r="O674" i="2"/>
  <c r="O682" i="2"/>
  <c r="O690" i="2"/>
  <c r="O698" i="2"/>
  <c r="O706" i="2"/>
  <c r="O714" i="2"/>
  <c r="O722" i="2"/>
  <c r="O730" i="2"/>
  <c r="O738" i="2"/>
  <c r="O746" i="2"/>
  <c r="O754" i="2"/>
  <c r="O762" i="2"/>
  <c r="O770" i="2"/>
  <c r="O778" i="2"/>
  <c r="O786" i="2"/>
  <c r="O794" i="2"/>
  <c r="O802" i="2"/>
  <c r="O810" i="2"/>
  <c r="O818" i="2"/>
  <c r="O826" i="2"/>
  <c r="O834" i="2"/>
  <c r="O842" i="2"/>
  <c r="O850" i="2"/>
  <c r="O858" i="2"/>
  <c r="O866" i="2"/>
  <c r="O874" i="2"/>
  <c r="O882" i="2"/>
  <c r="O890" i="2"/>
  <c r="O898" i="2"/>
  <c r="O906" i="2"/>
  <c r="O914" i="2"/>
  <c r="O922" i="2"/>
  <c r="O930" i="2"/>
  <c r="O938" i="2"/>
  <c r="O946" i="2"/>
  <c r="O954" i="2"/>
  <c r="O962" i="2"/>
  <c r="O970" i="2"/>
  <c r="O978" i="2"/>
  <c r="O986" i="2"/>
  <c r="O994" i="2"/>
  <c r="L1000" i="2"/>
  <c r="L996" i="2"/>
  <c r="L992" i="2"/>
  <c r="L988" i="2"/>
  <c r="L984" i="2"/>
  <c r="L980" i="2"/>
  <c r="L976" i="2"/>
  <c r="L972" i="2"/>
  <c r="L968" i="2"/>
  <c r="L964" i="2"/>
  <c r="L960" i="2"/>
  <c r="L956" i="2"/>
  <c r="L952" i="2"/>
  <c r="L948" i="2"/>
  <c r="L944" i="2"/>
  <c r="L940" i="2"/>
  <c r="L936" i="2"/>
  <c r="L932" i="2"/>
  <c r="L928" i="2"/>
  <c r="L924" i="2"/>
  <c r="L920" i="2"/>
  <c r="L916" i="2"/>
  <c r="L912" i="2"/>
  <c r="L908" i="2"/>
  <c r="L904" i="2"/>
  <c r="L900" i="2"/>
  <c r="L896" i="2"/>
  <c r="L892" i="2"/>
  <c r="L888" i="2"/>
  <c r="L884" i="2"/>
  <c r="L880" i="2"/>
  <c r="L876" i="2"/>
  <c r="L872" i="2"/>
  <c r="L868" i="2"/>
  <c r="L864" i="2"/>
  <c r="L860" i="2"/>
  <c r="L856" i="2"/>
  <c r="L852" i="2"/>
  <c r="L848" i="2"/>
  <c r="L844" i="2"/>
  <c r="L840" i="2"/>
  <c r="L836" i="2"/>
  <c r="L832" i="2"/>
  <c r="L828" i="2"/>
  <c r="L824" i="2"/>
  <c r="L820" i="2"/>
  <c r="L816" i="2"/>
  <c r="L812" i="2"/>
  <c r="L808" i="2"/>
  <c r="L804" i="2"/>
  <c r="L800" i="2"/>
  <c r="L796" i="2"/>
  <c r="L792" i="2"/>
  <c r="L788" i="2"/>
  <c r="L784" i="2"/>
  <c r="L780" i="2"/>
  <c r="L776" i="2"/>
  <c r="L772" i="2"/>
  <c r="L768" i="2"/>
  <c r="L764" i="2"/>
  <c r="L760" i="2"/>
  <c r="L756" i="2"/>
  <c r="L752" i="2"/>
  <c r="L748" i="2"/>
  <c r="L744" i="2"/>
  <c r="L740" i="2"/>
  <c r="L736" i="2"/>
  <c r="L732" i="2"/>
  <c r="L728" i="2"/>
  <c r="L724" i="2"/>
  <c r="L720" i="2"/>
  <c r="L716" i="2"/>
  <c r="L712" i="2"/>
  <c r="L708" i="2"/>
  <c r="L704" i="2"/>
  <c r="L700" i="2"/>
  <c r="L696" i="2"/>
  <c r="L692" i="2"/>
  <c r="L688" i="2"/>
  <c r="L684" i="2"/>
  <c r="L680" i="2"/>
  <c r="L676" i="2"/>
  <c r="L672" i="2"/>
  <c r="L668" i="2"/>
  <c r="L664" i="2"/>
  <c r="L660" i="2"/>
  <c r="L656" i="2"/>
  <c r="L652" i="2"/>
  <c r="L648" i="2"/>
  <c r="L644" i="2"/>
  <c r="L640" i="2"/>
  <c r="L636" i="2"/>
  <c r="L632" i="2"/>
  <c r="L628" i="2"/>
  <c r="L624" i="2"/>
  <c r="L620" i="2"/>
  <c r="L616" i="2"/>
  <c r="L612" i="2"/>
  <c r="L608" i="2"/>
  <c r="L604" i="2"/>
  <c r="L600" i="2"/>
  <c r="L596" i="2"/>
  <c r="L592" i="2"/>
  <c r="L588" i="2"/>
  <c r="L584" i="2"/>
  <c r="L580" i="2"/>
  <c r="L576" i="2"/>
  <c r="L572" i="2"/>
  <c r="L568" i="2"/>
  <c r="L564" i="2"/>
  <c r="L560" i="2"/>
  <c r="L556" i="2"/>
  <c r="L552" i="2"/>
  <c r="L548" i="2"/>
  <c r="L544" i="2"/>
  <c r="L540" i="2"/>
  <c r="L536" i="2"/>
  <c r="L532" i="2"/>
  <c r="L528" i="2"/>
  <c r="L524" i="2"/>
  <c r="L520" i="2"/>
  <c r="L516" i="2"/>
  <c r="L512" i="2"/>
  <c r="L508" i="2"/>
  <c r="L504" i="2"/>
  <c r="L500" i="2"/>
  <c r="L496" i="2"/>
  <c r="L492" i="2"/>
  <c r="L488" i="2"/>
  <c r="L484" i="2"/>
  <c r="L480" i="2"/>
  <c r="L476" i="2"/>
  <c r="L472" i="2"/>
  <c r="L468" i="2"/>
  <c r="L464" i="2"/>
  <c r="L460" i="2"/>
  <c r="L456" i="2"/>
  <c r="L452" i="2"/>
  <c r="L448" i="2"/>
  <c r="L444" i="2"/>
  <c r="L440" i="2"/>
  <c r="L436" i="2"/>
  <c r="L432" i="2"/>
  <c r="L428" i="2"/>
  <c r="L424" i="2"/>
  <c r="L420" i="2"/>
  <c r="L416" i="2"/>
  <c r="L412" i="2"/>
  <c r="L408" i="2"/>
  <c r="L404" i="2"/>
  <c r="L400" i="2"/>
  <c r="L396" i="2"/>
  <c r="L392" i="2"/>
  <c r="L388" i="2"/>
  <c r="L384" i="2"/>
  <c r="L380" i="2"/>
  <c r="L376" i="2"/>
  <c r="L372" i="2"/>
  <c r="L368" i="2"/>
  <c r="L364" i="2"/>
  <c r="L360" i="2"/>
  <c r="L356" i="2"/>
  <c r="L352" i="2"/>
  <c r="L348" i="2"/>
  <c r="L344" i="2"/>
  <c r="L340" i="2"/>
  <c r="L336" i="2"/>
  <c r="L332" i="2"/>
  <c r="L328" i="2"/>
  <c r="L324" i="2"/>
  <c r="L320" i="2"/>
  <c r="L316" i="2"/>
  <c r="L312" i="2"/>
  <c r="L308" i="2"/>
  <c r="L304" i="2"/>
  <c r="L300" i="2"/>
  <c r="L296" i="2"/>
  <c r="L292" i="2"/>
  <c r="L288" i="2"/>
  <c r="L284" i="2"/>
  <c r="L280" i="2"/>
  <c r="L276" i="2"/>
  <c r="L272" i="2"/>
  <c r="L268" i="2"/>
  <c r="L264" i="2"/>
  <c r="L260" i="2"/>
  <c r="L256" i="2"/>
  <c r="L252" i="2"/>
  <c r="L248" i="2"/>
  <c r="L244" i="2"/>
  <c r="L240" i="2"/>
  <c r="L236" i="2"/>
  <c r="L232" i="2"/>
  <c r="L228" i="2"/>
  <c r="L224" i="2"/>
  <c r="L220" i="2"/>
  <c r="L216" i="2"/>
  <c r="L212" i="2"/>
  <c r="L208" i="2"/>
  <c r="L204" i="2"/>
  <c r="L200" i="2"/>
  <c r="L196" i="2"/>
  <c r="L192" i="2"/>
  <c r="L188" i="2"/>
  <c r="L184" i="2"/>
  <c r="L180" i="2"/>
  <c r="L176" i="2"/>
  <c r="L172" i="2"/>
  <c r="L168" i="2"/>
  <c r="L164" i="2"/>
  <c r="L160" i="2"/>
  <c r="L156" i="2"/>
  <c r="L152" i="2"/>
  <c r="L148" i="2"/>
  <c r="L144" i="2"/>
  <c r="L140" i="2"/>
  <c r="L136" i="2"/>
  <c r="L132" i="2"/>
  <c r="L128" i="2"/>
  <c r="L124" i="2"/>
  <c r="L120" i="2"/>
  <c r="L116" i="2"/>
  <c r="L112" i="2"/>
  <c r="L108" i="2"/>
  <c r="L104" i="2"/>
  <c r="L100" i="2"/>
  <c r="L96" i="2"/>
  <c r="L92" i="2"/>
  <c r="L88" i="2"/>
  <c r="L84" i="2"/>
  <c r="L80" i="2"/>
  <c r="L76" i="2"/>
  <c r="L72" i="2"/>
  <c r="L68" i="2"/>
  <c r="L64" i="2"/>
  <c r="L60" i="2"/>
  <c r="L56" i="2"/>
  <c r="L52" i="2"/>
  <c r="L48" i="2"/>
  <c r="L44" i="2"/>
  <c r="L40" i="2"/>
  <c r="L36" i="2"/>
  <c r="L32" i="2"/>
  <c r="L28" i="2"/>
  <c r="L24" i="2"/>
  <c r="L20" i="2"/>
  <c r="L16" i="2"/>
  <c r="L12" i="2"/>
  <c r="L8" i="2"/>
  <c r="L4" i="2"/>
  <c r="L999" i="2"/>
  <c r="L995" i="2"/>
  <c r="L991" i="2"/>
  <c r="L987" i="2"/>
  <c r="L983" i="2"/>
  <c r="L979" i="2"/>
  <c r="L975" i="2"/>
  <c r="L971" i="2"/>
  <c r="L967" i="2"/>
  <c r="L963" i="2"/>
  <c r="L959" i="2"/>
  <c r="L955" i="2"/>
  <c r="L951" i="2"/>
  <c r="L947" i="2"/>
  <c r="L943" i="2"/>
  <c r="L939" i="2"/>
  <c r="L935" i="2"/>
  <c r="L931" i="2"/>
  <c r="L927" i="2"/>
  <c r="L923" i="2"/>
  <c r="L919" i="2"/>
  <c r="L915" i="2"/>
  <c r="L911" i="2"/>
  <c r="L907" i="2"/>
  <c r="L903" i="2"/>
  <c r="L899" i="2"/>
  <c r="L895" i="2"/>
  <c r="L891" i="2"/>
  <c r="L887" i="2"/>
  <c r="L883" i="2"/>
  <c r="L879" i="2"/>
  <c r="L875" i="2"/>
  <c r="L871" i="2"/>
  <c r="L867" i="2"/>
  <c r="L863" i="2"/>
  <c r="L859" i="2"/>
  <c r="L855" i="2"/>
  <c r="L851" i="2"/>
  <c r="L847" i="2"/>
  <c r="L843" i="2"/>
  <c r="L839" i="2"/>
  <c r="L835" i="2"/>
  <c r="L831" i="2"/>
  <c r="L827" i="2"/>
  <c r="L823" i="2"/>
  <c r="L819" i="2"/>
  <c r="L815" i="2"/>
  <c r="L811" i="2"/>
  <c r="L807" i="2"/>
  <c r="L803" i="2"/>
  <c r="L799" i="2"/>
  <c r="L795" i="2"/>
  <c r="L791" i="2"/>
  <c r="L787" i="2"/>
  <c r="L783" i="2"/>
  <c r="L779" i="2"/>
  <c r="L775" i="2"/>
  <c r="L771" i="2"/>
  <c r="L767" i="2"/>
  <c r="L763" i="2"/>
  <c r="L759" i="2"/>
  <c r="L755" i="2"/>
  <c r="L751" i="2"/>
  <c r="L747" i="2"/>
  <c r="L743" i="2"/>
  <c r="L739" i="2"/>
  <c r="L735" i="2"/>
  <c r="L731" i="2"/>
  <c r="L727" i="2"/>
  <c r="L723" i="2"/>
  <c r="L719" i="2"/>
  <c r="L715" i="2"/>
  <c r="L711" i="2"/>
  <c r="L707" i="2"/>
  <c r="L703" i="2"/>
  <c r="L699" i="2"/>
  <c r="L695" i="2"/>
  <c r="L691" i="2"/>
  <c r="L687" i="2"/>
  <c r="L683" i="2"/>
  <c r="L679" i="2"/>
  <c r="L675" i="2"/>
  <c r="L671" i="2"/>
  <c r="L667" i="2"/>
  <c r="L663" i="2"/>
  <c r="L659" i="2"/>
  <c r="L655" i="2"/>
  <c r="L651" i="2"/>
  <c r="L647" i="2"/>
  <c r="L643" i="2"/>
  <c r="L639" i="2"/>
  <c r="L635" i="2"/>
  <c r="L631" i="2"/>
  <c r="L627" i="2"/>
  <c r="L623" i="2"/>
  <c r="L619" i="2"/>
  <c r="L615" i="2"/>
  <c r="L611" i="2"/>
  <c r="L607" i="2"/>
  <c r="L603" i="2"/>
  <c r="L599" i="2"/>
  <c r="L595" i="2"/>
  <c r="L591" i="2"/>
  <c r="L587" i="2"/>
  <c r="L583" i="2"/>
  <c r="L579" i="2"/>
  <c r="L575" i="2"/>
  <c r="L571" i="2"/>
  <c r="L567" i="2"/>
  <c r="L563" i="2"/>
  <c r="L559" i="2"/>
  <c r="L555" i="2"/>
  <c r="L7" i="2"/>
  <c r="L13" i="2"/>
  <c r="L18" i="2"/>
  <c r="L23" i="2"/>
  <c r="L29" i="2"/>
  <c r="L34" i="2"/>
  <c r="L39" i="2"/>
  <c r="L45" i="2"/>
  <c r="L50" i="2"/>
  <c r="L55" i="2"/>
  <c r="L61" i="2"/>
  <c r="L66" i="2"/>
  <c r="L71" i="2"/>
  <c r="L77" i="2"/>
  <c r="L82" i="2"/>
  <c r="L87" i="2"/>
  <c r="L93" i="2"/>
  <c r="L98" i="2"/>
  <c r="L103" i="2"/>
  <c r="L109" i="2"/>
  <c r="L114" i="2"/>
  <c r="L119" i="2"/>
  <c r="L125" i="2"/>
  <c r="L130" i="2"/>
  <c r="L135" i="2"/>
  <c r="L141" i="2"/>
  <c r="L146" i="2"/>
  <c r="L151" i="2"/>
  <c r="L157" i="2"/>
  <c r="L162" i="2"/>
  <c r="L167" i="2"/>
  <c r="L173" i="2"/>
  <c r="L178" i="2"/>
  <c r="L183" i="2"/>
  <c r="L189" i="2"/>
  <c r="L194" i="2"/>
  <c r="L199" i="2"/>
  <c r="L205" i="2"/>
  <c r="L210" i="2"/>
  <c r="L215" i="2"/>
  <c r="L221" i="2"/>
  <c r="L226" i="2"/>
  <c r="L231" i="2"/>
  <c r="L237" i="2"/>
  <c r="L242" i="2"/>
  <c r="L247" i="2"/>
  <c r="L253" i="2"/>
  <c r="L258" i="2"/>
  <c r="L263" i="2"/>
  <c r="L269" i="2"/>
  <c r="L274" i="2"/>
  <c r="L279" i="2"/>
  <c r="L285" i="2"/>
  <c r="L290" i="2"/>
  <c r="L295" i="2"/>
  <c r="L301" i="2"/>
  <c r="L306" i="2"/>
  <c r="L311" i="2"/>
  <c r="L317" i="2"/>
  <c r="L322" i="2"/>
  <c r="L327" i="2"/>
  <c r="L333" i="2"/>
  <c r="L338" i="2"/>
  <c r="L343" i="2"/>
  <c r="L349" i="2"/>
  <c r="L354" i="2"/>
  <c r="L359" i="2"/>
  <c r="L365" i="2"/>
  <c r="L370" i="2"/>
  <c r="L375" i="2"/>
  <c r="L381" i="2"/>
  <c r="L386" i="2"/>
  <c r="L391" i="2"/>
  <c r="L397" i="2"/>
  <c r="L402" i="2"/>
  <c r="L407" i="2"/>
  <c r="L413" i="2"/>
  <c r="L418" i="2"/>
  <c r="L423" i="2"/>
  <c r="L429" i="2"/>
  <c r="L434" i="2"/>
  <c r="L439" i="2"/>
  <c r="L445" i="2"/>
  <c r="L450" i="2"/>
  <c r="L455" i="2"/>
  <c r="L461" i="2"/>
  <c r="L466" i="2"/>
  <c r="L471" i="2"/>
  <c r="L477" i="2"/>
  <c r="L482" i="2"/>
  <c r="L487" i="2"/>
  <c r="L493" i="2"/>
  <c r="L498" i="2"/>
  <c r="L503" i="2"/>
  <c r="L509" i="2"/>
  <c r="L514" i="2"/>
  <c r="L519" i="2"/>
  <c r="L525" i="2"/>
  <c r="L530" i="2"/>
  <c r="L535" i="2"/>
  <c r="L541" i="2"/>
  <c r="L546" i="2"/>
  <c r="L551" i="2"/>
  <c r="L558" i="2"/>
  <c r="L566" i="2"/>
  <c r="L574" i="2"/>
  <c r="L582" i="2"/>
  <c r="L590" i="2"/>
  <c r="L598" i="2"/>
  <c r="L606" i="2"/>
  <c r="L614" i="2"/>
  <c r="L622" i="2"/>
  <c r="L630" i="2"/>
  <c r="L638" i="2"/>
  <c r="L646" i="2"/>
  <c r="L654" i="2"/>
  <c r="L662" i="2"/>
  <c r="L670" i="2"/>
  <c r="L678" i="2"/>
  <c r="L686" i="2"/>
  <c r="L694" i="2"/>
  <c r="L702" i="2"/>
  <c r="L710" i="2"/>
  <c r="L718" i="2"/>
  <c r="L726" i="2"/>
  <c r="L734" i="2"/>
  <c r="L742" i="2"/>
  <c r="L750" i="2"/>
  <c r="L758" i="2"/>
  <c r="L766" i="2"/>
  <c r="L774" i="2"/>
  <c r="L782" i="2"/>
  <c r="L790" i="2"/>
  <c r="L798" i="2"/>
  <c r="L806" i="2"/>
  <c r="L814" i="2"/>
  <c r="L822" i="2"/>
  <c r="L830" i="2"/>
  <c r="L838" i="2"/>
  <c r="L846" i="2"/>
  <c r="L854" i="2"/>
  <c r="L862" i="2"/>
  <c r="L870" i="2"/>
  <c r="L878" i="2"/>
  <c r="L886" i="2"/>
  <c r="L894" i="2"/>
  <c r="L902" i="2"/>
  <c r="L910" i="2"/>
  <c r="L918" i="2"/>
  <c r="L926" i="2"/>
  <c r="L934" i="2"/>
  <c r="L942" i="2"/>
  <c r="L950" i="2"/>
  <c r="L958" i="2"/>
  <c r="L966" i="2"/>
  <c r="L974" i="2"/>
  <c r="L982" i="2"/>
  <c r="L990" i="2"/>
  <c r="L998" i="2"/>
  <c r="O3" i="2"/>
  <c r="O11" i="2"/>
  <c r="O19" i="2"/>
  <c r="O27" i="2"/>
  <c r="O35" i="2"/>
  <c r="O43" i="2"/>
  <c r="O51" i="2"/>
  <c r="O59" i="2"/>
  <c r="O67" i="2"/>
  <c r="O75" i="2"/>
  <c r="O83" i="2"/>
  <c r="O91" i="2"/>
  <c r="O99" i="2"/>
  <c r="O107" i="2"/>
  <c r="O115" i="2"/>
  <c r="O123" i="2"/>
  <c r="O131" i="2"/>
  <c r="O139" i="2"/>
  <c r="O147" i="2"/>
  <c r="O155" i="2"/>
  <c r="O163" i="2"/>
  <c r="O171" i="2"/>
  <c r="O179" i="2"/>
  <c r="O187" i="2"/>
  <c r="O195" i="2"/>
  <c r="O203" i="2"/>
  <c r="O211" i="2"/>
  <c r="O219" i="2"/>
  <c r="O227" i="2"/>
  <c r="O235" i="2"/>
  <c r="O243" i="2"/>
  <c r="O251" i="2"/>
  <c r="O259" i="2"/>
  <c r="O267" i="2"/>
  <c r="O275" i="2"/>
  <c r="O283" i="2"/>
  <c r="O291" i="2"/>
  <c r="O299" i="2"/>
  <c r="O307" i="2"/>
  <c r="O315" i="2"/>
  <c r="O323" i="2"/>
  <c r="O331" i="2"/>
  <c r="O339" i="2"/>
  <c r="O347" i="2"/>
  <c r="O355" i="2"/>
  <c r="O363" i="2"/>
  <c r="O371" i="2"/>
  <c r="O379" i="2"/>
  <c r="O387" i="2"/>
  <c r="O395" i="2"/>
  <c r="O403" i="2"/>
  <c r="O411" i="2"/>
  <c r="O419" i="2"/>
  <c r="O427" i="2"/>
  <c r="O435" i="2"/>
  <c r="O443" i="2"/>
  <c r="O451" i="2"/>
  <c r="O459" i="2"/>
  <c r="O467" i="2"/>
  <c r="O475" i="2"/>
  <c r="O483" i="2"/>
  <c r="O491" i="2"/>
  <c r="O499" i="2"/>
  <c r="O507" i="2"/>
  <c r="O515" i="2"/>
  <c r="O523" i="2"/>
  <c r="O531" i="2"/>
  <c r="O539" i="2"/>
  <c r="O547" i="2"/>
  <c r="O555" i="2"/>
  <c r="O563" i="2"/>
  <c r="O571" i="2"/>
  <c r="O579" i="2"/>
  <c r="O587" i="2"/>
  <c r="O595" i="2"/>
  <c r="O603" i="2"/>
  <c r="O611" i="2"/>
  <c r="O619" i="2"/>
  <c r="O627" i="2"/>
  <c r="O635" i="2"/>
  <c r="O643" i="2"/>
  <c r="O651" i="2"/>
  <c r="O659" i="2"/>
  <c r="O667" i="2"/>
  <c r="O675" i="2"/>
  <c r="O683" i="2"/>
  <c r="O691" i="2"/>
  <c r="O699" i="2"/>
  <c r="O707" i="2"/>
  <c r="O715" i="2"/>
  <c r="O723" i="2"/>
  <c r="O731" i="2"/>
  <c r="O739" i="2"/>
  <c r="O747" i="2"/>
  <c r="O755" i="2"/>
  <c r="O763" i="2"/>
  <c r="O771" i="2"/>
  <c r="O779" i="2"/>
  <c r="O787" i="2"/>
  <c r="O795" i="2"/>
  <c r="O803" i="2"/>
  <c r="O811" i="2"/>
  <c r="O819" i="2"/>
  <c r="O827" i="2"/>
  <c r="O835" i="2"/>
  <c r="O843" i="2"/>
  <c r="O851" i="2"/>
  <c r="O859" i="2"/>
  <c r="O867" i="2"/>
  <c r="O875" i="2"/>
  <c r="O883" i="2"/>
  <c r="O891" i="2"/>
  <c r="O899" i="2"/>
  <c r="O907" i="2"/>
  <c r="O915" i="2"/>
  <c r="O923" i="2"/>
  <c r="O931" i="2"/>
  <c r="O939" i="2"/>
  <c r="O947" i="2"/>
  <c r="O955" i="2"/>
  <c r="O963" i="2"/>
  <c r="O971" i="2"/>
  <c r="O979" i="2"/>
  <c r="O987" i="2"/>
  <c r="O995" i="2"/>
  <c r="U1004" i="2"/>
  <c r="Q990" i="2"/>
  <c r="Q974" i="2"/>
  <c r="Q992" i="2"/>
  <c r="Q977" i="2"/>
  <c r="Q975" i="2"/>
  <c r="Q981" i="2"/>
  <c r="Q1001" i="2"/>
  <c r="Q993" i="2"/>
  <c r="Q960" i="2"/>
  <c r="Q942" i="2"/>
  <c r="Q961" i="2"/>
  <c r="Q945" i="2"/>
  <c r="Q985" i="2"/>
  <c r="Q948" i="2"/>
  <c r="Q983" i="2"/>
  <c r="Q957" i="2"/>
  <c r="Q943" i="2"/>
  <c r="Q915" i="2"/>
  <c r="Q899" i="2"/>
  <c r="Q935" i="2"/>
  <c r="Q914" i="2"/>
  <c r="Q898" i="2"/>
  <c r="Q931" i="2"/>
  <c r="Q917" i="2"/>
  <c r="Q901" i="2"/>
  <c r="Q928" i="2"/>
  <c r="Q912" i="2"/>
  <c r="Q896" i="2"/>
  <c r="Q882" i="2"/>
  <c r="Q866" i="2"/>
  <c r="Q850" i="2"/>
  <c r="Q834" i="2"/>
  <c r="Q881" i="2"/>
  <c r="Q865" i="2"/>
  <c r="Q849" i="2"/>
  <c r="Q833" i="2"/>
  <c r="Q884" i="2"/>
  <c r="Q868" i="2"/>
  <c r="Q852" i="2"/>
  <c r="Q836" i="2"/>
  <c r="Q883" i="2"/>
  <c r="Q867" i="2"/>
  <c r="Q851" i="2"/>
  <c r="Q835" i="2"/>
  <c r="Q816" i="2"/>
  <c r="Q800" i="2"/>
  <c r="Q784" i="2"/>
  <c r="Q768" i="2"/>
  <c r="Q823" i="2"/>
  <c r="Q807" i="2"/>
  <c r="Q791" i="2"/>
  <c r="Q775" i="2"/>
  <c r="Q759" i="2"/>
  <c r="Q810" i="2"/>
  <c r="Q794" i="2"/>
  <c r="Q778" i="2"/>
  <c r="Q762" i="2"/>
  <c r="Q813" i="2"/>
  <c r="Q797" i="2"/>
  <c r="Q751" i="2"/>
  <c r="Q735" i="2"/>
  <c r="Q719" i="2"/>
  <c r="Q703" i="2"/>
  <c r="Q687" i="2"/>
  <c r="Q671" i="2"/>
  <c r="Q655" i="2"/>
  <c r="Q639" i="2"/>
  <c r="Q781" i="2"/>
  <c r="Q758" i="2"/>
  <c r="Q746" i="2"/>
  <c r="Q730" i="2"/>
  <c r="Q714" i="2"/>
  <c r="Q755" i="2"/>
  <c r="Q741" i="2"/>
  <c r="Q725" i="2"/>
  <c r="Q709" i="2"/>
  <c r="Q769" i="2"/>
  <c r="Q740" i="2"/>
  <c r="Q720" i="2"/>
  <c r="Q694" i="2"/>
  <c r="Q678" i="2"/>
  <c r="Q662" i="2"/>
  <c r="Q646" i="2"/>
  <c r="Q630" i="2"/>
  <c r="Q676" i="2"/>
  <c r="Q724" i="2"/>
  <c r="Q693" i="2"/>
  <c r="Q677" i="2"/>
  <c r="Q661" i="2"/>
  <c r="Q645" i="2"/>
  <c r="Q629" i="2"/>
  <c r="Q688" i="2"/>
  <c r="Q656" i="2"/>
  <c r="Q624" i="2"/>
  <c r="Q610" i="2"/>
  <c r="Q608" i="2"/>
  <c r="Q592" i="2"/>
  <c r="Q576" i="2"/>
  <c r="Q620" i="2"/>
  <c r="Q603" i="2"/>
  <c r="Q587" i="2"/>
  <c r="Q986" i="2"/>
  <c r="Q970" i="2"/>
  <c r="Q988" i="2"/>
  <c r="Q972" i="2"/>
  <c r="Q967" i="2"/>
  <c r="Q976" i="2"/>
  <c r="Q999" i="2"/>
  <c r="Q991" i="2"/>
  <c r="Q954" i="2"/>
  <c r="Q938" i="2"/>
  <c r="Q958" i="2"/>
  <c r="Q941" i="2"/>
  <c r="Q964" i="2"/>
  <c r="Q944" i="2"/>
  <c r="Q971" i="2"/>
  <c r="Q955" i="2"/>
  <c r="Q927" i="2"/>
  <c r="Q911" i="2"/>
  <c r="Q895" i="2"/>
  <c r="Q926" i="2"/>
  <c r="Q910" i="2"/>
  <c r="Q894" i="2"/>
  <c r="Q929" i="2"/>
  <c r="Q913" i="2"/>
  <c r="Q897" i="2"/>
  <c r="Q924" i="2"/>
  <c r="Q908" i="2"/>
  <c r="Q893" i="2"/>
  <c r="Q878" i="2"/>
  <c r="Q862" i="2"/>
  <c r="Q846" i="2"/>
  <c r="Q830" i="2"/>
  <c r="Q877" i="2"/>
  <c r="Q861" i="2"/>
  <c r="Q845" i="2"/>
  <c r="Q829" i="2"/>
  <c r="Q880" i="2"/>
  <c r="Q864" i="2"/>
  <c r="Q848" i="2"/>
  <c r="Q832" i="2"/>
  <c r="Q879" i="2"/>
  <c r="Q863" i="2"/>
  <c r="Q847" i="2"/>
  <c r="Q831" i="2"/>
  <c r="Q812" i="2"/>
  <c r="Q796" i="2"/>
  <c r="Q780" i="2"/>
  <c r="Q764" i="2"/>
  <c r="Q819" i="2"/>
  <c r="Q803" i="2"/>
  <c r="Q787" i="2"/>
  <c r="Q771" i="2"/>
  <c r="Q822" i="2"/>
  <c r="Q806" i="2"/>
  <c r="Q790" i="2"/>
  <c r="Q774" i="2"/>
  <c r="Q826" i="2"/>
  <c r="Q809" i="2"/>
  <c r="Q793" i="2"/>
  <c r="Q747" i="2"/>
  <c r="Q731" i="2"/>
  <c r="Q715" i="2"/>
  <c r="Q699" i="2"/>
  <c r="Q683" i="2"/>
  <c r="Q667" i="2"/>
  <c r="Q651" i="2"/>
  <c r="Q635" i="2"/>
  <c r="Q773" i="2"/>
  <c r="Q757" i="2"/>
  <c r="Q742" i="2"/>
  <c r="Q726" i="2"/>
  <c r="Q710" i="2"/>
  <c r="Q753" i="2"/>
  <c r="Q737" i="2"/>
  <c r="Q721" i="2"/>
  <c r="Q705" i="2"/>
  <c r="Q752" i="2"/>
  <c r="Q736" i="2"/>
  <c r="Q712" i="2"/>
  <c r="Q689" i="2"/>
  <c r="Q673" i="2"/>
  <c r="Q657" i="2"/>
  <c r="Q641" i="2"/>
  <c r="Q700" i="2"/>
  <c r="Q668" i="2"/>
  <c r="Q716" i="2"/>
  <c r="Q690" i="2"/>
  <c r="Q674" i="2"/>
  <c r="Q658" i="2"/>
  <c r="Q642" i="2"/>
  <c r="Q626" i="2"/>
  <c r="Q680" i="2"/>
  <c r="Q648" i="2"/>
  <c r="Q622" i="2"/>
  <c r="Q644" i="2"/>
  <c r="Q604" i="2"/>
  <c r="Q588" i="2"/>
  <c r="Q572" i="2"/>
  <c r="Q617" i="2"/>
  <c r="Q599" i="2"/>
  <c r="Q583" i="2"/>
  <c r="Q567" i="2"/>
  <c r="Q615" i="2"/>
  <c r="Q594" i="2"/>
  <c r="Q578" i="2"/>
  <c r="Q562" i="2"/>
  <c r="Q621" i="2"/>
  <c r="Q605" i="2"/>
  <c r="Q589" i="2"/>
  <c r="Q573" i="2"/>
  <c r="Q552" i="2"/>
  <c r="Q536" i="2"/>
  <c r="Q520" i="2"/>
  <c r="Q504" i="2"/>
  <c r="Q488" i="2"/>
  <c r="Q472" i="2"/>
  <c r="Q456" i="2"/>
  <c r="Q440" i="2"/>
  <c r="Q424" i="2"/>
  <c r="Q555" i="2"/>
  <c r="Q539" i="2"/>
  <c r="Q523" i="2"/>
  <c r="Q998" i="2"/>
  <c r="Q982" i="2"/>
  <c r="Q1000" i="2"/>
  <c r="Q984" i="2"/>
  <c r="Q969" i="2"/>
  <c r="Q963" i="2"/>
  <c r="Q973" i="2"/>
  <c r="Q997" i="2"/>
  <c r="Q989" i="2"/>
  <c r="Q950" i="2"/>
  <c r="Q934" i="2"/>
  <c r="Q953" i="2"/>
  <c r="Q937" i="2"/>
  <c r="Q956" i="2"/>
  <c r="Q940" i="2"/>
  <c r="Q965" i="2"/>
  <c r="Q951" i="2"/>
  <c r="Q923" i="2"/>
  <c r="Q907" i="2"/>
  <c r="Q891" i="2"/>
  <c r="Q922" i="2"/>
  <c r="Q906" i="2"/>
  <c r="Q890" i="2"/>
  <c r="Q925" i="2"/>
  <c r="Q909" i="2"/>
  <c r="Q939" i="2"/>
  <c r="Q920" i="2"/>
  <c r="Q904" i="2"/>
  <c r="Q892" i="2"/>
  <c r="Q874" i="2"/>
  <c r="Q858" i="2"/>
  <c r="Q842" i="2"/>
  <c r="Q888" i="2"/>
  <c r="Q873" i="2"/>
  <c r="Q857" i="2"/>
  <c r="Q841" i="2"/>
  <c r="Q825" i="2"/>
  <c r="Q876" i="2"/>
  <c r="Q860" i="2"/>
  <c r="Q844" i="2"/>
  <c r="Q828" i="2"/>
  <c r="Q875" i="2"/>
  <c r="Q859" i="2"/>
  <c r="Q843" i="2"/>
  <c r="Q827" i="2"/>
  <c r="Q808" i="2"/>
  <c r="Q792" i="2"/>
  <c r="Q776" i="2"/>
  <c r="Q760" i="2"/>
  <c r="Q815" i="2"/>
  <c r="Q799" i="2"/>
  <c r="Q783" i="2"/>
  <c r="Q767" i="2"/>
  <c r="Q818" i="2"/>
  <c r="Q802" i="2"/>
  <c r="Q786" i="2"/>
  <c r="Q770" i="2"/>
  <c r="Q821" i="2"/>
  <c r="Q805" i="2"/>
  <c r="Q789" i="2"/>
  <c r="Q743" i="2"/>
  <c r="Q727" i="2"/>
  <c r="Q711" i="2"/>
  <c r="Q695" i="2"/>
  <c r="Q679" i="2"/>
  <c r="Q663" i="2"/>
  <c r="Q647" i="2"/>
  <c r="Q631" i="2"/>
  <c r="Q765" i="2"/>
  <c r="Q754" i="2"/>
  <c r="Q738" i="2"/>
  <c r="Q722" i="2"/>
  <c r="Q706" i="2"/>
  <c r="Q749" i="2"/>
  <c r="Q733" i="2"/>
  <c r="Q717" i="2"/>
  <c r="Q701" i="2"/>
  <c r="Q748" i="2"/>
  <c r="Q732" i="2"/>
  <c r="Q704" i="2"/>
  <c r="Q686" i="2"/>
  <c r="Q670" i="2"/>
  <c r="Q654" i="2"/>
  <c r="Q638" i="2"/>
  <c r="Q692" i="2"/>
  <c r="Q660" i="2"/>
  <c r="Q708" i="2"/>
  <c r="Q685" i="2"/>
  <c r="Q669" i="2"/>
  <c r="Q653" i="2"/>
  <c r="Q637" i="2"/>
  <c r="Q623" i="2"/>
  <c r="Q672" i="2"/>
  <c r="Q640" i="2"/>
  <c r="Q618" i="2"/>
  <c r="Q619" i="2"/>
  <c r="Q600" i="2"/>
  <c r="Q584" i="2"/>
  <c r="Q568" i="2"/>
  <c r="Q612" i="2"/>
  <c r="Q595" i="2"/>
  <c r="Q579" i="2"/>
  <c r="Q563" i="2"/>
  <c r="Q606" i="2"/>
  <c r="Q590" i="2"/>
  <c r="Q574" i="2"/>
  <c r="Q558" i="2"/>
  <c r="Q616" i="2"/>
  <c r="Q601" i="2"/>
  <c r="Q585" i="2"/>
  <c r="Q569" i="2"/>
  <c r="Q548" i="2"/>
  <c r="Q532" i="2"/>
  <c r="Q516" i="2"/>
  <c r="Q500" i="2"/>
  <c r="Q484" i="2"/>
  <c r="Q468" i="2"/>
  <c r="Q452" i="2"/>
  <c r="Q436" i="2"/>
  <c r="Q420" i="2"/>
  <c r="Q551" i="2"/>
  <c r="Q535" i="2"/>
  <c r="Q519" i="2"/>
  <c r="Q503" i="2"/>
  <c r="Q487" i="2"/>
  <c r="Q471" i="2"/>
  <c r="Q455" i="2"/>
  <c r="Q994" i="2"/>
  <c r="Q978" i="2"/>
  <c r="Q996" i="2"/>
  <c r="Q980" i="2"/>
  <c r="Q968" i="2"/>
  <c r="Q959" i="2"/>
  <c r="Q966" i="2"/>
  <c r="Q995" i="2"/>
  <c r="Q987" i="2"/>
  <c r="Q946" i="2"/>
  <c r="Q979" i="2"/>
  <c r="Q949" i="2"/>
  <c r="Q933" i="2"/>
  <c r="Q952" i="2"/>
  <c r="Q936" i="2"/>
  <c r="Q962" i="2"/>
  <c r="Q947" i="2"/>
  <c r="Q919" i="2"/>
  <c r="Q903" i="2"/>
  <c r="Q887" i="2"/>
  <c r="Q918" i="2"/>
  <c r="Q902" i="2"/>
  <c r="Q932" i="2"/>
  <c r="Q921" i="2"/>
  <c r="Q905" i="2"/>
  <c r="Q930" i="2"/>
  <c r="Q916" i="2"/>
  <c r="Q900" i="2"/>
  <c r="Q886" i="2"/>
  <c r="Q870" i="2"/>
  <c r="Q854" i="2"/>
  <c r="Q838" i="2"/>
  <c r="Q885" i="2"/>
  <c r="Q869" i="2"/>
  <c r="Q853" i="2"/>
  <c r="Q837" i="2"/>
  <c r="Q889" i="2"/>
  <c r="Q872" i="2"/>
  <c r="Q856" i="2"/>
  <c r="Q840" i="2"/>
  <c r="Q824" i="2"/>
  <c r="Q871" i="2"/>
  <c r="Q855" i="2"/>
  <c r="Q839" i="2"/>
  <c r="Q820" i="2"/>
  <c r="Q804" i="2"/>
  <c r="Q788" i="2"/>
  <c r="Q795" i="2"/>
  <c r="Q798" i="2"/>
  <c r="Q801" i="2"/>
  <c r="Q707" i="2"/>
  <c r="Q643" i="2"/>
  <c r="Q734" i="2"/>
  <c r="Q729" i="2"/>
  <c r="Q728" i="2"/>
  <c r="Q649" i="2"/>
  <c r="Q698" i="2"/>
  <c r="Q634" i="2"/>
  <c r="Q614" i="2"/>
  <c r="Q564" i="2"/>
  <c r="Q571" i="2"/>
  <c r="Q598" i="2"/>
  <c r="Q566" i="2"/>
  <c r="Q609" i="2"/>
  <c r="Q577" i="2"/>
  <c r="Q540" i="2"/>
  <c r="Q508" i="2"/>
  <c r="Q476" i="2"/>
  <c r="Q444" i="2"/>
  <c r="Q560" i="2"/>
  <c r="Q527" i="2"/>
  <c r="Q499" i="2"/>
  <c r="Q479" i="2"/>
  <c r="Q459" i="2"/>
  <c r="Q439" i="2"/>
  <c r="Q423" i="2"/>
  <c r="Q542" i="2"/>
  <c r="Q526" i="2"/>
  <c r="Q510" i="2"/>
  <c r="Q494" i="2"/>
  <c r="Q478" i="2"/>
  <c r="Q462" i="2"/>
  <c r="Q446" i="2"/>
  <c r="Q430" i="2"/>
  <c r="Q553" i="2"/>
  <c r="Q537" i="2"/>
  <c r="Q521" i="2"/>
  <c r="Q505" i="2"/>
  <c r="Q489" i="2"/>
  <c r="Q473" i="2"/>
  <c r="Q457" i="2"/>
  <c r="Q441" i="2"/>
  <c r="Q425" i="2"/>
  <c r="Q412" i="2"/>
  <c r="Q396" i="2"/>
  <c r="Q380" i="2"/>
  <c r="Q364" i="2"/>
  <c r="Q348" i="2"/>
  <c r="Q332" i="2"/>
  <c r="Q316" i="2"/>
  <c r="Q300" i="2"/>
  <c r="Q403" i="2"/>
  <c r="Q387" i="2"/>
  <c r="Q371" i="2"/>
  <c r="Q355" i="2"/>
  <c r="Q339" i="2"/>
  <c r="Q323" i="2"/>
  <c r="Q307" i="2"/>
  <c r="Q291" i="2"/>
  <c r="Q414" i="2"/>
  <c r="Q398" i="2"/>
  <c r="Q382" i="2"/>
  <c r="Q366" i="2"/>
  <c r="Q350" i="2"/>
  <c r="Q334" i="2"/>
  <c r="Q318" i="2"/>
  <c r="Q302" i="2"/>
  <c r="Q286" i="2"/>
  <c r="Q409" i="2"/>
  <c r="Q393" i="2"/>
  <c r="Q377" i="2"/>
  <c r="Q361" i="2"/>
  <c r="Q345" i="2"/>
  <c r="Q329" i="2"/>
  <c r="Q313" i="2"/>
  <c r="Q265" i="2"/>
  <c r="Q249" i="2"/>
  <c r="Q233" i="2"/>
  <c r="Q217" i="2"/>
  <c r="Q201" i="2"/>
  <c r="Q185" i="2"/>
  <c r="Q169" i="2"/>
  <c r="Q153" i="2"/>
  <c r="Q137" i="2"/>
  <c r="Q121" i="2"/>
  <c r="Q105" i="2"/>
  <c r="Q89" i="2"/>
  <c r="Q73" i="2"/>
  <c r="Q57" i="2"/>
  <c r="Q41" i="2"/>
  <c r="Q25" i="2"/>
  <c r="Q276" i="2"/>
  <c r="Q260" i="2"/>
  <c r="Q244" i="2"/>
  <c r="Q228" i="2"/>
  <c r="Q212" i="2"/>
  <c r="Q196" i="2"/>
  <c r="Q180" i="2"/>
  <c r="Q164" i="2"/>
  <c r="Q148" i="2"/>
  <c r="Q132" i="2"/>
  <c r="Q116" i="2"/>
  <c r="Q100" i="2"/>
  <c r="Q84" i="2"/>
  <c r="Q68" i="2"/>
  <c r="Q52" i="2"/>
  <c r="Q36" i="2"/>
  <c r="Q20" i="2"/>
  <c r="Q293" i="2"/>
  <c r="Q285" i="2"/>
  <c r="Q275" i="2"/>
  <c r="Q259" i="2"/>
  <c r="Q243" i="2"/>
  <c r="Q227" i="2"/>
  <c r="Q211" i="2"/>
  <c r="Q195" i="2"/>
  <c r="Q179" i="2"/>
  <c r="Q163" i="2"/>
  <c r="Q147" i="2"/>
  <c r="Q262" i="2"/>
  <c r="Q230" i="2"/>
  <c r="Q198" i="2"/>
  <c r="Q166" i="2"/>
  <c r="Q772" i="2"/>
  <c r="Q779" i="2"/>
  <c r="Q782" i="2"/>
  <c r="Q785" i="2"/>
  <c r="Q691" i="2"/>
  <c r="Q627" i="2"/>
  <c r="Q718" i="2"/>
  <c r="Q713" i="2"/>
  <c r="Q697" i="2"/>
  <c r="Q633" i="2"/>
  <c r="Q682" i="2"/>
  <c r="Q696" i="2"/>
  <c r="Q611" i="2"/>
  <c r="Q607" i="2"/>
  <c r="Q559" i="2"/>
  <c r="Q586" i="2"/>
  <c r="Q628" i="2"/>
  <c r="Q597" i="2"/>
  <c r="Q565" i="2"/>
  <c r="Q528" i="2"/>
  <c r="Q496" i="2"/>
  <c r="Q464" i="2"/>
  <c r="Q432" i="2"/>
  <c r="Q547" i="2"/>
  <c r="Q515" i="2"/>
  <c r="Q495" i="2"/>
  <c r="Q475" i="2"/>
  <c r="Q451" i="2"/>
  <c r="Q435" i="2"/>
  <c r="Q554" i="2"/>
  <c r="Q538" i="2"/>
  <c r="Q522" i="2"/>
  <c r="Q506" i="2"/>
  <c r="Q490" i="2"/>
  <c r="Q474" i="2"/>
  <c r="Q458" i="2"/>
  <c r="Q442" i="2"/>
  <c r="Q426" i="2"/>
  <c r="Q549" i="2"/>
  <c r="Q533" i="2"/>
  <c r="Q517" i="2"/>
  <c r="Q501" i="2"/>
  <c r="Q485" i="2"/>
  <c r="Q469" i="2"/>
  <c r="Q453" i="2"/>
  <c r="Q437" i="2"/>
  <c r="Q421" i="2"/>
  <c r="Q408" i="2"/>
  <c r="Q392" i="2"/>
  <c r="Q376" i="2"/>
  <c r="Q360" i="2"/>
  <c r="Q344" i="2"/>
  <c r="Q328" i="2"/>
  <c r="Q312" i="2"/>
  <c r="Q415" i="2"/>
  <c r="Q399" i="2"/>
  <c r="Q383" i="2"/>
  <c r="Q367" i="2"/>
  <c r="Q351" i="2"/>
  <c r="Q335" i="2"/>
  <c r="Q319" i="2"/>
  <c r="Q303" i="2"/>
  <c r="Q287" i="2"/>
  <c r="Q410" i="2"/>
  <c r="Q394" i="2"/>
  <c r="Q378" i="2"/>
  <c r="Q362" i="2"/>
  <c r="Q346" i="2"/>
  <c r="Q330" i="2"/>
  <c r="Q314" i="2"/>
  <c r="Q298" i="2"/>
  <c r="Q282" i="2"/>
  <c r="Q405" i="2"/>
  <c r="Q389" i="2"/>
  <c r="Q373" i="2"/>
  <c r="Q357" i="2"/>
  <c r="Q341" i="2"/>
  <c r="Q325" i="2"/>
  <c r="Q277" i="2"/>
  <c r="Q261" i="2"/>
  <c r="Q245" i="2"/>
  <c r="Q229" i="2"/>
  <c r="Q213" i="2"/>
  <c r="Q197" i="2"/>
  <c r="Q181" i="2"/>
  <c r="Q165" i="2"/>
  <c r="Q149" i="2"/>
  <c r="Q133" i="2"/>
  <c r="Q117" i="2"/>
  <c r="Q101" i="2"/>
  <c r="Q85" i="2"/>
  <c r="Q69" i="2"/>
  <c r="Q53" i="2"/>
  <c r="Q37" i="2"/>
  <c r="Q21" i="2"/>
  <c r="Q272" i="2"/>
  <c r="Q256" i="2"/>
  <c r="Q240" i="2"/>
  <c r="Q224" i="2"/>
  <c r="Q208" i="2"/>
  <c r="Q192" i="2"/>
  <c r="Q176" i="2"/>
  <c r="Q160" i="2"/>
  <c r="Q144" i="2"/>
  <c r="Q128" i="2"/>
  <c r="Q112" i="2"/>
  <c r="Q96" i="2"/>
  <c r="Q80" i="2"/>
  <c r="Q64" i="2"/>
  <c r="Q48" i="2"/>
  <c r="Q32" i="2"/>
  <c r="Q16" i="2"/>
  <c r="Q292" i="2"/>
  <c r="Q284" i="2"/>
  <c r="Q271" i="2"/>
  <c r="Q255" i="2"/>
  <c r="Q239" i="2"/>
  <c r="Q223" i="2"/>
  <c r="Q207" i="2"/>
  <c r="Q191" i="2"/>
  <c r="Q175" i="2"/>
  <c r="Q159" i="2"/>
  <c r="Q143" i="2"/>
  <c r="Q254" i="2"/>
  <c r="Q222" i="2"/>
  <c r="Q190" i="2"/>
  <c r="Q756" i="2"/>
  <c r="Q763" i="2"/>
  <c r="Q766" i="2"/>
  <c r="Q739" i="2"/>
  <c r="Q675" i="2"/>
  <c r="Q761" i="2"/>
  <c r="Q702" i="2"/>
  <c r="Q777" i="2"/>
  <c r="Q681" i="2"/>
  <c r="Q684" i="2"/>
  <c r="Q666" i="2"/>
  <c r="Q664" i="2"/>
  <c r="Q596" i="2"/>
  <c r="Q591" i="2"/>
  <c r="Q636" i="2"/>
  <c r="Q582" i="2"/>
  <c r="Q625" i="2"/>
  <c r="Q593" i="2"/>
  <c r="Q556" i="2"/>
  <c r="Q524" i="2"/>
  <c r="Q492" i="2"/>
  <c r="Q460" i="2"/>
  <c r="Q428" i="2"/>
  <c r="Q543" i="2"/>
  <c r="Q511" i="2"/>
  <c r="Q491" i="2"/>
  <c r="Q467" i="2"/>
  <c r="Q447" i="2"/>
  <c r="Q431" i="2"/>
  <c r="Q550" i="2"/>
  <c r="Q534" i="2"/>
  <c r="Q518" i="2"/>
  <c r="Q502" i="2"/>
  <c r="Q486" i="2"/>
  <c r="Q470" i="2"/>
  <c r="Q454" i="2"/>
  <c r="Q438" i="2"/>
  <c r="Q422" i="2"/>
  <c r="Q545" i="2"/>
  <c r="Q529" i="2"/>
  <c r="Q513" i="2"/>
  <c r="Q497" i="2"/>
  <c r="Q481" i="2"/>
  <c r="Q465" i="2"/>
  <c r="Q449" i="2"/>
  <c r="Q433" i="2"/>
  <c r="Q419" i="2"/>
  <c r="Q404" i="2"/>
  <c r="Q388" i="2"/>
  <c r="Q372" i="2"/>
  <c r="Q356" i="2"/>
  <c r="Q340" i="2"/>
  <c r="Q324" i="2"/>
  <c r="Q308" i="2"/>
  <c r="Q411" i="2"/>
  <c r="Q395" i="2"/>
  <c r="Q379" i="2"/>
  <c r="Q363" i="2"/>
  <c r="Q347" i="2"/>
  <c r="Q331" i="2"/>
  <c r="Q315" i="2"/>
  <c r="Q299" i="2"/>
  <c r="Q283" i="2"/>
  <c r="Q406" i="2"/>
  <c r="Q390" i="2"/>
  <c r="Q374" i="2"/>
  <c r="Q358" i="2"/>
  <c r="Q342" i="2"/>
  <c r="Q326" i="2"/>
  <c r="Q310" i="2"/>
  <c r="Q294" i="2"/>
  <c r="Q417" i="2"/>
  <c r="Q401" i="2"/>
  <c r="Q385" i="2"/>
  <c r="Q369" i="2"/>
  <c r="Q353" i="2"/>
  <c r="Q337" i="2"/>
  <c r="Q321" i="2"/>
  <c r="Q273" i="2"/>
  <c r="Q257" i="2"/>
  <c r="Q241" i="2"/>
  <c r="Q225" i="2"/>
  <c r="Q209" i="2"/>
  <c r="Q193" i="2"/>
  <c r="Q177" i="2"/>
  <c r="Q161" i="2"/>
  <c r="Q145" i="2"/>
  <c r="Q129" i="2"/>
  <c r="Q113" i="2"/>
  <c r="Q97" i="2"/>
  <c r="Q81" i="2"/>
  <c r="Q65" i="2"/>
  <c r="Q811" i="2"/>
  <c r="Q659" i="2"/>
  <c r="Q665" i="2"/>
  <c r="Q580" i="2"/>
  <c r="Q613" i="2"/>
  <c r="Q480" i="2"/>
  <c r="Q507" i="2"/>
  <c r="Q427" i="2"/>
  <c r="Q498" i="2"/>
  <c r="Q434" i="2"/>
  <c r="Q509" i="2"/>
  <c r="Q445" i="2"/>
  <c r="Q384" i="2"/>
  <c r="Q320" i="2"/>
  <c r="Q375" i="2"/>
  <c r="Q311" i="2"/>
  <c r="Q386" i="2"/>
  <c r="Q322" i="2"/>
  <c r="Q397" i="2"/>
  <c r="Q333" i="2"/>
  <c r="Q237" i="2"/>
  <c r="Q173" i="2"/>
  <c r="Q109" i="2"/>
  <c r="Q49" i="2"/>
  <c r="Q309" i="2"/>
  <c r="Q252" i="2"/>
  <c r="Q220" i="2"/>
  <c r="Q188" i="2"/>
  <c r="Q156" i="2"/>
  <c r="Q124" i="2"/>
  <c r="Q92" i="2"/>
  <c r="Q60" i="2"/>
  <c r="Q28" i="2"/>
  <c r="Q289" i="2"/>
  <c r="Q267" i="2"/>
  <c r="Q235" i="2"/>
  <c r="Q203" i="2"/>
  <c r="Q171" i="2"/>
  <c r="Q278" i="2"/>
  <c r="Q214" i="2"/>
  <c r="Q158" i="2"/>
  <c r="Q14" i="2"/>
  <c r="Q13" i="2"/>
  <c r="Q266" i="2"/>
  <c r="Q234" i="2"/>
  <c r="Q202" i="2"/>
  <c r="Q170" i="2"/>
  <c r="Q12" i="2"/>
  <c r="Q138" i="2"/>
  <c r="Q106" i="2"/>
  <c r="Q74" i="2"/>
  <c r="Q42" i="2"/>
  <c r="Q11" i="2"/>
  <c r="Q111" i="2"/>
  <c r="Q79" i="2"/>
  <c r="Q47" i="2"/>
  <c r="Q7" i="2"/>
  <c r="Q134" i="2"/>
  <c r="Q102" i="2"/>
  <c r="Q70" i="2"/>
  <c r="Q139" i="2"/>
  <c r="Q30" i="2"/>
  <c r="Q91" i="2"/>
  <c r="Q59" i="2"/>
  <c r="Q38" i="2"/>
  <c r="Q31" i="2"/>
  <c r="Q118" i="2"/>
  <c r="Q107" i="2"/>
  <c r="Q723" i="2"/>
  <c r="Q570" i="2"/>
  <c r="Q443" i="2"/>
  <c r="Q525" i="2"/>
  <c r="Q391" i="2"/>
  <c r="Q338" i="2"/>
  <c r="Q253" i="2"/>
  <c r="Q61" i="2"/>
  <c r="Q264" i="2"/>
  <c r="Q168" i="2"/>
  <c r="Q40" i="2"/>
  <c r="Q247" i="2"/>
  <c r="Q183" i="2"/>
  <c r="Q174" i="2"/>
  <c r="Q274" i="2"/>
  <c r="Q146" i="2"/>
  <c r="Q114" i="2"/>
  <c r="Q119" i="2"/>
  <c r="Q55" i="2"/>
  <c r="Q110" i="2"/>
  <c r="Q115" i="2"/>
  <c r="Q814" i="2"/>
  <c r="Q750" i="2"/>
  <c r="Q652" i="2"/>
  <c r="Q575" i="2"/>
  <c r="Q581" i="2"/>
  <c r="Q448" i="2"/>
  <c r="Q483" i="2"/>
  <c r="Q546" i="2"/>
  <c r="Q482" i="2"/>
  <c r="Q557" i="2"/>
  <c r="Q493" i="2"/>
  <c r="Q429" i="2"/>
  <c r="Q368" i="2"/>
  <c r="Q304" i="2"/>
  <c r="Q359" i="2"/>
  <c r="Q295" i="2"/>
  <c r="Q370" i="2"/>
  <c r="Q306" i="2"/>
  <c r="Q381" i="2"/>
  <c r="Q317" i="2"/>
  <c r="Q221" i="2"/>
  <c r="Q157" i="2"/>
  <c r="Q93" i="2"/>
  <c r="Q45" i="2"/>
  <c r="Q301" i="2"/>
  <c r="Q248" i="2"/>
  <c r="Q216" i="2"/>
  <c r="Q184" i="2"/>
  <c r="Q152" i="2"/>
  <c r="Q120" i="2"/>
  <c r="Q88" i="2"/>
  <c r="Q56" i="2"/>
  <c r="Q24" i="2"/>
  <c r="Q288" i="2"/>
  <c r="Q263" i="2"/>
  <c r="Q231" i="2"/>
  <c r="Q199" i="2"/>
  <c r="Q167" i="2"/>
  <c r="Q270" i="2"/>
  <c r="Q206" i="2"/>
  <c r="Q150" i="2"/>
  <c r="Q10" i="2"/>
  <c r="Q9" i="2"/>
  <c r="Q258" i="2"/>
  <c r="Q226" i="2"/>
  <c r="Q194" i="2"/>
  <c r="Q162" i="2"/>
  <c r="Q8" i="2"/>
  <c r="Q130" i="2"/>
  <c r="Q98" i="2"/>
  <c r="Q66" i="2"/>
  <c r="Q34" i="2"/>
  <c r="Q135" i="2"/>
  <c r="Q103" i="2"/>
  <c r="Q71" i="2"/>
  <c r="Q39" i="2"/>
  <c r="Q6" i="2"/>
  <c r="Q126" i="2"/>
  <c r="Q94" i="2"/>
  <c r="Q62" i="2"/>
  <c r="Q131" i="2"/>
  <c r="Q19" i="2"/>
  <c r="Q83" i="2"/>
  <c r="Q51" i="2"/>
  <c r="Q22" i="2"/>
  <c r="Q127" i="2"/>
  <c r="Q63" i="2"/>
  <c r="Q3" i="2"/>
  <c r="Q54" i="2"/>
  <c r="Q43" i="2"/>
  <c r="Q744" i="2"/>
  <c r="Q512" i="2"/>
  <c r="Q514" i="2"/>
  <c r="Q461" i="2"/>
  <c r="Q336" i="2"/>
  <c r="Q402" i="2"/>
  <c r="Q349" i="2"/>
  <c r="Q125" i="2"/>
  <c r="Q232" i="2"/>
  <c r="Q136" i="2"/>
  <c r="Q72" i="2"/>
  <c r="Q280" i="2"/>
  <c r="Q151" i="2"/>
  <c r="Q17" i="2"/>
  <c r="Q242" i="2"/>
  <c r="Q178" i="2"/>
  <c r="Q82" i="2"/>
  <c r="Q18" i="2"/>
  <c r="Q23" i="2"/>
  <c r="Q78" i="2"/>
  <c r="Q99" i="2"/>
  <c r="Q27" i="2"/>
  <c r="Q817" i="2"/>
  <c r="Q745" i="2"/>
  <c r="Q650" i="2"/>
  <c r="Q602" i="2"/>
  <c r="Q544" i="2"/>
  <c r="Q561" i="2"/>
  <c r="Q463" i="2"/>
  <c r="Q530" i="2"/>
  <c r="Q466" i="2"/>
  <c r="Q541" i="2"/>
  <c r="Q477" i="2"/>
  <c r="Q416" i="2"/>
  <c r="Q352" i="2"/>
  <c r="Q407" i="2"/>
  <c r="Q343" i="2"/>
  <c r="Q418" i="2"/>
  <c r="Q354" i="2"/>
  <c r="Q290" i="2"/>
  <c r="Q365" i="2"/>
  <c r="Q269" i="2"/>
  <c r="Q205" i="2"/>
  <c r="Q141" i="2"/>
  <c r="Q77" i="2"/>
  <c r="Q33" i="2"/>
  <c r="Q268" i="2"/>
  <c r="Q236" i="2"/>
  <c r="Q204" i="2"/>
  <c r="Q172" i="2"/>
  <c r="Q140" i="2"/>
  <c r="Q108" i="2"/>
  <c r="Q76" i="2"/>
  <c r="Q44" i="2"/>
  <c r="Q297" i="2"/>
  <c r="Q281" i="2"/>
  <c r="Q251" i="2"/>
  <c r="Q219" i="2"/>
  <c r="Q187" i="2"/>
  <c r="Q155" i="2"/>
  <c r="Q246" i="2"/>
  <c r="Q182" i="2"/>
  <c r="Q142" i="2"/>
  <c r="Q305" i="2"/>
  <c r="Q5" i="2"/>
  <c r="Q250" i="2"/>
  <c r="Q218" i="2"/>
  <c r="Q186" i="2"/>
  <c r="Q154" i="2"/>
  <c r="Q4" i="2"/>
  <c r="Q122" i="2"/>
  <c r="Q90" i="2"/>
  <c r="Q58" i="2"/>
  <c r="Q26" i="2"/>
  <c r="Q95" i="2"/>
  <c r="Q86" i="2"/>
  <c r="Q123" i="2"/>
  <c r="Q75" i="2"/>
  <c r="Q35" i="2"/>
  <c r="Q632" i="2"/>
  <c r="Q531" i="2"/>
  <c r="Q450" i="2"/>
  <c r="Q400" i="2"/>
  <c r="Q327" i="2"/>
  <c r="Q413" i="2"/>
  <c r="Q189" i="2"/>
  <c r="Q29" i="2"/>
  <c r="Q200" i="2"/>
  <c r="Q104" i="2"/>
  <c r="Q296" i="2"/>
  <c r="Q215" i="2"/>
  <c r="Q238" i="2"/>
  <c r="Q15" i="2"/>
  <c r="Q210" i="2"/>
  <c r="Q279" i="2"/>
  <c r="Q50" i="2"/>
  <c r="Q87" i="2"/>
  <c r="Q2" i="2"/>
  <c r="Q46" i="2"/>
  <c r="Q67" i="2"/>
  <c r="M3" i="2" l="1"/>
  <c r="T1003" i="2" a="1"/>
  <c r="T1003" i="2" s="1"/>
  <c r="R1003" i="2" a="1"/>
  <c r="R1003" i="2" s="1"/>
  <c r="U1003" i="2" a="1"/>
  <c r="U1003" i="2" s="1"/>
  <c r="S1003" i="2" a="1"/>
  <c r="S1003" i="2" s="1"/>
  <c r="Q1003" i="2" a="1"/>
  <c r="Q1003" i="2" s="1"/>
  <c r="M2" i="2"/>
  <c r="K2" i="2" s="1" a="1"/>
  <c r="K1001" i="2" l="1"/>
  <c r="K997" i="2"/>
  <c r="K993" i="2"/>
  <c r="K989" i="2"/>
  <c r="K985" i="2"/>
  <c r="K981" i="2"/>
  <c r="K977" i="2"/>
  <c r="K973" i="2"/>
  <c r="K969" i="2"/>
  <c r="K965" i="2"/>
  <c r="K961" i="2"/>
  <c r="K957" i="2"/>
  <c r="K953" i="2"/>
  <c r="K949" i="2"/>
  <c r="K945" i="2"/>
  <c r="K941" i="2"/>
  <c r="K937" i="2"/>
  <c r="K933" i="2"/>
  <c r="K929" i="2"/>
  <c r="K925" i="2"/>
  <c r="K921" i="2"/>
  <c r="K917" i="2"/>
  <c r="K913" i="2"/>
  <c r="K909" i="2"/>
  <c r="K905" i="2"/>
  <c r="K901" i="2"/>
  <c r="K897" i="2"/>
  <c r="K893" i="2"/>
  <c r="K889" i="2"/>
  <c r="K885" i="2"/>
  <c r="K881" i="2"/>
  <c r="K877" i="2"/>
  <c r="K873" i="2"/>
  <c r="K869" i="2"/>
  <c r="K865" i="2"/>
  <c r="K861" i="2"/>
  <c r="K857" i="2"/>
  <c r="K853" i="2"/>
  <c r="K849" i="2"/>
  <c r="K845" i="2"/>
  <c r="K841" i="2"/>
  <c r="K837" i="2"/>
  <c r="K833" i="2"/>
  <c r="K829" i="2"/>
  <c r="K825" i="2"/>
  <c r="K821" i="2"/>
  <c r="K817" i="2"/>
  <c r="K813" i="2"/>
  <c r="K809" i="2"/>
  <c r="K805" i="2"/>
  <c r="K801" i="2"/>
  <c r="K797" i="2"/>
  <c r="K793" i="2"/>
  <c r="K789" i="2"/>
  <c r="K785" i="2"/>
  <c r="K781" i="2"/>
  <c r="K777" i="2"/>
  <c r="K773" i="2"/>
  <c r="K769" i="2"/>
  <c r="K765" i="2"/>
  <c r="K761" i="2"/>
  <c r="K757" i="2"/>
  <c r="K753" i="2"/>
  <c r="K749" i="2"/>
  <c r="K745" i="2"/>
  <c r="K741" i="2"/>
  <c r="K737" i="2"/>
  <c r="K733" i="2"/>
  <c r="K729" i="2"/>
  <c r="K725" i="2"/>
  <c r="K721" i="2"/>
  <c r="K717" i="2"/>
  <c r="K713" i="2"/>
  <c r="K709" i="2"/>
  <c r="K705" i="2"/>
  <c r="K701" i="2"/>
  <c r="K697" i="2"/>
  <c r="K693" i="2"/>
  <c r="K689" i="2"/>
  <c r="K685" i="2"/>
  <c r="K681" i="2"/>
  <c r="K677" i="2"/>
  <c r="K673" i="2"/>
  <c r="K669" i="2"/>
  <c r="K665" i="2"/>
  <c r="K661" i="2"/>
  <c r="K657" i="2"/>
  <c r="K653" i="2"/>
  <c r="K649" i="2"/>
  <c r="K645" i="2"/>
  <c r="K641" i="2"/>
  <c r="K637" i="2"/>
  <c r="K633" i="2"/>
  <c r="K629" i="2"/>
  <c r="K625" i="2"/>
  <c r="K621" i="2"/>
  <c r="K617" i="2"/>
  <c r="K613" i="2"/>
  <c r="K609" i="2"/>
  <c r="K605" i="2"/>
  <c r="K601" i="2"/>
  <c r="K597" i="2"/>
  <c r="K593" i="2"/>
  <c r="K589" i="2"/>
  <c r="K585" i="2"/>
  <c r="K581" i="2"/>
  <c r="K577" i="2"/>
  <c r="K573" i="2"/>
  <c r="K569" i="2"/>
  <c r="K565" i="2"/>
  <c r="K561" i="2"/>
  <c r="K557" i="2"/>
  <c r="K553" i="2"/>
  <c r="K549" i="2"/>
  <c r="K545" i="2"/>
  <c r="K541" i="2"/>
  <c r="K537" i="2"/>
  <c r="K533" i="2"/>
  <c r="K529" i="2"/>
  <c r="K525" i="2"/>
  <c r="K521" i="2"/>
  <c r="K517" i="2"/>
  <c r="K513" i="2"/>
  <c r="K509" i="2"/>
  <c r="K505" i="2"/>
  <c r="K501" i="2"/>
  <c r="K497" i="2"/>
  <c r="K493" i="2"/>
  <c r="K489" i="2"/>
  <c r="K485" i="2"/>
  <c r="K481" i="2"/>
  <c r="K477" i="2"/>
  <c r="K473" i="2"/>
  <c r="K469" i="2"/>
  <c r="K465" i="2"/>
  <c r="K461" i="2"/>
  <c r="K457" i="2"/>
  <c r="K453" i="2"/>
  <c r="K449" i="2"/>
  <c r="K445" i="2"/>
  <c r="K441" i="2"/>
  <c r="K437" i="2"/>
  <c r="K433" i="2"/>
  <c r="K429" i="2"/>
  <c r="K425" i="2"/>
  <c r="K421" i="2"/>
  <c r="K417" i="2"/>
  <c r="K413" i="2"/>
  <c r="K409" i="2"/>
  <c r="K405" i="2"/>
  <c r="K401" i="2"/>
  <c r="K397" i="2"/>
  <c r="K393" i="2"/>
  <c r="K389" i="2"/>
  <c r="K385" i="2"/>
  <c r="K381" i="2"/>
  <c r="K377" i="2"/>
  <c r="K373" i="2"/>
  <c r="K369" i="2"/>
  <c r="K365" i="2"/>
  <c r="K361" i="2"/>
  <c r="K357" i="2"/>
  <c r="K353" i="2"/>
  <c r="K349" i="2"/>
  <c r="K345" i="2"/>
  <c r="K341" i="2"/>
  <c r="K337" i="2"/>
  <c r="K333" i="2"/>
  <c r="K329" i="2"/>
  <c r="K325" i="2"/>
  <c r="K321" i="2"/>
  <c r="K317" i="2"/>
  <c r="K313" i="2"/>
  <c r="K309" i="2"/>
  <c r="K305" i="2"/>
  <c r="K301" i="2"/>
  <c r="K297" i="2"/>
  <c r="K293" i="2"/>
  <c r="K289" i="2"/>
  <c r="K285" i="2"/>
  <c r="K281" i="2"/>
  <c r="K277" i="2"/>
  <c r="K273" i="2"/>
  <c r="K269" i="2"/>
  <c r="K265" i="2"/>
  <c r="K261" i="2"/>
  <c r="K257" i="2"/>
  <c r="K253" i="2"/>
  <c r="K249" i="2"/>
  <c r="K245" i="2"/>
  <c r="K241" i="2"/>
  <c r="K237" i="2"/>
  <c r="K233" i="2"/>
  <c r="K229" i="2"/>
  <c r="K225" i="2"/>
  <c r="K221" i="2"/>
  <c r="K217" i="2"/>
  <c r="K213" i="2"/>
  <c r="K209" i="2"/>
  <c r="K205" i="2"/>
  <c r="K201" i="2"/>
  <c r="K197" i="2"/>
  <c r="K193" i="2"/>
  <c r="K189" i="2"/>
  <c r="K185" i="2"/>
  <c r="K181" i="2"/>
  <c r="K177" i="2"/>
  <c r="K173" i="2"/>
  <c r="K169" i="2"/>
  <c r="K165" i="2"/>
  <c r="K161" i="2"/>
  <c r="K157" i="2"/>
  <c r="K153" i="2"/>
  <c r="K149" i="2"/>
  <c r="K145" i="2"/>
  <c r="K141" i="2"/>
  <c r="K137" i="2"/>
  <c r="K133" i="2"/>
  <c r="K129" i="2"/>
  <c r="K125" i="2"/>
  <c r="K121" i="2"/>
  <c r="K117" i="2"/>
  <c r="K113" i="2"/>
  <c r="K109" i="2"/>
  <c r="K105" i="2"/>
  <c r="K101" i="2"/>
  <c r="K97" i="2"/>
  <c r="K93" i="2"/>
  <c r="K89" i="2"/>
  <c r="K85" i="2"/>
  <c r="K81" i="2"/>
  <c r="K77" i="2"/>
  <c r="K73" i="2"/>
  <c r="K69" i="2"/>
  <c r="K65" i="2"/>
  <c r="K61" i="2"/>
  <c r="K57" i="2"/>
  <c r="K53" i="2"/>
  <c r="K49" i="2"/>
  <c r="K45" i="2"/>
  <c r="K41" i="2"/>
  <c r="K37" i="2"/>
  <c r="K33" i="2"/>
  <c r="K29" i="2"/>
  <c r="K25" i="2"/>
  <c r="K21" i="2"/>
  <c r="K17" i="2"/>
  <c r="K13" i="2"/>
  <c r="K9" i="2"/>
  <c r="K5" i="2"/>
  <c r="K2" i="2"/>
  <c r="K998" i="2"/>
  <c r="K992" i="2"/>
  <c r="K987" i="2"/>
  <c r="K982" i="2"/>
  <c r="K976" i="2"/>
  <c r="K971" i="2"/>
  <c r="K966" i="2"/>
  <c r="K960" i="2"/>
  <c r="K955" i="2"/>
  <c r="K950" i="2"/>
  <c r="K944" i="2"/>
  <c r="K939" i="2"/>
  <c r="K934" i="2"/>
  <c r="K928" i="2"/>
  <c r="K923" i="2"/>
  <c r="K918" i="2"/>
  <c r="K912" i="2"/>
  <c r="K907" i="2"/>
  <c r="K902" i="2"/>
  <c r="K896" i="2"/>
  <c r="K891" i="2"/>
  <c r="K886" i="2"/>
  <c r="K880" i="2"/>
  <c r="K875" i="2"/>
  <c r="K870" i="2"/>
  <c r="K864" i="2"/>
  <c r="K859" i="2"/>
  <c r="K854" i="2"/>
  <c r="K848" i="2"/>
  <c r="K843" i="2"/>
  <c r="K838" i="2"/>
  <c r="K832" i="2"/>
  <c r="K827" i="2"/>
  <c r="K822" i="2"/>
  <c r="K816" i="2"/>
  <c r="K811" i="2"/>
  <c r="K806" i="2"/>
  <c r="K800" i="2"/>
  <c r="K795" i="2"/>
  <c r="K790" i="2"/>
  <c r="K784" i="2"/>
  <c r="K779" i="2"/>
  <c r="K774" i="2"/>
  <c r="K768" i="2"/>
  <c r="K763" i="2"/>
  <c r="K758" i="2"/>
  <c r="K752" i="2"/>
  <c r="K747" i="2"/>
  <c r="K742" i="2"/>
  <c r="K736" i="2"/>
  <c r="K731" i="2"/>
  <c r="K726" i="2"/>
  <c r="K720" i="2"/>
  <c r="K715" i="2"/>
  <c r="K710" i="2"/>
  <c r="K704" i="2"/>
  <c r="K699" i="2"/>
  <c r="K694" i="2"/>
  <c r="K688" i="2"/>
  <c r="K683" i="2"/>
  <c r="K678" i="2"/>
  <c r="K672" i="2"/>
  <c r="K667" i="2"/>
  <c r="K662" i="2"/>
  <c r="K656" i="2"/>
  <c r="K651" i="2"/>
  <c r="K646" i="2"/>
  <c r="K640" i="2"/>
  <c r="K635" i="2"/>
  <c r="K630" i="2"/>
  <c r="K624" i="2"/>
  <c r="K619" i="2"/>
  <c r="K614" i="2"/>
  <c r="K608" i="2"/>
  <c r="K603" i="2"/>
  <c r="K598" i="2"/>
  <c r="K592" i="2"/>
  <c r="K587" i="2"/>
  <c r="K582" i="2"/>
  <c r="K576" i="2"/>
  <c r="K571" i="2"/>
  <c r="K566" i="2"/>
  <c r="K560" i="2"/>
  <c r="K555" i="2"/>
  <c r="K550" i="2"/>
  <c r="K544" i="2"/>
  <c r="K539" i="2"/>
  <c r="K534" i="2"/>
  <c r="K528" i="2"/>
  <c r="K523" i="2"/>
  <c r="K518" i="2"/>
  <c r="K512" i="2"/>
  <c r="K507" i="2"/>
  <c r="K502" i="2"/>
  <c r="K496" i="2"/>
  <c r="K491" i="2"/>
  <c r="K486" i="2"/>
  <c r="K480" i="2"/>
  <c r="K475" i="2"/>
  <c r="K470" i="2"/>
  <c r="K464" i="2"/>
  <c r="K459" i="2"/>
  <c r="K454" i="2"/>
  <c r="K448" i="2"/>
  <c r="K443" i="2"/>
  <c r="K438" i="2"/>
  <c r="K432" i="2"/>
  <c r="K427" i="2"/>
  <c r="K422" i="2"/>
  <c r="K416" i="2"/>
  <c r="K411" i="2"/>
  <c r="K406" i="2"/>
  <c r="K400" i="2"/>
  <c r="K395" i="2"/>
  <c r="K390" i="2"/>
  <c r="K384" i="2"/>
  <c r="K379" i="2"/>
  <c r="K374" i="2"/>
  <c r="K368" i="2"/>
  <c r="K363" i="2"/>
  <c r="K358" i="2"/>
  <c r="K352" i="2"/>
  <c r="K347" i="2"/>
  <c r="K342" i="2"/>
  <c r="K336" i="2"/>
  <c r="K331" i="2"/>
  <c r="K326" i="2"/>
  <c r="K320" i="2"/>
  <c r="K315" i="2"/>
  <c r="K310" i="2"/>
  <c r="K304" i="2"/>
  <c r="K299" i="2"/>
  <c r="K294" i="2"/>
  <c r="K288" i="2"/>
  <c r="K283" i="2"/>
  <c r="K278" i="2"/>
  <c r="K272" i="2"/>
  <c r="K267" i="2"/>
  <c r="K262" i="2"/>
  <c r="K256" i="2"/>
  <c r="K251" i="2"/>
  <c r="K246" i="2"/>
  <c r="K240" i="2"/>
  <c r="K235" i="2"/>
  <c r="K230" i="2"/>
  <c r="K224" i="2"/>
  <c r="K219" i="2"/>
  <c r="K214" i="2"/>
  <c r="K208" i="2"/>
  <c r="K203" i="2"/>
  <c r="K198" i="2"/>
  <c r="K192" i="2"/>
  <c r="K187" i="2"/>
  <c r="K182" i="2"/>
  <c r="K176" i="2"/>
  <c r="K171" i="2"/>
  <c r="K166" i="2"/>
  <c r="K160" i="2"/>
  <c r="K155" i="2"/>
  <c r="K150" i="2"/>
  <c r="K144" i="2"/>
  <c r="K139" i="2"/>
  <c r="K134" i="2"/>
  <c r="K128" i="2"/>
  <c r="K123" i="2"/>
  <c r="K118" i="2"/>
  <c r="K112" i="2"/>
  <c r="K107" i="2"/>
  <c r="K102" i="2"/>
  <c r="K96" i="2"/>
  <c r="K91" i="2"/>
  <c r="K86" i="2"/>
  <c r="K80" i="2"/>
  <c r="K75" i="2"/>
  <c r="K70" i="2"/>
  <c r="K64" i="2"/>
  <c r="K59" i="2"/>
  <c r="K54" i="2"/>
  <c r="K48" i="2"/>
  <c r="K43" i="2"/>
  <c r="K38" i="2"/>
  <c r="K32" i="2"/>
  <c r="K27" i="2"/>
  <c r="K22" i="2"/>
  <c r="K16" i="2"/>
  <c r="K11" i="2"/>
  <c r="K6" i="2"/>
  <c r="K995" i="2"/>
  <c r="K988" i="2"/>
  <c r="K980" i="2"/>
  <c r="K974" i="2"/>
  <c r="K967" i="2"/>
  <c r="K959" i="2"/>
  <c r="K952" i="2"/>
  <c r="K946" i="2"/>
  <c r="K938" i="2"/>
  <c r="K931" i="2"/>
  <c r="K924" i="2"/>
  <c r="K916" i="2"/>
  <c r="K910" i="2"/>
  <c r="K903" i="2"/>
  <c r="K895" i="2"/>
  <c r="K888" i="2"/>
  <c r="K882" i="2"/>
  <c r="K874" i="2"/>
  <c r="K867" i="2"/>
  <c r="K860" i="2"/>
  <c r="K852" i="2"/>
  <c r="K846" i="2"/>
  <c r="K839" i="2"/>
  <c r="K831" i="2"/>
  <c r="K824" i="2"/>
  <c r="K818" i="2"/>
  <c r="K810" i="2"/>
  <c r="K803" i="2"/>
  <c r="K796" i="2"/>
  <c r="K788" i="2"/>
  <c r="K782" i="2"/>
  <c r="K775" i="2"/>
  <c r="K767" i="2"/>
  <c r="K760" i="2"/>
  <c r="K754" i="2"/>
  <c r="K746" i="2"/>
  <c r="K739" i="2"/>
  <c r="K732" i="2"/>
  <c r="K724" i="2"/>
  <c r="K718" i="2"/>
  <c r="K711" i="2"/>
  <c r="K703" i="2"/>
  <c r="K696" i="2"/>
  <c r="K690" i="2"/>
  <c r="K682" i="2"/>
  <c r="K675" i="2"/>
  <c r="K668" i="2"/>
  <c r="K660" i="2"/>
  <c r="K654" i="2"/>
  <c r="K647" i="2"/>
  <c r="K639" i="2"/>
  <c r="K632" i="2"/>
  <c r="K626" i="2"/>
  <c r="K618" i="2"/>
  <c r="K611" i="2"/>
  <c r="K604" i="2"/>
  <c r="K596" i="2"/>
  <c r="K590" i="2"/>
  <c r="K583" i="2"/>
  <c r="K575" i="2"/>
  <c r="K568" i="2"/>
  <c r="K562" i="2"/>
  <c r="K554" i="2"/>
  <c r="K547" i="2"/>
  <c r="K540" i="2"/>
  <c r="K532" i="2"/>
  <c r="K526" i="2"/>
  <c r="K519" i="2"/>
  <c r="K511" i="2"/>
  <c r="K504" i="2"/>
  <c r="K498" i="2"/>
  <c r="K490" i="2"/>
  <c r="K483" i="2"/>
  <c r="K476" i="2"/>
  <c r="K468" i="2"/>
  <c r="K462" i="2"/>
  <c r="K455" i="2"/>
  <c r="K447" i="2"/>
  <c r="K440" i="2"/>
  <c r="K434" i="2"/>
  <c r="K426" i="2"/>
  <c r="K419" i="2"/>
  <c r="K412" i="2"/>
  <c r="K404" i="2"/>
  <c r="K398" i="2"/>
  <c r="K391" i="2"/>
  <c r="K383" i="2"/>
  <c r="K376" i="2"/>
  <c r="K370" i="2"/>
  <c r="K362" i="2"/>
  <c r="K355" i="2"/>
  <c r="K348" i="2"/>
  <c r="K340" i="2"/>
  <c r="K334" i="2"/>
  <c r="K327" i="2"/>
  <c r="K319" i="2"/>
  <c r="K312" i="2"/>
  <c r="K306" i="2"/>
  <c r="K298" i="2"/>
  <c r="K291" i="2"/>
  <c r="K284" i="2"/>
  <c r="K276" i="2"/>
  <c r="K270" i="2"/>
  <c r="K263" i="2"/>
  <c r="K255" i="2"/>
  <c r="K248" i="2"/>
  <c r="K242" i="2"/>
  <c r="K234" i="2"/>
  <c r="K227" i="2"/>
  <c r="K220" i="2"/>
  <c r="K212" i="2"/>
  <c r="K206" i="2"/>
  <c r="K199" i="2"/>
  <c r="K191" i="2"/>
  <c r="K184" i="2"/>
  <c r="K178" i="2"/>
  <c r="K170" i="2"/>
  <c r="K163" i="2"/>
  <c r="K156" i="2"/>
  <c r="K148" i="2"/>
  <c r="K142" i="2"/>
  <c r="K135" i="2"/>
  <c r="K127" i="2"/>
  <c r="K120" i="2"/>
  <c r="K114" i="2"/>
  <c r="K106" i="2"/>
  <c r="K99" i="2"/>
  <c r="K92" i="2"/>
  <c r="K84" i="2"/>
  <c r="K78" i="2"/>
  <c r="K71" i="2"/>
  <c r="K63" i="2"/>
  <c r="K56" i="2"/>
  <c r="K50" i="2"/>
  <c r="K42" i="2"/>
  <c r="K35" i="2"/>
  <c r="K28" i="2"/>
  <c r="K20" i="2"/>
  <c r="K14" i="2"/>
  <c r="K7" i="2"/>
  <c r="K990" i="2"/>
  <c r="K983" i="2"/>
  <c r="K968" i="2"/>
  <c r="K954" i="2"/>
  <c r="K940" i="2"/>
  <c r="K926" i="2"/>
  <c r="K911" i="2"/>
  <c r="K898" i="2"/>
  <c r="K883" i="2"/>
  <c r="K868" i="2"/>
  <c r="K855" i="2"/>
  <c r="K840" i="2"/>
  <c r="K826" i="2"/>
  <c r="K812" i="2"/>
  <c r="K798" i="2"/>
  <c r="K783" i="2"/>
  <c r="K770" i="2"/>
  <c r="K755" i="2"/>
  <c r="K740" i="2"/>
  <c r="K727" i="2"/>
  <c r="K712" i="2"/>
  <c r="K698" i="2"/>
  <c r="K684" i="2"/>
  <c r="K670" i="2"/>
  <c r="K655" i="2"/>
  <c r="K642" i="2"/>
  <c r="K627" i="2"/>
  <c r="K612" i="2"/>
  <c r="K599" i="2"/>
  <c r="K584" i="2"/>
  <c r="K570" i="2"/>
  <c r="K556" i="2"/>
  <c r="K542" i="2"/>
  <c r="K527" i="2"/>
  <c r="K514" i="2"/>
  <c r="K499" i="2"/>
  <c r="K484" i="2"/>
  <c r="K471" i="2"/>
  <c r="K456" i="2"/>
  <c r="K442" i="2"/>
  <c r="K428" i="2"/>
  <c r="K414" i="2"/>
  <c r="K399" i="2"/>
  <c r="K386" i="2"/>
  <c r="K371" i="2"/>
  <c r="K356" i="2"/>
  <c r="K343" i="2"/>
  <c r="K328" i="2"/>
  <c r="K314" i="2"/>
  <c r="K300" i="2"/>
  <c r="K286" i="2"/>
  <c r="K271" i="2"/>
  <c r="K258" i="2"/>
  <c r="K243" i="2"/>
  <c r="K228" i="2"/>
  <c r="K215" i="2"/>
  <c r="K200" i="2"/>
  <c r="K186" i="2"/>
  <c r="K172" i="2"/>
  <c r="K158" i="2"/>
  <c r="K143" i="2"/>
  <c r="K130" i="2"/>
  <c r="K115" i="2"/>
  <c r="K100" i="2"/>
  <c r="K87" i="2"/>
  <c r="K72" i="2"/>
  <c r="K58" i="2"/>
  <c r="K44" i="2"/>
  <c r="K30" i="2"/>
  <c r="K15" i="2"/>
  <c r="K1000" i="2"/>
  <c r="K994" i="2"/>
  <c r="K986" i="2"/>
  <c r="K979" i="2"/>
  <c r="K972" i="2"/>
  <c r="K964" i="2"/>
  <c r="K958" i="2"/>
  <c r="K951" i="2"/>
  <c r="K943" i="2"/>
  <c r="K936" i="2"/>
  <c r="K930" i="2"/>
  <c r="K922" i="2"/>
  <c r="K915" i="2"/>
  <c r="K908" i="2"/>
  <c r="K900" i="2"/>
  <c r="K894" i="2"/>
  <c r="K887" i="2"/>
  <c r="K879" i="2"/>
  <c r="K872" i="2"/>
  <c r="K866" i="2"/>
  <c r="K858" i="2"/>
  <c r="K851" i="2"/>
  <c r="K844" i="2"/>
  <c r="K836" i="2"/>
  <c r="K830" i="2"/>
  <c r="K823" i="2"/>
  <c r="K815" i="2"/>
  <c r="K808" i="2"/>
  <c r="K802" i="2"/>
  <c r="K794" i="2"/>
  <c r="K787" i="2"/>
  <c r="K780" i="2"/>
  <c r="K772" i="2"/>
  <c r="K766" i="2"/>
  <c r="K759" i="2"/>
  <c r="K751" i="2"/>
  <c r="K744" i="2"/>
  <c r="K738" i="2"/>
  <c r="K730" i="2"/>
  <c r="K723" i="2"/>
  <c r="K716" i="2"/>
  <c r="K708" i="2"/>
  <c r="K702" i="2"/>
  <c r="K695" i="2"/>
  <c r="K687" i="2"/>
  <c r="K680" i="2"/>
  <c r="K674" i="2"/>
  <c r="K666" i="2"/>
  <c r="K659" i="2"/>
  <c r="K652" i="2"/>
  <c r="K644" i="2"/>
  <c r="K638" i="2"/>
  <c r="K631" i="2"/>
  <c r="K623" i="2"/>
  <c r="K616" i="2"/>
  <c r="K610" i="2"/>
  <c r="K602" i="2"/>
  <c r="K595" i="2"/>
  <c r="K588" i="2"/>
  <c r="K580" i="2"/>
  <c r="K574" i="2"/>
  <c r="K567" i="2"/>
  <c r="K559" i="2"/>
  <c r="K552" i="2"/>
  <c r="K546" i="2"/>
  <c r="K538" i="2"/>
  <c r="K531" i="2"/>
  <c r="K524" i="2"/>
  <c r="K516" i="2"/>
  <c r="K510" i="2"/>
  <c r="K503" i="2"/>
  <c r="K495" i="2"/>
  <c r="K488" i="2"/>
  <c r="K482" i="2"/>
  <c r="K474" i="2"/>
  <c r="K467" i="2"/>
  <c r="K460" i="2"/>
  <c r="K452" i="2"/>
  <c r="K446" i="2"/>
  <c r="K439" i="2"/>
  <c r="K431" i="2"/>
  <c r="K424" i="2"/>
  <c r="K418" i="2"/>
  <c r="K410" i="2"/>
  <c r="K403" i="2"/>
  <c r="K396" i="2"/>
  <c r="K388" i="2"/>
  <c r="K382" i="2"/>
  <c r="K375" i="2"/>
  <c r="K367" i="2"/>
  <c r="K360" i="2"/>
  <c r="K354" i="2"/>
  <c r="K346" i="2"/>
  <c r="K339" i="2"/>
  <c r="K332" i="2"/>
  <c r="K324" i="2"/>
  <c r="K318" i="2"/>
  <c r="K311" i="2"/>
  <c r="K303" i="2"/>
  <c r="K296" i="2"/>
  <c r="K290" i="2"/>
  <c r="K282" i="2"/>
  <c r="K275" i="2"/>
  <c r="K268" i="2"/>
  <c r="K260" i="2"/>
  <c r="K254" i="2"/>
  <c r="K247" i="2"/>
  <c r="K239" i="2"/>
  <c r="K232" i="2"/>
  <c r="K226" i="2"/>
  <c r="K218" i="2"/>
  <c r="K211" i="2"/>
  <c r="K204" i="2"/>
  <c r="K196" i="2"/>
  <c r="K190" i="2"/>
  <c r="K183" i="2"/>
  <c r="K175" i="2"/>
  <c r="K168" i="2"/>
  <c r="K162" i="2"/>
  <c r="K154" i="2"/>
  <c r="K147" i="2"/>
  <c r="K140" i="2"/>
  <c r="K132" i="2"/>
  <c r="K126" i="2"/>
  <c r="K119" i="2"/>
  <c r="K111" i="2"/>
  <c r="K104" i="2"/>
  <c r="K98" i="2"/>
  <c r="K90" i="2"/>
  <c r="K83" i="2"/>
  <c r="K76" i="2"/>
  <c r="K68" i="2"/>
  <c r="K62" i="2"/>
  <c r="K55" i="2"/>
  <c r="K47" i="2"/>
  <c r="K40" i="2"/>
  <c r="K34" i="2"/>
  <c r="K26" i="2"/>
  <c r="K19" i="2"/>
  <c r="K12" i="2"/>
  <c r="K4" i="2"/>
  <c r="K996" i="2"/>
  <c r="K975" i="2"/>
  <c r="K962" i="2"/>
  <c r="K947" i="2"/>
  <c r="K932" i="2"/>
  <c r="K919" i="2"/>
  <c r="K904" i="2"/>
  <c r="K890" i="2"/>
  <c r="K876" i="2"/>
  <c r="K862" i="2"/>
  <c r="K847" i="2"/>
  <c r="K834" i="2"/>
  <c r="K819" i="2"/>
  <c r="K804" i="2"/>
  <c r="K791" i="2"/>
  <c r="K776" i="2"/>
  <c r="K762" i="2"/>
  <c r="K748" i="2"/>
  <c r="K734" i="2"/>
  <c r="K719" i="2"/>
  <c r="K706" i="2"/>
  <c r="K691" i="2"/>
  <c r="K676" i="2"/>
  <c r="K663" i="2"/>
  <c r="K648" i="2"/>
  <c r="K634" i="2"/>
  <c r="K620" i="2"/>
  <c r="K606" i="2"/>
  <c r="K591" i="2"/>
  <c r="K578" i="2"/>
  <c r="K563" i="2"/>
  <c r="K548" i="2"/>
  <c r="K535" i="2"/>
  <c r="K520" i="2"/>
  <c r="K506" i="2"/>
  <c r="K492" i="2"/>
  <c r="K478" i="2"/>
  <c r="K463" i="2"/>
  <c r="K450" i="2"/>
  <c r="K435" i="2"/>
  <c r="K420" i="2"/>
  <c r="K407" i="2"/>
  <c r="K392" i="2"/>
  <c r="K378" i="2"/>
  <c r="K364" i="2"/>
  <c r="K350" i="2"/>
  <c r="K335" i="2"/>
  <c r="K322" i="2"/>
  <c r="K307" i="2"/>
  <c r="K292" i="2"/>
  <c r="K279" i="2"/>
  <c r="K264" i="2"/>
  <c r="K250" i="2"/>
  <c r="K236" i="2"/>
  <c r="K222" i="2"/>
  <c r="K207" i="2"/>
  <c r="K194" i="2"/>
  <c r="K179" i="2"/>
  <c r="K164" i="2"/>
  <c r="K151" i="2"/>
  <c r="K136" i="2"/>
  <c r="K122" i="2"/>
  <c r="K108" i="2"/>
  <c r="K94" i="2"/>
  <c r="K79" i="2"/>
  <c r="K66" i="2"/>
  <c r="K51" i="2"/>
  <c r="K36" i="2"/>
  <c r="K23" i="2"/>
  <c r="K8" i="2"/>
  <c r="K999" i="2"/>
  <c r="K991" i="2"/>
  <c r="K984" i="2"/>
  <c r="K978" i="2"/>
  <c r="K970" i="2"/>
  <c r="K963" i="2"/>
  <c r="K956" i="2"/>
  <c r="K948" i="2"/>
  <c r="K942" i="2"/>
  <c r="K935" i="2"/>
  <c r="K927" i="2"/>
  <c r="K920" i="2"/>
  <c r="K914" i="2"/>
  <c r="K906" i="2"/>
  <c r="K899" i="2"/>
  <c r="K892" i="2"/>
  <c r="K884" i="2"/>
  <c r="K878" i="2"/>
  <c r="K871" i="2"/>
  <c r="K863" i="2"/>
  <c r="K856" i="2"/>
  <c r="K850" i="2"/>
  <c r="K842" i="2"/>
  <c r="K835" i="2"/>
  <c r="K828" i="2"/>
  <c r="K820" i="2"/>
  <c r="K814" i="2"/>
  <c r="K807" i="2"/>
  <c r="K799" i="2"/>
  <c r="K792" i="2"/>
  <c r="K786" i="2"/>
  <c r="K778" i="2"/>
  <c r="K771" i="2"/>
  <c r="K764" i="2"/>
  <c r="K756" i="2"/>
  <c r="K750" i="2"/>
  <c r="K743" i="2"/>
  <c r="K735" i="2"/>
  <c r="K728" i="2"/>
  <c r="K722" i="2"/>
  <c r="K714" i="2"/>
  <c r="K707" i="2"/>
  <c r="K700" i="2"/>
  <c r="K692" i="2"/>
  <c r="K686" i="2"/>
  <c r="K679" i="2"/>
  <c r="K671" i="2"/>
  <c r="K664" i="2"/>
  <c r="K658" i="2"/>
  <c r="K650" i="2"/>
  <c r="K643" i="2"/>
  <c r="K636" i="2"/>
  <c r="K628" i="2"/>
  <c r="K622" i="2"/>
  <c r="K615" i="2"/>
  <c r="K607" i="2"/>
  <c r="K600" i="2"/>
  <c r="K594" i="2"/>
  <c r="K586" i="2"/>
  <c r="K579" i="2"/>
  <c r="K572" i="2"/>
  <c r="K564" i="2"/>
  <c r="K558" i="2"/>
  <c r="K551" i="2"/>
  <c r="K543" i="2"/>
  <c r="K536" i="2"/>
  <c r="K530" i="2"/>
  <c r="K522" i="2"/>
  <c r="K515" i="2"/>
  <c r="K508" i="2"/>
  <c r="K500" i="2"/>
  <c r="K494" i="2"/>
  <c r="K487" i="2"/>
  <c r="K479" i="2"/>
  <c r="K472" i="2"/>
  <c r="K466" i="2"/>
  <c r="K458" i="2"/>
  <c r="K451" i="2"/>
  <c r="K444" i="2"/>
  <c r="K436" i="2"/>
  <c r="K430" i="2"/>
  <c r="K423" i="2"/>
  <c r="K415" i="2"/>
  <c r="K408" i="2"/>
  <c r="K402" i="2"/>
  <c r="K394" i="2"/>
  <c r="K387" i="2"/>
  <c r="K380" i="2"/>
  <c r="K372" i="2"/>
  <c r="K366" i="2"/>
  <c r="K359" i="2"/>
  <c r="K351" i="2"/>
  <c r="K344" i="2"/>
  <c r="K338" i="2"/>
  <c r="K330" i="2"/>
  <c r="K323" i="2"/>
  <c r="K316" i="2"/>
  <c r="K308" i="2"/>
  <c r="K302" i="2"/>
  <c r="K295" i="2"/>
  <c r="K287" i="2"/>
  <c r="K280" i="2"/>
  <c r="K274" i="2"/>
  <c r="K266" i="2"/>
  <c r="K259" i="2"/>
  <c r="K252" i="2"/>
  <c r="K244" i="2"/>
  <c r="K238" i="2"/>
  <c r="K231" i="2"/>
  <c r="K223" i="2"/>
  <c r="K216" i="2"/>
  <c r="K210" i="2"/>
  <c r="K202" i="2"/>
  <c r="K195" i="2"/>
  <c r="K188" i="2"/>
  <c r="K180" i="2"/>
  <c r="K174" i="2"/>
  <c r="K167" i="2"/>
  <c r="K159" i="2"/>
  <c r="K152" i="2"/>
  <c r="K146" i="2"/>
  <c r="K138" i="2"/>
  <c r="K131" i="2"/>
  <c r="K124" i="2"/>
  <c r="K116" i="2"/>
  <c r="K110" i="2"/>
  <c r="K103" i="2"/>
  <c r="K95" i="2"/>
  <c r="K88" i="2"/>
  <c r="K82" i="2"/>
  <c r="K74" i="2"/>
  <c r="K67" i="2"/>
  <c r="K60" i="2"/>
  <c r="K52" i="2"/>
  <c r="K46" i="2"/>
  <c r="K39" i="2"/>
  <c r="K31" i="2"/>
  <c r="K24" i="2"/>
  <c r="K18" i="2"/>
  <c r="K10" i="2"/>
  <c r="K3" i="2"/>
  <c r="Q1005" i="2" a="1"/>
  <c r="J2" i="2" l="1" a="1"/>
  <c r="T1005" i="2"/>
  <c r="Q1005" i="2"/>
  <c r="S1005" i="2"/>
  <c r="R1005" i="2"/>
  <c r="U1005" i="2"/>
  <c r="Q1006" i="2" l="1" a="1"/>
  <c r="J998" i="2"/>
  <c r="J994" i="2"/>
  <c r="J990" i="2"/>
  <c r="J986" i="2"/>
  <c r="J982" i="2"/>
  <c r="J978" i="2"/>
  <c r="J974" i="2"/>
  <c r="J970" i="2"/>
  <c r="J966" i="2"/>
  <c r="J962" i="2"/>
  <c r="J958" i="2"/>
  <c r="J954" i="2"/>
  <c r="J950" i="2"/>
  <c r="J946" i="2"/>
  <c r="J942" i="2"/>
  <c r="J938" i="2"/>
  <c r="J934" i="2"/>
  <c r="J930" i="2"/>
  <c r="J926" i="2"/>
  <c r="J922" i="2"/>
  <c r="J918" i="2"/>
  <c r="J914" i="2"/>
  <c r="J910" i="2"/>
  <c r="J906" i="2"/>
  <c r="J902" i="2"/>
  <c r="J898" i="2"/>
  <c r="J894" i="2"/>
  <c r="J890" i="2"/>
  <c r="J886" i="2"/>
  <c r="J882" i="2"/>
  <c r="J878" i="2"/>
  <c r="J874" i="2"/>
  <c r="J870" i="2"/>
  <c r="J866" i="2"/>
  <c r="J862" i="2"/>
  <c r="J858" i="2"/>
  <c r="J854" i="2"/>
  <c r="J850" i="2"/>
  <c r="J846" i="2"/>
  <c r="J842" i="2"/>
  <c r="J838" i="2"/>
  <c r="J834" i="2"/>
  <c r="J830" i="2"/>
  <c r="J826" i="2"/>
  <c r="J822" i="2"/>
  <c r="J818" i="2"/>
  <c r="J814" i="2"/>
  <c r="J810" i="2"/>
  <c r="J806" i="2"/>
  <c r="J802" i="2"/>
  <c r="J798" i="2"/>
  <c r="J794" i="2"/>
  <c r="J790" i="2"/>
  <c r="J786" i="2"/>
  <c r="J782" i="2"/>
  <c r="J778" i="2"/>
  <c r="J774" i="2"/>
  <c r="J770" i="2"/>
  <c r="J766" i="2"/>
  <c r="J762" i="2"/>
  <c r="J758" i="2"/>
  <c r="J754" i="2"/>
  <c r="J750" i="2"/>
  <c r="J746" i="2"/>
  <c r="J742" i="2"/>
  <c r="J738" i="2"/>
  <c r="J734" i="2"/>
  <c r="J730" i="2"/>
  <c r="J726" i="2"/>
  <c r="J722" i="2"/>
  <c r="J718" i="2"/>
  <c r="J714" i="2"/>
  <c r="J710" i="2"/>
  <c r="J706" i="2"/>
  <c r="J702" i="2"/>
  <c r="J698" i="2"/>
  <c r="J694" i="2"/>
  <c r="J690" i="2"/>
  <c r="J686" i="2"/>
  <c r="J682" i="2"/>
  <c r="J678" i="2"/>
  <c r="J674" i="2"/>
  <c r="J670" i="2"/>
  <c r="J666" i="2"/>
  <c r="J662" i="2"/>
  <c r="J658" i="2"/>
  <c r="J654" i="2"/>
  <c r="J650" i="2"/>
  <c r="J646" i="2"/>
  <c r="J642" i="2"/>
  <c r="J638" i="2"/>
  <c r="J634" i="2"/>
  <c r="J630" i="2"/>
  <c r="J626" i="2"/>
  <c r="J622" i="2"/>
  <c r="J618" i="2"/>
  <c r="J614" i="2"/>
  <c r="J610" i="2"/>
  <c r="J606" i="2"/>
  <c r="J602" i="2"/>
  <c r="J598" i="2"/>
  <c r="J594" i="2"/>
  <c r="J590" i="2"/>
  <c r="J586" i="2"/>
  <c r="J582" i="2"/>
  <c r="J578" i="2"/>
  <c r="J574" i="2"/>
  <c r="J570" i="2"/>
  <c r="J566" i="2"/>
  <c r="J562" i="2"/>
  <c r="J558" i="2"/>
  <c r="J554" i="2"/>
  <c r="J550" i="2"/>
  <c r="J546" i="2"/>
  <c r="J542" i="2"/>
  <c r="J538" i="2"/>
  <c r="J534" i="2"/>
  <c r="J530" i="2"/>
  <c r="J526" i="2"/>
  <c r="J522" i="2"/>
  <c r="J518" i="2"/>
  <c r="J514" i="2"/>
  <c r="J510" i="2"/>
  <c r="J506" i="2"/>
  <c r="J502" i="2"/>
  <c r="J498" i="2"/>
  <c r="J494" i="2"/>
  <c r="J490" i="2"/>
  <c r="J486" i="2"/>
  <c r="J482" i="2"/>
  <c r="J478" i="2"/>
  <c r="J474" i="2"/>
  <c r="J470" i="2"/>
  <c r="J466" i="2"/>
  <c r="J462" i="2"/>
  <c r="J458" i="2"/>
  <c r="J454" i="2"/>
  <c r="J450" i="2"/>
  <c r="J446" i="2"/>
  <c r="J442" i="2"/>
  <c r="J438" i="2"/>
  <c r="J434" i="2"/>
  <c r="J430" i="2"/>
  <c r="J426" i="2"/>
  <c r="J422" i="2"/>
  <c r="J418" i="2"/>
  <c r="J414" i="2"/>
  <c r="J410" i="2"/>
  <c r="J406" i="2"/>
  <c r="J402" i="2"/>
  <c r="J398" i="2"/>
  <c r="J394" i="2"/>
  <c r="J390" i="2"/>
  <c r="J386" i="2"/>
  <c r="J382" i="2"/>
  <c r="J378" i="2"/>
  <c r="J374" i="2"/>
  <c r="J370" i="2"/>
  <c r="J366" i="2"/>
  <c r="J362" i="2"/>
  <c r="J358" i="2"/>
  <c r="J354" i="2"/>
  <c r="J350" i="2"/>
  <c r="J346" i="2"/>
  <c r="J342" i="2"/>
  <c r="J338" i="2"/>
  <c r="J334" i="2"/>
  <c r="J330" i="2"/>
  <c r="J326" i="2"/>
  <c r="J322" i="2"/>
  <c r="J318" i="2"/>
  <c r="J314" i="2"/>
  <c r="J310" i="2"/>
  <c r="J306" i="2"/>
  <c r="J302" i="2"/>
  <c r="J298" i="2"/>
  <c r="J294" i="2"/>
  <c r="J290" i="2"/>
  <c r="J286" i="2"/>
  <c r="J282" i="2"/>
  <c r="J278" i="2"/>
  <c r="J274" i="2"/>
  <c r="J270" i="2"/>
  <c r="J266" i="2"/>
  <c r="J262" i="2"/>
  <c r="J258" i="2"/>
  <c r="J254" i="2"/>
  <c r="J250" i="2"/>
  <c r="J246" i="2"/>
  <c r="J242" i="2"/>
  <c r="J238" i="2"/>
  <c r="J234" i="2"/>
  <c r="J230" i="2"/>
  <c r="J226" i="2"/>
  <c r="J222" i="2"/>
  <c r="J218" i="2"/>
  <c r="J214" i="2"/>
  <c r="J210" i="2"/>
  <c r="J206" i="2"/>
  <c r="J202" i="2"/>
  <c r="J198" i="2"/>
  <c r="J194" i="2"/>
  <c r="J190" i="2"/>
  <c r="J186" i="2"/>
  <c r="J182" i="2"/>
  <c r="J178" i="2"/>
  <c r="J174" i="2"/>
  <c r="J170" i="2"/>
  <c r="J166" i="2"/>
  <c r="J162" i="2"/>
  <c r="J158" i="2"/>
  <c r="J154" i="2"/>
  <c r="J150" i="2"/>
  <c r="J146" i="2"/>
  <c r="J142" i="2"/>
  <c r="J138" i="2"/>
  <c r="J134" i="2"/>
  <c r="J130" i="2"/>
  <c r="J126" i="2"/>
  <c r="J122" i="2"/>
  <c r="J118" i="2"/>
  <c r="J114" i="2"/>
  <c r="J110" i="2"/>
  <c r="J106" i="2"/>
  <c r="J102" i="2"/>
  <c r="J98" i="2"/>
  <c r="J94" i="2"/>
  <c r="J90" i="2"/>
  <c r="J86" i="2"/>
  <c r="J82" i="2"/>
  <c r="J78" i="2"/>
  <c r="J74" i="2"/>
  <c r="J70" i="2"/>
  <c r="J66" i="2"/>
  <c r="J62" i="2"/>
  <c r="J58" i="2"/>
  <c r="J54" i="2"/>
  <c r="J50" i="2"/>
  <c r="J46" i="2"/>
  <c r="J42" i="2"/>
  <c r="J38" i="2"/>
  <c r="J34" i="2"/>
  <c r="J30" i="2"/>
  <c r="J26" i="2"/>
  <c r="J22" i="2"/>
  <c r="J18" i="2"/>
  <c r="J14" i="2"/>
  <c r="J10" i="2"/>
  <c r="J6" i="2"/>
  <c r="J1001" i="2"/>
  <c r="J996" i="2"/>
  <c r="J991" i="2"/>
  <c r="J985" i="2"/>
  <c r="J980" i="2"/>
  <c r="J975" i="2"/>
  <c r="J969" i="2"/>
  <c r="J964" i="2"/>
  <c r="J959" i="2"/>
  <c r="J953" i="2"/>
  <c r="J948" i="2"/>
  <c r="J943" i="2"/>
  <c r="J937" i="2"/>
  <c r="J932" i="2"/>
  <c r="J927" i="2"/>
  <c r="J921" i="2"/>
  <c r="J916" i="2"/>
  <c r="J911" i="2"/>
  <c r="J905" i="2"/>
  <c r="J900" i="2"/>
  <c r="J895" i="2"/>
  <c r="J889" i="2"/>
  <c r="J884" i="2"/>
  <c r="J879" i="2"/>
  <c r="J873" i="2"/>
  <c r="J868" i="2"/>
  <c r="J863" i="2"/>
  <c r="J857" i="2"/>
  <c r="J852" i="2"/>
  <c r="J847" i="2"/>
  <c r="J841" i="2"/>
  <c r="J836" i="2"/>
  <c r="J831" i="2"/>
  <c r="J825" i="2"/>
  <c r="J820" i="2"/>
  <c r="J815" i="2"/>
  <c r="J809" i="2"/>
  <c r="J804" i="2"/>
  <c r="J799" i="2"/>
  <c r="J793" i="2"/>
  <c r="J788" i="2"/>
  <c r="J783" i="2"/>
  <c r="J777" i="2"/>
  <c r="J772" i="2"/>
  <c r="J767" i="2"/>
  <c r="J761" i="2"/>
  <c r="J756" i="2"/>
  <c r="J751" i="2"/>
  <c r="J745" i="2"/>
  <c r="J740" i="2"/>
  <c r="J735" i="2"/>
  <c r="J729" i="2"/>
  <c r="J724" i="2"/>
  <c r="J719" i="2"/>
  <c r="J713" i="2"/>
  <c r="J708" i="2"/>
  <c r="J703" i="2"/>
  <c r="J697" i="2"/>
  <c r="J692" i="2"/>
  <c r="J687" i="2"/>
  <c r="J681" i="2"/>
  <c r="J676" i="2"/>
  <c r="J671" i="2"/>
  <c r="J665" i="2"/>
  <c r="J660" i="2"/>
  <c r="J655" i="2"/>
  <c r="J649" i="2"/>
  <c r="J644" i="2"/>
  <c r="J639" i="2"/>
  <c r="J633" i="2"/>
  <c r="J628" i="2"/>
  <c r="J623" i="2"/>
  <c r="J617" i="2"/>
  <c r="J612" i="2"/>
  <c r="J607" i="2"/>
  <c r="J601" i="2"/>
  <c r="J596" i="2"/>
  <c r="J591" i="2"/>
  <c r="J585" i="2"/>
  <c r="J580" i="2"/>
  <c r="J575" i="2"/>
  <c r="J569" i="2"/>
  <c r="J564" i="2"/>
  <c r="J559" i="2"/>
  <c r="J553" i="2"/>
  <c r="J548" i="2"/>
  <c r="J543" i="2"/>
  <c r="J537" i="2"/>
  <c r="J532" i="2"/>
  <c r="J527" i="2"/>
  <c r="J521" i="2"/>
  <c r="J516" i="2"/>
  <c r="J511" i="2"/>
  <c r="J505" i="2"/>
  <c r="J500" i="2"/>
  <c r="J495" i="2"/>
  <c r="J489" i="2"/>
  <c r="J484" i="2"/>
  <c r="J479" i="2"/>
  <c r="J473" i="2"/>
  <c r="J468" i="2"/>
  <c r="J463" i="2"/>
  <c r="J457" i="2"/>
  <c r="J452" i="2"/>
  <c r="J447" i="2"/>
  <c r="J441" i="2"/>
  <c r="J436" i="2"/>
  <c r="J431" i="2"/>
  <c r="J425" i="2"/>
  <c r="J420" i="2"/>
  <c r="J415" i="2"/>
  <c r="J1000" i="2"/>
  <c r="J993" i="2"/>
  <c r="J987" i="2"/>
  <c r="J979" i="2"/>
  <c r="J972" i="2"/>
  <c r="J965" i="2"/>
  <c r="J957" i="2"/>
  <c r="J951" i="2"/>
  <c r="J944" i="2"/>
  <c r="J936" i="2"/>
  <c r="J929" i="2"/>
  <c r="J923" i="2"/>
  <c r="J915" i="2"/>
  <c r="J908" i="2"/>
  <c r="J901" i="2"/>
  <c r="J893" i="2"/>
  <c r="J887" i="2"/>
  <c r="J880" i="2"/>
  <c r="J872" i="2"/>
  <c r="J865" i="2"/>
  <c r="J859" i="2"/>
  <c r="J851" i="2"/>
  <c r="J844" i="2"/>
  <c r="J837" i="2"/>
  <c r="J829" i="2"/>
  <c r="J823" i="2"/>
  <c r="J816" i="2"/>
  <c r="J808" i="2"/>
  <c r="J801" i="2"/>
  <c r="J795" i="2"/>
  <c r="J787" i="2"/>
  <c r="J780" i="2"/>
  <c r="J773" i="2"/>
  <c r="J765" i="2"/>
  <c r="J759" i="2"/>
  <c r="J752" i="2"/>
  <c r="J744" i="2"/>
  <c r="J737" i="2"/>
  <c r="J731" i="2"/>
  <c r="J723" i="2"/>
  <c r="J716" i="2"/>
  <c r="J709" i="2"/>
  <c r="J701" i="2"/>
  <c r="J695" i="2"/>
  <c r="J688" i="2"/>
  <c r="J680" i="2"/>
  <c r="J673" i="2"/>
  <c r="J667" i="2"/>
  <c r="J659" i="2"/>
  <c r="J652" i="2"/>
  <c r="J645" i="2"/>
  <c r="J637" i="2"/>
  <c r="J631" i="2"/>
  <c r="J624" i="2"/>
  <c r="J616" i="2"/>
  <c r="J609" i="2"/>
  <c r="J603" i="2"/>
  <c r="J595" i="2"/>
  <c r="J588" i="2"/>
  <c r="J581" i="2"/>
  <c r="J573" i="2"/>
  <c r="J567" i="2"/>
  <c r="J560" i="2"/>
  <c r="J552" i="2"/>
  <c r="J545" i="2"/>
  <c r="J539" i="2"/>
  <c r="J531" i="2"/>
  <c r="J524" i="2"/>
  <c r="J517" i="2"/>
  <c r="J509" i="2"/>
  <c r="J503" i="2"/>
  <c r="J496" i="2"/>
  <c r="J488" i="2"/>
  <c r="J481" i="2"/>
  <c r="J475" i="2"/>
  <c r="J467" i="2"/>
  <c r="J460" i="2"/>
  <c r="J453" i="2"/>
  <c r="J445" i="2"/>
  <c r="J439" i="2"/>
  <c r="J432" i="2"/>
  <c r="J424" i="2"/>
  <c r="J417" i="2"/>
  <c r="J411" i="2"/>
  <c r="J405" i="2"/>
  <c r="J400" i="2"/>
  <c r="J395" i="2"/>
  <c r="J389" i="2"/>
  <c r="J384" i="2"/>
  <c r="J379" i="2"/>
  <c r="J373" i="2"/>
  <c r="J368" i="2"/>
  <c r="J363" i="2"/>
  <c r="J357" i="2"/>
  <c r="J352" i="2"/>
  <c r="J347" i="2"/>
  <c r="J341" i="2"/>
  <c r="J336" i="2"/>
  <c r="J331" i="2"/>
  <c r="J325" i="2"/>
  <c r="J320" i="2"/>
  <c r="J315" i="2"/>
  <c r="J309" i="2"/>
  <c r="J304" i="2"/>
  <c r="J299" i="2"/>
  <c r="J293" i="2"/>
  <c r="J288" i="2"/>
  <c r="J283" i="2"/>
  <c r="J277" i="2"/>
  <c r="J272" i="2"/>
  <c r="J267" i="2"/>
  <c r="J261" i="2"/>
  <c r="J256" i="2"/>
  <c r="J251" i="2"/>
  <c r="J245" i="2"/>
  <c r="J240" i="2"/>
  <c r="J235" i="2"/>
  <c r="J229" i="2"/>
  <c r="J224" i="2"/>
  <c r="J219" i="2"/>
  <c r="J213" i="2"/>
  <c r="J208" i="2"/>
  <c r="J203" i="2"/>
  <c r="J197" i="2"/>
  <c r="J192" i="2"/>
  <c r="J187" i="2"/>
  <c r="J181" i="2"/>
  <c r="J176" i="2"/>
  <c r="J171" i="2"/>
  <c r="J165" i="2"/>
  <c r="J160" i="2"/>
  <c r="J155" i="2"/>
  <c r="J149" i="2"/>
  <c r="J144" i="2"/>
  <c r="J139" i="2"/>
  <c r="J133" i="2"/>
  <c r="J128" i="2"/>
  <c r="J123" i="2"/>
  <c r="J117" i="2"/>
  <c r="J112" i="2"/>
  <c r="J107" i="2"/>
  <c r="J101" i="2"/>
  <c r="J96" i="2"/>
  <c r="J91" i="2"/>
  <c r="J85" i="2"/>
  <c r="J80" i="2"/>
  <c r="J75" i="2"/>
  <c r="J69" i="2"/>
  <c r="J64" i="2"/>
  <c r="J59" i="2"/>
  <c r="J53" i="2"/>
  <c r="J48" i="2"/>
  <c r="J43" i="2"/>
  <c r="J37" i="2"/>
  <c r="J32" i="2"/>
  <c r="J27" i="2"/>
  <c r="J21" i="2"/>
  <c r="J16" i="2"/>
  <c r="J11" i="2"/>
  <c r="J5" i="2"/>
  <c r="J999" i="2"/>
  <c r="J992" i="2"/>
  <c r="J984" i="2"/>
  <c r="J977" i="2"/>
  <c r="J971" i="2"/>
  <c r="J963" i="2"/>
  <c r="J956" i="2"/>
  <c r="J949" i="2"/>
  <c r="J941" i="2"/>
  <c r="J935" i="2"/>
  <c r="J928" i="2"/>
  <c r="J920" i="2"/>
  <c r="J913" i="2"/>
  <c r="J907" i="2"/>
  <c r="J899" i="2"/>
  <c r="J892" i="2"/>
  <c r="J885" i="2"/>
  <c r="J877" i="2"/>
  <c r="J871" i="2"/>
  <c r="J864" i="2"/>
  <c r="J856" i="2"/>
  <c r="J849" i="2"/>
  <c r="J843" i="2"/>
  <c r="J835" i="2"/>
  <c r="J828" i="2"/>
  <c r="J821" i="2"/>
  <c r="J813" i="2"/>
  <c r="J807" i="2"/>
  <c r="J800" i="2"/>
  <c r="J792" i="2"/>
  <c r="J785" i="2"/>
  <c r="J779" i="2"/>
  <c r="J771" i="2"/>
  <c r="J764" i="2"/>
  <c r="J757" i="2"/>
  <c r="J749" i="2"/>
  <c r="J743" i="2"/>
  <c r="J736" i="2"/>
  <c r="J728" i="2"/>
  <c r="J721" i="2"/>
  <c r="J715" i="2"/>
  <c r="J707" i="2"/>
  <c r="J700" i="2"/>
  <c r="J693" i="2"/>
  <c r="J685" i="2"/>
  <c r="J679" i="2"/>
  <c r="J672" i="2"/>
  <c r="J664" i="2"/>
  <c r="J657" i="2"/>
  <c r="J651" i="2"/>
  <c r="J643" i="2"/>
  <c r="J636" i="2"/>
  <c r="J629" i="2"/>
  <c r="J621" i="2"/>
  <c r="J615" i="2"/>
  <c r="J608" i="2"/>
  <c r="J600" i="2"/>
  <c r="J593" i="2"/>
  <c r="J587" i="2"/>
  <c r="J579" i="2"/>
  <c r="J572" i="2"/>
  <c r="J565" i="2"/>
  <c r="J557" i="2"/>
  <c r="J551" i="2"/>
  <c r="J544" i="2"/>
  <c r="J536" i="2"/>
  <c r="J529" i="2"/>
  <c r="J523" i="2"/>
  <c r="J515" i="2"/>
  <c r="J508" i="2"/>
  <c r="J501" i="2"/>
  <c r="J493" i="2"/>
  <c r="J487" i="2"/>
  <c r="J480" i="2"/>
  <c r="J472" i="2"/>
  <c r="J465" i="2"/>
  <c r="J459" i="2"/>
  <c r="J451" i="2"/>
  <c r="J444" i="2"/>
  <c r="J437" i="2"/>
  <c r="J429" i="2"/>
  <c r="J423" i="2"/>
  <c r="J416" i="2"/>
  <c r="J409" i="2"/>
  <c r="J404" i="2"/>
  <c r="J399" i="2"/>
  <c r="J393" i="2"/>
  <c r="J388" i="2"/>
  <c r="J383" i="2"/>
  <c r="J377" i="2"/>
  <c r="J372" i="2"/>
  <c r="J367" i="2"/>
  <c r="J361" i="2"/>
  <c r="J356" i="2"/>
  <c r="J351" i="2"/>
  <c r="J345" i="2"/>
  <c r="J340" i="2"/>
  <c r="J335" i="2"/>
  <c r="J329" i="2"/>
  <c r="J324" i="2"/>
  <c r="J319" i="2"/>
  <c r="J313" i="2"/>
  <c r="J308" i="2"/>
  <c r="J303" i="2"/>
  <c r="J297" i="2"/>
  <c r="J292" i="2"/>
  <c r="J287" i="2"/>
  <c r="J281" i="2"/>
  <c r="J276" i="2"/>
  <c r="J271" i="2"/>
  <c r="J265" i="2"/>
  <c r="J260" i="2"/>
  <c r="J255" i="2"/>
  <c r="J249" i="2"/>
  <c r="J244" i="2"/>
  <c r="J239" i="2"/>
  <c r="J233" i="2"/>
  <c r="J228" i="2"/>
  <c r="J223" i="2"/>
  <c r="J217" i="2"/>
  <c r="J212" i="2"/>
  <c r="J207" i="2"/>
  <c r="J201" i="2"/>
  <c r="J196" i="2"/>
  <c r="J191" i="2"/>
  <c r="J185" i="2"/>
  <c r="J180" i="2"/>
  <c r="J175" i="2"/>
  <c r="J169" i="2"/>
  <c r="J164" i="2"/>
  <c r="J159" i="2"/>
  <c r="J153" i="2"/>
  <c r="J148" i="2"/>
  <c r="J143" i="2"/>
  <c r="J137" i="2"/>
  <c r="J132" i="2"/>
  <c r="J127" i="2"/>
  <c r="J121" i="2"/>
  <c r="J116" i="2"/>
  <c r="J111" i="2"/>
  <c r="J105" i="2"/>
  <c r="J100" i="2"/>
  <c r="J95" i="2"/>
  <c r="J89" i="2"/>
  <c r="J84" i="2"/>
  <c r="J79" i="2"/>
  <c r="J73" i="2"/>
  <c r="J68" i="2"/>
  <c r="J63" i="2"/>
  <c r="J57" i="2"/>
  <c r="J52" i="2"/>
  <c r="J47" i="2"/>
  <c r="J41" i="2"/>
  <c r="J36" i="2"/>
  <c r="J31" i="2"/>
  <c r="J25" i="2"/>
  <c r="J20" i="2"/>
  <c r="J15" i="2"/>
  <c r="J9" i="2"/>
  <c r="J4" i="2"/>
  <c r="J995" i="2"/>
  <c r="J988" i="2"/>
  <c r="J981" i="2"/>
  <c r="J973" i="2"/>
  <c r="J967" i="2"/>
  <c r="J960" i="2"/>
  <c r="J952" i="2"/>
  <c r="J945" i="2"/>
  <c r="J939" i="2"/>
  <c r="J931" i="2"/>
  <c r="J924" i="2"/>
  <c r="J917" i="2"/>
  <c r="J909" i="2"/>
  <c r="J903" i="2"/>
  <c r="J896" i="2"/>
  <c r="J888" i="2"/>
  <c r="J881" i="2"/>
  <c r="J875" i="2"/>
  <c r="J867" i="2"/>
  <c r="J860" i="2"/>
  <c r="J853" i="2"/>
  <c r="J845" i="2"/>
  <c r="J839" i="2"/>
  <c r="J832" i="2"/>
  <c r="J824" i="2"/>
  <c r="J817" i="2"/>
  <c r="J811" i="2"/>
  <c r="J803" i="2"/>
  <c r="J796" i="2"/>
  <c r="J789" i="2"/>
  <c r="J781" i="2"/>
  <c r="J775" i="2"/>
  <c r="J768" i="2"/>
  <c r="J760" i="2"/>
  <c r="J753" i="2"/>
  <c r="J747" i="2"/>
  <c r="J739" i="2"/>
  <c r="J732" i="2"/>
  <c r="J725" i="2"/>
  <c r="J717" i="2"/>
  <c r="J711" i="2"/>
  <c r="J704" i="2"/>
  <c r="J696" i="2"/>
  <c r="J689" i="2"/>
  <c r="J683" i="2"/>
  <c r="J675" i="2"/>
  <c r="J668" i="2"/>
  <c r="J661" i="2"/>
  <c r="J653" i="2"/>
  <c r="J647" i="2"/>
  <c r="J640" i="2"/>
  <c r="J632" i="2"/>
  <c r="J625" i="2"/>
  <c r="J619" i="2"/>
  <c r="J611" i="2"/>
  <c r="J604" i="2"/>
  <c r="J597" i="2"/>
  <c r="J589" i="2"/>
  <c r="J583" i="2"/>
  <c r="J576" i="2"/>
  <c r="J568" i="2"/>
  <c r="J561" i="2"/>
  <c r="J555" i="2"/>
  <c r="J547" i="2"/>
  <c r="J540" i="2"/>
  <c r="J533" i="2"/>
  <c r="J525" i="2"/>
  <c r="J519" i="2"/>
  <c r="J512" i="2"/>
  <c r="J504" i="2"/>
  <c r="J497" i="2"/>
  <c r="J491" i="2"/>
  <c r="J483" i="2"/>
  <c r="J476" i="2"/>
  <c r="J469" i="2"/>
  <c r="J461" i="2"/>
  <c r="J455" i="2"/>
  <c r="J448" i="2"/>
  <c r="J440" i="2"/>
  <c r="J433" i="2"/>
  <c r="J427" i="2"/>
  <c r="J419" i="2"/>
  <c r="J412" i="2"/>
  <c r="J407" i="2"/>
  <c r="J401" i="2"/>
  <c r="J396" i="2"/>
  <c r="J391" i="2"/>
  <c r="J385" i="2"/>
  <c r="J380" i="2"/>
  <c r="J375" i="2"/>
  <c r="J369" i="2"/>
  <c r="J364" i="2"/>
  <c r="J359" i="2"/>
  <c r="J353" i="2"/>
  <c r="J348" i="2"/>
  <c r="J343" i="2"/>
  <c r="J337" i="2"/>
  <c r="J332" i="2"/>
  <c r="J327" i="2"/>
  <c r="J321" i="2"/>
  <c r="J316" i="2"/>
  <c r="J311" i="2"/>
  <c r="J305" i="2"/>
  <c r="J300" i="2"/>
  <c r="J295" i="2"/>
  <c r="J289" i="2"/>
  <c r="J284" i="2"/>
  <c r="J279" i="2"/>
  <c r="J273" i="2"/>
  <c r="J268" i="2"/>
  <c r="J263" i="2"/>
  <c r="J257" i="2"/>
  <c r="J252" i="2"/>
  <c r="J247" i="2"/>
  <c r="J241" i="2"/>
  <c r="J236" i="2"/>
  <c r="J231" i="2"/>
  <c r="J225" i="2"/>
  <c r="J220" i="2"/>
  <c r="J215" i="2"/>
  <c r="J209" i="2"/>
  <c r="J204" i="2"/>
  <c r="J199" i="2"/>
  <c r="J193" i="2"/>
  <c r="J188" i="2"/>
  <c r="J183" i="2"/>
  <c r="J177" i="2"/>
  <c r="J172" i="2"/>
  <c r="J167" i="2"/>
  <c r="J161" i="2"/>
  <c r="J156" i="2"/>
  <c r="J151" i="2"/>
  <c r="J145" i="2"/>
  <c r="J140" i="2"/>
  <c r="J135" i="2"/>
  <c r="J129" i="2"/>
  <c r="J124" i="2"/>
  <c r="J119" i="2"/>
  <c r="J113" i="2"/>
  <c r="J108" i="2"/>
  <c r="J103" i="2"/>
  <c r="J97" i="2"/>
  <c r="J92" i="2"/>
  <c r="J87" i="2"/>
  <c r="J81" i="2"/>
  <c r="J76" i="2"/>
  <c r="J71" i="2"/>
  <c r="J65" i="2"/>
  <c r="J60" i="2"/>
  <c r="J55" i="2"/>
  <c r="J49" i="2"/>
  <c r="J44" i="2"/>
  <c r="J39" i="2"/>
  <c r="J33" i="2"/>
  <c r="J28" i="2"/>
  <c r="J23" i="2"/>
  <c r="J17" i="2"/>
  <c r="J12" i="2"/>
  <c r="J7" i="2"/>
  <c r="J2" i="2"/>
  <c r="J997" i="2"/>
  <c r="J989" i="2"/>
  <c r="J983" i="2"/>
  <c r="J976" i="2"/>
  <c r="J968" i="2"/>
  <c r="J961" i="2"/>
  <c r="J955" i="2"/>
  <c r="J947" i="2"/>
  <c r="J940" i="2"/>
  <c r="J933" i="2"/>
  <c r="J925" i="2"/>
  <c r="J919" i="2"/>
  <c r="J912" i="2"/>
  <c r="J904" i="2"/>
  <c r="J897" i="2"/>
  <c r="J891" i="2"/>
  <c r="J883" i="2"/>
  <c r="J876" i="2"/>
  <c r="J869" i="2"/>
  <c r="J861" i="2"/>
  <c r="J855" i="2"/>
  <c r="J848" i="2"/>
  <c r="J840" i="2"/>
  <c r="J833" i="2"/>
  <c r="J827" i="2"/>
  <c r="J819" i="2"/>
  <c r="J812" i="2"/>
  <c r="J805" i="2"/>
  <c r="J797" i="2"/>
  <c r="J791" i="2"/>
  <c r="J784" i="2"/>
  <c r="J776" i="2"/>
  <c r="J769" i="2"/>
  <c r="J763" i="2"/>
  <c r="J755" i="2"/>
  <c r="J748" i="2"/>
  <c r="J741" i="2"/>
  <c r="J733" i="2"/>
  <c r="J727" i="2"/>
  <c r="J720" i="2"/>
  <c r="J712" i="2"/>
  <c r="J705" i="2"/>
  <c r="J699" i="2"/>
  <c r="J691" i="2"/>
  <c r="J684" i="2"/>
  <c r="J677" i="2"/>
  <c r="J669" i="2"/>
  <c r="J663" i="2"/>
  <c r="J656" i="2"/>
  <c r="J648" i="2"/>
  <c r="J641" i="2"/>
  <c r="J635" i="2"/>
  <c r="J627" i="2"/>
  <c r="J620" i="2"/>
  <c r="J613" i="2"/>
  <c r="J605" i="2"/>
  <c r="J599" i="2"/>
  <c r="J592" i="2"/>
  <c r="J584" i="2"/>
  <c r="J577" i="2"/>
  <c r="J571" i="2"/>
  <c r="J563" i="2"/>
  <c r="J556" i="2"/>
  <c r="J549" i="2"/>
  <c r="J541" i="2"/>
  <c r="J535" i="2"/>
  <c r="J528" i="2"/>
  <c r="J520" i="2"/>
  <c r="J513" i="2"/>
  <c r="J507" i="2"/>
  <c r="J499" i="2"/>
  <c r="J492" i="2"/>
  <c r="J485" i="2"/>
  <c r="J477" i="2"/>
  <c r="J471" i="2"/>
  <c r="J464" i="2"/>
  <c r="J456" i="2"/>
  <c r="J449" i="2"/>
  <c r="J443" i="2"/>
  <c r="J435" i="2"/>
  <c r="J428" i="2"/>
  <c r="J421" i="2"/>
  <c r="J413" i="2"/>
  <c r="J408" i="2"/>
  <c r="J403" i="2"/>
  <c r="J397" i="2"/>
  <c r="J392" i="2"/>
  <c r="J387" i="2"/>
  <c r="J381" i="2"/>
  <c r="J376" i="2"/>
  <c r="J371" i="2"/>
  <c r="J365" i="2"/>
  <c r="J360" i="2"/>
  <c r="J355" i="2"/>
  <c r="J349" i="2"/>
  <c r="J344" i="2"/>
  <c r="J339" i="2"/>
  <c r="J333" i="2"/>
  <c r="J328" i="2"/>
  <c r="J323" i="2"/>
  <c r="J317" i="2"/>
  <c r="J312" i="2"/>
  <c r="J307" i="2"/>
  <c r="J301" i="2"/>
  <c r="J296" i="2"/>
  <c r="J291" i="2"/>
  <c r="J285" i="2"/>
  <c r="J280" i="2"/>
  <c r="J275" i="2"/>
  <c r="J269" i="2"/>
  <c r="J264" i="2"/>
  <c r="J259" i="2"/>
  <c r="J253" i="2"/>
  <c r="J248" i="2"/>
  <c r="J243" i="2"/>
  <c r="J237" i="2"/>
  <c r="J232" i="2"/>
  <c r="J227" i="2"/>
  <c r="J221" i="2"/>
  <c r="J216" i="2"/>
  <c r="J211" i="2"/>
  <c r="J205" i="2"/>
  <c r="J200" i="2"/>
  <c r="J195" i="2"/>
  <c r="J189" i="2"/>
  <c r="J184" i="2"/>
  <c r="J179" i="2"/>
  <c r="J173" i="2"/>
  <c r="J168" i="2"/>
  <c r="J163" i="2"/>
  <c r="J157" i="2"/>
  <c r="J152" i="2"/>
  <c r="J147" i="2"/>
  <c r="J141" i="2"/>
  <c r="J136" i="2"/>
  <c r="J131" i="2"/>
  <c r="J125" i="2"/>
  <c r="J120" i="2"/>
  <c r="J115" i="2"/>
  <c r="J109" i="2"/>
  <c r="J104" i="2"/>
  <c r="J99" i="2"/>
  <c r="J93" i="2"/>
  <c r="J88" i="2"/>
  <c r="J83" i="2"/>
  <c r="J77" i="2"/>
  <c r="J72" i="2"/>
  <c r="J67" i="2"/>
  <c r="J61" i="2"/>
  <c r="J56" i="2"/>
  <c r="J51" i="2"/>
  <c r="J45" i="2"/>
  <c r="J40" i="2"/>
  <c r="J35" i="2"/>
  <c r="J29" i="2"/>
  <c r="J24" i="2"/>
  <c r="J19" i="2"/>
  <c r="J13" i="2"/>
  <c r="J8" i="2"/>
  <c r="J3" i="2"/>
  <c r="R1006" i="2" l="1"/>
  <c r="U1006" i="2"/>
  <c r="T1006" i="2"/>
  <c r="Q1006" i="2"/>
  <c r="S1006" i="2"/>
  <c r="D4" i="2" l="1"/>
  <c r="D44" i="2"/>
  <c r="E78" i="2"/>
  <c r="B41" i="2"/>
  <c r="A41" i="2" s="1"/>
  <c r="B117" i="2"/>
  <c r="A117" i="2" s="1"/>
  <c r="E104" i="2"/>
  <c r="B105" i="2"/>
  <c r="A105" i="2" s="1"/>
  <c r="E7" i="2"/>
  <c r="F380" i="2"/>
  <c r="B245" i="2"/>
  <c r="A245" i="2" s="1"/>
  <c r="B136" i="2"/>
  <c r="A136" i="2" s="1"/>
  <c r="B29" i="2"/>
  <c r="A29" i="2" s="1"/>
  <c r="B137" i="2"/>
  <c r="A137" i="2" s="1"/>
  <c r="B159" i="2"/>
  <c r="A159" i="2" s="1"/>
  <c r="B236" i="2"/>
  <c r="A236" i="2" s="1"/>
  <c r="E10" i="2"/>
  <c r="B157" i="2"/>
  <c r="A157" i="2" s="1"/>
  <c r="B9" i="2"/>
  <c r="A9" i="2" s="1"/>
  <c r="B209" i="2"/>
  <c r="A209" i="2" s="1"/>
  <c r="E409" i="2"/>
  <c r="B69" i="2"/>
  <c r="A69" i="2" s="1"/>
  <c r="B181" i="2"/>
  <c r="A181" i="2" s="1"/>
  <c r="E162" i="2"/>
  <c r="E231" i="2"/>
  <c r="B259" i="2"/>
  <c r="A259" i="2" s="1"/>
  <c r="E313" i="2"/>
  <c r="C88" i="2"/>
  <c r="E2" i="2"/>
  <c r="E1" i="2" s="1"/>
  <c r="B101" i="2"/>
  <c r="A101" i="2" s="1"/>
  <c r="B221" i="2"/>
  <c r="A221" i="2" s="1"/>
  <c r="B73" i="2"/>
  <c r="A73" i="2" s="1"/>
  <c r="E258" i="2"/>
  <c r="B287" i="2"/>
  <c r="A287" i="2" s="1"/>
  <c r="E81" i="2"/>
  <c r="E377" i="2"/>
  <c r="D203" i="2"/>
  <c r="D30" i="2"/>
  <c r="C52" i="2"/>
  <c r="B3" i="2"/>
  <c r="A3" i="2" s="1"/>
  <c r="D108" i="2"/>
  <c r="D267" i="2"/>
  <c r="E110" i="2"/>
  <c r="B241" i="2"/>
  <c r="A241" i="2" s="1"/>
  <c r="C145" i="2"/>
  <c r="B194" i="2"/>
  <c r="A194" i="2" s="1"/>
  <c r="D244" i="2"/>
  <c r="C18" i="2"/>
  <c r="B67" i="2"/>
  <c r="A67" i="2" s="1"/>
  <c r="D117" i="2"/>
  <c r="E168" i="2"/>
  <c r="B223" i="2"/>
  <c r="A223" i="2" s="1"/>
  <c r="C274" i="2"/>
  <c r="B44" i="2"/>
  <c r="A44" i="2" s="1"/>
  <c r="D94" i="2"/>
  <c r="E145" i="2"/>
  <c r="B200" i="2"/>
  <c r="A200" i="2" s="1"/>
  <c r="C251" i="2"/>
  <c r="E329" i="2"/>
  <c r="E393" i="2"/>
  <c r="D28" i="2"/>
  <c r="D53" i="2"/>
  <c r="C84" i="2"/>
  <c r="C20" i="2"/>
  <c r="C132" i="2"/>
  <c r="C24" i="2"/>
  <c r="C56" i="2"/>
  <c r="C120" i="2"/>
  <c r="C36" i="2"/>
  <c r="B85" i="2"/>
  <c r="A85" i="2" s="1"/>
  <c r="B21" i="2"/>
  <c r="A21" i="2" s="1"/>
  <c r="B133" i="2"/>
  <c r="A133" i="2" s="1"/>
  <c r="B189" i="2"/>
  <c r="A189" i="2" s="1"/>
  <c r="B253" i="2"/>
  <c r="A253" i="2" s="1"/>
  <c r="B25" i="2"/>
  <c r="A25" i="2" s="1"/>
  <c r="B57" i="2"/>
  <c r="A57" i="2" s="1"/>
  <c r="B89" i="2"/>
  <c r="A89" i="2" s="1"/>
  <c r="B121" i="2"/>
  <c r="A121" i="2" s="1"/>
  <c r="E194" i="2"/>
  <c r="D8" i="2"/>
  <c r="C6" i="2"/>
  <c r="D60" i="2"/>
  <c r="D124" i="2"/>
  <c r="D15" i="2"/>
  <c r="B145" i="2"/>
  <c r="A145" i="2" s="1"/>
  <c r="B273" i="2"/>
  <c r="A273" i="2" s="1"/>
  <c r="B158" i="2"/>
  <c r="A158" i="2" s="1"/>
  <c r="C209" i="2"/>
  <c r="B258" i="2"/>
  <c r="A258" i="2" s="1"/>
  <c r="B31" i="2"/>
  <c r="A31" i="2" s="1"/>
  <c r="C82" i="2"/>
  <c r="B131" i="2"/>
  <c r="A131" i="2" s="1"/>
  <c r="D181" i="2"/>
  <c r="E232" i="2"/>
  <c r="B284" i="2"/>
  <c r="A284" i="2" s="1"/>
  <c r="C59" i="2"/>
  <c r="B108" i="2"/>
  <c r="A108" i="2" s="1"/>
  <c r="D158" i="2"/>
  <c r="E209" i="2"/>
  <c r="B264" i="2"/>
  <c r="A264" i="2" s="1"/>
  <c r="E345" i="2"/>
  <c r="C200" i="2"/>
  <c r="D92" i="2"/>
  <c r="D239" i="2"/>
  <c r="D180" i="2"/>
  <c r="C210" i="2"/>
  <c r="C187" i="2"/>
  <c r="B53" i="2"/>
  <c r="A53" i="2" s="1"/>
  <c r="D751" i="2"/>
  <c r="F297" i="2"/>
  <c r="B285" i="2"/>
  <c r="A285" i="2" s="1"/>
  <c r="D406" i="2"/>
  <c r="D390" i="2"/>
  <c r="D374" i="2"/>
  <c r="D358" i="2"/>
  <c r="D342" i="2"/>
  <c r="D326" i="2"/>
  <c r="C303" i="2"/>
  <c r="E273" i="2"/>
  <c r="E257" i="2"/>
  <c r="B248" i="2"/>
  <c r="A248" i="2" s="1"/>
  <c r="C235" i="2"/>
  <c r="B220" i="2"/>
  <c r="A220" i="2" s="1"/>
  <c r="D206" i="2"/>
  <c r="E193" i="2"/>
  <c r="B184" i="2"/>
  <c r="A184" i="2" s="1"/>
  <c r="C171" i="2"/>
  <c r="B156" i="2"/>
  <c r="A156" i="2" s="1"/>
  <c r="D142" i="2"/>
  <c r="E129" i="2"/>
  <c r="B120" i="2"/>
  <c r="A120" i="2" s="1"/>
  <c r="C107" i="2"/>
  <c r="B92" i="2"/>
  <c r="A92" i="2" s="1"/>
  <c r="D78" i="2"/>
  <c r="E65" i="2"/>
  <c r="B56" i="2"/>
  <c r="A56" i="2" s="1"/>
  <c r="C43" i="2"/>
  <c r="B28" i="2"/>
  <c r="A28" i="2" s="1"/>
  <c r="B296" i="2"/>
  <c r="A296" i="2" s="1"/>
  <c r="B280" i="2"/>
  <c r="A280" i="2" s="1"/>
  <c r="B271" i="2"/>
  <c r="A271" i="2" s="1"/>
  <c r="C258" i="2"/>
  <c r="B243" i="2"/>
  <c r="A243" i="2" s="1"/>
  <c r="D229" i="2"/>
  <c r="E216" i="2"/>
  <c r="B207" i="2"/>
  <c r="A207" i="2" s="1"/>
  <c r="C194" i="2"/>
  <c r="B179" i="2"/>
  <c r="A179" i="2" s="1"/>
  <c r="D165" i="2"/>
  <c r="E152" i="2"/>
  <c r="B143" i="2"/>
  <c r="A143" i="2" s="1"/>
  <c r="C130" i="2"/>
  <c r="B115" i="2"/>
  <c r="A115" i="2" s="1"/>
  <c r="D101" i="2"/>
  <c r="E88" i="2"/>
  <c r="B79" i="2"/>
  <c r="A79" i="2" s="1"/>
  <c r="C66" i="2"/>
  <c r="B51" i="2"/>
  <c r="A51" i="2" s="1"/>
  <c r="D37" i="2"/>
  <c r="E24" i="2"/>
  <c r="B15" i="2"/>
  <c r="A15" i="2" s="1"/>
  <c r="E279" i="2"/>
  <c r="B270" i="2"/>
  <c r="A270" i="2" s="1"/>
  <c r="C257" i="2"/>
  <c r="B242" i="2"/>
  <c r="A242" i="2" s="1"/>
  <c r="D228" i="2"/>
  <c r="E215" i="2"/>
  <c r="B206" i="2"/>
  <c r="A206" i="2" s="1"/>
  <c r="C193" i="2"/>
  <c r="B178" i="2"/>
  <c r="A178" i="2" s="1"/>
  <c r="D164" i="2"/>
  <c r="E151" i="2"/>
  <c r="B142" i="2"/>
  <c r="A142" i="2" s="1"/>
  <c r="D223" i="2"/>
  <c r="D159" i="2"/>
  <c r="B265" i="2"/>
  <c r="A265" i="2" s="1"/>
  <c r="B233" i="2"/>
  <c r="A233" i="2" s="1"/>
  <c r="B201" i="2"/>
  <c r="A201" i="2" s="1"/>
  <c r="B169" i="2"/>
  <c r="A169" i="2" s="1"/>
  <c r="E131" i="2"/>
  <c r="E99" i="2"/>
  <c r="E67" i="2"/>
  <c r="E35" i="2"/>
  <c r="B12" i="2"/>
  <c r="A12" i="2" s="1"/>
  <c r="D251" i="2"/>
  <c r="D187" i="2"/>
  <c r="D136" i="2"/>
  <c r="D120" i="2"/>
  <c r="D104" i="2"/>
  <c r="D88" i="2"/>
  <c r="D72" i="2"/>
  <c r="D56" i="2"/>
  <c r="D40" i="2"/>
  <c r="D24" i="2"/>
  <c r="D9" i="2"/>
  <c r="C264" i="2"/>
  <c r="E294" i="2"/>
  <c r="D419" i="2"/>
  <c r="C403" i="2"/>
  <c r="C387" i="2"/>
  <c r="C371" i="2"/>
  <c r="C355" i="2"/>
  <c r="C339" i="2"/>
  <c r="C323" i="2"/>
  <c r="E296" i="2"/>
  <c r="D270" i="2"/>
  <c r="D254" i="2"/>
  <c r="E241" i="2"/>
  <c r="B232" i="2"/>
  <c r="A232" i="2" s="1"/>
  <c r="C219" i="2"/>
  <c r="B204" i="2"/>
  <c r="A204" i="2" s="1"/>
  <c r="D190" i="2"/>
  <c r="E177" i="2"/>
  <c r="B168" i="2"/>
  <c r="A168" i="2" s="1"/>
  <c r="C155" i="2"/>
  <c r="B140" i="2"/>
  <c r="A140" i="2" s="1"/>
  <c r="D126" i="2"/>
  <c r="E113" i="2"/>
  <c r="B104" i="2"/>
  <c r="A104" i="2" s="1"/>
  <c r="C91" i="2"/>
  <c r="B76" i="2"/>
  <c r="A76" i="2" s="1"/>
  <c r="D62" i="2"/>
  <c r="E49" i="2"/>
  <c r="B40" i="2"/>
  <c r="A40" i="2" s="1"/>
  <c r="C27" i="2"/>
  <c r="B292" i="2"/>
  <c r="A292" i="2" s="1"/>
  <c r="D277" i="2"/>
  <c r="E264" i="2"/>
  <c r="B255" i="2"/>
  <c r="A255" i="2" s="1"/>
  <c r="C242" i="2"/>
  <c r="B227" i="2"/>
  <c r="A227" i="2" s="1"/>
  <c r="D213" i="2"/>
  <c r="E200" i="2"/>
  <c r="B191" i="2"/>
  <c r="A191" i="2" s="1"/>
  <c r="C178" i="2"/>
  <c r="B163" i="2"/>
  <c r="A163" i="2" s="1"/>
  <c r="D149" i="2"/>
  <c r="E136" i="2"/>
  <c r="B127" i="2"/>
  <c r="A127" i="2" s="1"/>
  <c r="C114" i="2"/>
  <c r="B99" i="2"/>
  <c r="A99" i="2" s="1"/>
  <c r="D85" i="2"/>
  <c r="E72" i="2"/>
  <c r="B63" i="2"/>
  <c r="A63" i="2" s="1"/>
  <c r="C50" i="2"/>
  <c r="B35" i="2"/>
  <c r="A35" i="2" s="1"/>
  <c r="D21" i="2"/>
  <c r="B304" i="2"/>
  <c r="A304" i="2" s="1"/>
  <c r="D276" i="2"/>
  <c r="E263" i="2"/>
  <c r="B254" i="2"/>
  <c r="A254" i="2" s="1"/>
  <c r="C241" i="2"/>
  <c r="B226" i="2"/>
  <c r="A226" i="2" s="1"/>
  <c r="D212" i="2"/>
  <c r="E199" i="2"/>
  <c r="B190" i="2"/>
  <c r="A190" i="2" s="1"/>
  <c r="C177" i="2"/>
  <c r="B162" i="2"/>
  <c r="A162" i="2" s="1"/>
  <c r="D148" i="2"/>
  <c r="D271" i="2"/>
  <c r="D207" i="2"/>
  <c r="D143" i="2"/>
  <c r="E262" i="2"/>
  <c r="E230" i="2"/>
  <c r="E198" i="2"/>
  <c r="E166" i="2"/>
  <c r="E126" i="2"/>
  <c r="E94" i="2"/>
  <c r="E62" i="2"/>
  <c r="E30" i="2"/>
  <c r="E5" i="2"/>
  <c r="D235" i="2"/>
  <c r="D171" i="2"/>
  <c r="D132" i="2"/>
  <c r="D116" i="2"/>
  <c r="D100" i="2"/>
  <c r="D84" i="2"/>
  <c r="D68" i="2"/>
  <c r="D52" i="2"/>
  <c r="D36" i="2"/>
  <c r="D20" i="2"/>
  <c r="B7" i="2"/>
  <c r="A7" i="2" s="1"/>
  <c r="C232" i="2"/>
  <c r="D291" i="2"/>
  <c r="B416" i="2"/>
  <c r="A416" i="2" s="1"/>
  <c r="B400" i="2"/>
  <c r="A400" i="2" s="1"/>
  <c r="B384" i="2"/>
  <c r="A384" i="2" s="1"/>
  <c r="B368" i="2"/>
  <c r="A368" i="2" s="1"/>
  <c r="B352" i="2"/>
  <c r="A352" i="2" s="1"/>
  <c r="B336" i="2"/>
  <c r="A336" i="2" s="1"/>
  <c r="B320" i="2"/>
  <c r="A320" i="2" s="1"/>
  <c r="E285" i="2"/>
  <c r="C267" i="2"/>
  <c r="B252" i="2"/>
  <c r="A252" i="2" s="1"/>
  <c r="D238" i="2"/>
  <c r="E225" i="2"/>
  <c r="B216" i="2"/>
  <c r="A216" i="2" s="1"/>
  <c r="C203" i="2"/>
  <c r="B188" i="2"/>
  <c r="A188" i="2" s="1"/>
  <c r="D174" i="2"/>
  <c r="E161" i="2"/>
  <c r="B152" i="2"/>
  <c r="A152" i="2" s="1"/>
  <c r="C139" i="2"/>
  <c r="B124" i="2"/>
  <c r="A124" i="2" s="1"/>
  <c r="D110" i="2"/>
  <c r="E97" i="2"/>
  <c r="B88" i="2"/>
  <c r="A88" i="2" s="1"/>
  <c r="C75" i="2"/>
  <c r="B60" i="2"/>
  <c r="A60" i="2" s="1"/>
  <c r="D46" i="2"/>
  <c r="E33" i="2"/>
  <c r="B24" i="2"/>
  <c r="A24" i="2" s="1"/>
  <c r="B288" i="2"/>
  <c r="A288" i="2" s="1"/>
  <c r="B275" i="2"/>
  <c r="A275" i="2" s="1"/>
  <c r="D261" i="2"/>
  <c r="E248" i="2"/>
  <c r="B239" i="2"/>
  <c r="A239" i="2" s="1"/>
  <c r="C226" i="2"/>
  <c r="B211" i="2"/>
  <c r="A211" i="2" s="1"/>
  <c r="D197" i="2"/>
  <c r="E184" i="2"/>
  <c r="B175" i="2"/>
  <c r="A175" i="2" s="1"/>
  <c r="C162" i="2"/>
  <c r="B147" i="2"/>
  <c r="A147" i="2" s="1"/>
  <c r="D133" i="2"/>
  <c r="E120" i="2"/>
  <c r="B111" i="2"/>
  <c r="A111" i="2" s="1"/>
  <c r="C98" i="2"/>
  <c r="B83" i="2"/>
  <c r="A83" i="2" s="1"/>
  <c r="D69" i="2"/>
  <c r="E56" i="2"/>
  <c r="B47" i="2"/>
  <c r="A47" i="2" s="1"/>
  <c r="C34" i="2"/>
  <c r="B19" i="2"/>
  <c r="A19" i="2" s="1"/>
  <c r="B295" i="2"/>
  <c r="A295" i="2" s="1"/>
  <c r="B274" i="2"/>
  <c r="A274" i="2" s="1"/>
  <c r="D260" i="2"/>
  <c r="E247" i="2"/>
  <c r="B238" i="2"/>
  <c r="A238" i="2" s="1"/>
  <c r="C225" i="2"/>
  <c r="B210" i="2"/>
  <c r="A210" i="2" s="1"/>
  <c r="D196" i="2"/>
  <c r="E183" i="2"/>
  <c r="B174" i="2"/>
  <c r="A174" i="2" s="1"/>
  <c r="C161" i="2"/>
  <c r="B146" i="2"/>
  <c r="A146" i="2" s="1"/>
  <c r="D255" i="2"/>
  <c r="D191" i="2"/>
  <c r="C17" i="2"/>
  <c r="C252" i="2"/>
  <c r="C220" i="2"/>
  <c r="C188" i="2"/>
  <c r="C156" i="2"/>
  <c r="E115" i="2"/>
  <c r="E83" i="2"/>
  <c r="E51" i="2"/>
  <c r="E19" i="2"/>
  <c r="D2" i="2"/>
  <c r="D1" i="2" s="1"/>
  <c r="D219" i="2"/>
  <c r="D155" i="2"/>
  <c r="D128" i="2"/>
  <c r="D112" i="2"/>
  <c r="D96" i="2"/>
  <c r="D80" i="2"/>
  <c r="D64" i="2"/>
  <c r="D48" i="2"/>
  <c r="D32" i="2"/>
  <c r="D16" i="2"/>
  <c r="E6" i="2"/>
  <c r="C28" i="2"/>
  <c r="C68" i="2"/>
  <c r="C100" i="2"/>
  <c r="C116" i="2"/>
  <c r="B149" i="2"/>
  <c r="A149" i="2" s="1"/>
  <c r="B213" i="2"/>
  <c r="A213" i="2" s="1"/>
  <c r="B277" i="2"/>
  <c r="A277" i="2" s="1"/>
  <c r="C40" i="2"/>
  <c r="C72" i="2"/>
  <c r="C104" i="2"/>
  <c r="C136" i="2"/>
  <c r="E226" i="2"/>
  <c r="C168" i="2"/>
  <c r="E12" i="2"/>
  <c r="D76" i="2"/>
  <c r="D140" i="2"/>
  <c r="E46" i="2"/>
  <c r="B177" i="2"/>
  <c r="A177" i="2" s="1"/>
  <c r="D175" i="2"/>
  <c r="E167" i="2"/>
  <c r="B222" i="2"/>
  <c r="A222" i="2" s="1"/>
  <c r="C273" i="2"/>
  <c r="E40" i="2"/>
  <c r="B95" i="2"/>
  <c r="A95" i="2" s="1"/>
  <c r="C146" i="2"/>
  <c r="B195" i="2"/>
  <c r="A195" i="2" s="1"/>
  <c r="D245" i="2"/>
  <c r="B300" i="2"/>
  <c r="A300" i="2" s="1"/>
  <c r="B72" i="2"/>
  <c r="A72" i="2" s="1"/>
  <c r="C123" i="2"/>
  <c r="B172" i="2"/>
  <c r="A172" i="2" s="1"/>
  <c r="D222" i="2"/>
  <c r="E280" i="2"/>
  <c r="E361" i="2"/>
  <c r="C288" i="2"/>
  <c r="F14" i="2"/>
  <c r="F73" i="2"/>
  <c r="F308" i="2"/>
  <c r="F13" i="2"/>
  <c r="F62" i="2"/>
  <c r="F110" i="2"/>
  <c r="F154" i="2"/>
  <c r="F202" i="2"/>
  <c r="F250" i="2"/>
  <c r="F266" i="2"/>
  <c r="F27" i="2"/>
  <c r="F155" i="2"/>
  <c r="F203" i="2"/>
  <c r="F251" i="2"/>
  <c r="F312" i="2"/>
  <c r="F36" i="2"/>
  <c r="F52" i="2"/>
  <c r="F68" i="2"/>
  <c r="F84" i="2"/>
  <c r="F100" i="2"/>
  <c r="F148" i="2"/>
  <c r="F196" i="2"/>
  <c r="F212" i="2"/>
  <c r="F316" i="2"/>
  <c r="F396" i="2"/>
  <c r="F281" i="2"/>
  <c r="C4" i="2"/>
  <c r="E202" i="2"/>
  <c r="C5" i="2"/>
  <c r="C176" i="2"/>
  <c r="C272" i="2"/>
  <c r="F3" i="2"/>
  <c r="F17" i="2"/>
  <c r="C25" i="2"/>
  <c r="C37" i="2"/>
  <c r="C53" i="2"/>
  <c r="C57" i="2"/>
  <c r="C73" i="2"/>
  <c r="C85" i="2"/>
  <c r="C93" i="2"/>
  <c r="C109" i="2"/>
  <c r="C121" i="2"/>
  <c r="C133" i="2"/>
  <c r="F157" i="2"/>
  <c r="F221" i="2"/>
  <c r="F269" i="2"/>
  <c r="F12" i="2"/>
  <c r="E26" i="2"/>
  <c r="E31" i="2"/>
  <c r="F53" i="2"/>
  <c r="F69" i="2"/>
  <c r="E79" i="2"/>
  <c r="E95" i="2"/>
  <c r="E111" i="2"/>
  <c r="E127" i="2"/>
  <c r="C148" i="2"/>
  <c r="C180" i="2"/>
  <c r="C212" i="2"/>
  <c r="C244" i="2"/>
  <c r="C276" i="2"/>
  <c r="F18" i="2"/>
  <c r="F50" i="2"/>
  <c r="F114" i="2"/>
  <c r="F145" i="2"/>
  <c r="F209" i="2"/>
  <c r="F241" i="2"/>
  <c r="F142" i="2"/>
  <c r="D152" i="2"/>
  <c r="F158" i="2"/>
  <c r="D168" i="2"/>
  <c r="E187" i="2"/>
  <c r="D200" i="2"/>
  <c r="E219" i="2"/>
  <c r="C229" i="2"/>
  <c r="F238" i="2"/>
  <c r="D248" i="2"/>
  <c r="E267" i="2"/>
  <c r="C277" i="2"/>
  <c r="C298" i="2"/>
  <c r="F15" i="2"/>
  <c r="C22" i="2"/>
  <c r="E28" i="2"/>
  <c r="D41" i="2"/>
  <c r="E44" i="2"/>
  <c r="C54" i="2"/>
  <c r="F63" i="2"/>
  <c r="D73" i="2"/>
  <c r="E92" i="2"/>
  <c r="C102" i="2"/>
  <c r="F111" i="2"/>
  <c r="D121" i="2"/>
  <c r="F127" i="2"/>
  <c r="D137" i="2"/>
  <c r="E172" i="2"/>
  <c r="C182" i="2"/>
  <c r="F191" i="2"/>
  <c r="D201" i="2"/>
  <c r="E220" i="2"/>
  <c r="C230" i="2"/>
  <c r="F239" i="2"/>
  <c r="D249" i="2"/>
  <c r="F255" i="2"/>
  <c r="D265" i="2"/>
  <c r="F271" i="2"/>
  <c r="D281" i="2"/>
  <c r="D293" i="2"/>
  <c r="D18" i="2"/>
  <c r="F24" i="2"/>
  <c r="D34" i="2"/>
  <c r="E53" i="2"/>
  <c r="C63" i="2"/>
  <c r="E69" i="2"/>
  <c r="C79" i="2"/>
  <c r="E101" i="2"/>
  <c r="D114" i="2"/>
  <c r="F120" i="2"/>
  <c r="D130" i="2"/>
  <c r="E149" i="2"/>
  <c r="C159" i="2"/>
  <c r="F168" i="2"/>
  <c r="D178" i="2"/>
  <c r="F200" i="2"/>
  <c r="D210" i="2"/>
  <c r="E229" i="2"/>
  <c r="F232" i="2"/>
  <c r="C239" i="2"/>
  <c r="E245" i="2"/>
  <c r="F248" i="2"/>
  <c r="D258" i="2"/>
  <c r="E261" i="2"/>
  <c r="F264" i="2"/>
  <c r="B268" i="2"/>
  <c r="A268" i="2" s="1"/>
  <c r="C271" i="2"/>
  <c r="D274" i="2"/>
  <c r="E277" i="2"/>
  <c r="E281" i="2"/>
  <c r="F287" i="2"/>
  <c r="E292" i="2"/>
  <c r="E297" i="2"/>
  <c r="E305" i="2"/>
  <c r="D314" i="2"/>
  <c r="E317" i="2"/>
  <c r="F320" i="2"/>
  <c r="B324" i="2"/>
  <c r="A324" i="2" s="1"/>
  <c r="C327" i="2"/>
  <c r="D330" i="2"/>
  <c r="E333" i="2"/>
  <c r="F336" i="2"/>
  <c r="B340" i="2"/>
  <c r="A340" i="2" s="1"/>
  <c r="C343" i="2"/>
  <c r="D346" i="2"/>
  <c r="E349" i="2"/>
  <c r="F352" i="2"/>
  <c r="B356" i="2"/>
  <c r="A356" i="2" s="1"/>
  <c r="C359" i="2"/>
  <c r="D362" i="2"/>
  <c r="E365" i="2"/>
  <c r="F368" i="2"/>
  <c r="B372" i="2"/>
  <c r="A372" i="2" s="1"/>
  <c r="C375" i="2"/>
  <c r="D378" i="2"/>
  <c r="E381" i="2"/>
  <c r="F384" i="2"/>
  <c r="B388" i="2"/>
  <c r="A388" i="2" s="1"/>
  <c r="C391" i="2"/>
  <c r="D394" i="2"/>
  <c r="E397" i="2"/>
  <c r="F400" i="2"/>
  <c r="B404" i="2"/>
  <c r="A404" i="2" s="1"/>
  <c r="C407" i="2"/>
  <c r="D410" i="2"/>
  <c r="E413" i="2"/>
  <c r="F416" i="2"/>
  <c r="B420" i="2"/>
  <c r="A420" i="2" s="1"/>
  <c r="E282" i="2"/>
  <c r="F285" i="2"/>
  <c r="B289" i="2"/>
  <c r="A289" i="2" s="1"/>
  <c r="C292" i="2"/>
  <c r="D295" i="2"/>
  <c r="E298" i="2"/>
  <c r="F301" i="2"/>
  <c r="B305" i="2"/>
  <c r="A305" i="2" s="1"/>
  <c r="C308" i="2"/>
  <c r="D311" i="2"/>
  <c r="E314" i="2"/>
  <c r="F317" i="2"/>
  <c r="B321" i="2"/>
  <c r="A321" i="2" s="1"/>
  <c r="C324" i="2"/>
  <c r="D327" i="2"/>
  <c r="E330" i="2"/>
  <c r="F333" i="2"/>
  <c r="B337" i="2"/>
  <c r="A337" i="2" s="1"/>
  <c r="C340" i="2"/>
  <c r="D343" i="2"/>
  <c r="E346" i="2"/>
  <c r="F349" i="2"/>
  <c r="B353" i="2"/>
  <c r="A353" i="2" s="1"/>
  <c r="C356" i="2"/>
  <c r="D359" i="2"/>
  <c r="E362" i="2"/>
  <c r="F365" i="2"/>
  <c r="B369" i="2"/>
  <c r="A369" i="2" s="1"/>
  <c r="C372" i="2"/>
  <c r="D375" i="2"/>
  <c r="E378" i="2"/>
  <c r="F381" i="2"/>
  <c r="B385" i="2"/>
  <c r="A385" i="2" s="1"/>
  <c r="C388" i="2"/>
  <c r="D391" i="2"/>
  <c r="E394" i="2"/>
  <c r="F397" i="2"/>
  <c r="B401" i="2"/>
  <c r="A401" i="2" s="1"/>
  <c r="C404" i="2"/>
  <c r="D407" i="2"/>
  <c r="E410" i="2"/>
  <c r="F413" i="2"/>
  <c r="B417" i="2"/>
  <c r="A417" i="2" s="1"/>
  <c r="D420" i="2"/>
  <c r="B282" i="2"/>
  <c r="A282" i="2" s="1"/>
  <c r="C285" i="2"/>
  <c r="D288" i="2"/>
  <c r="E291" i="2"/>
  <c r="F294" i="2"/>
  <c r="B298" i="2"/>
  <c r="A298" i="2" s="1"/>
  <c r="C301" i="2"/>
  <c r="D304" i="2"/>
  <c r="E307" i="2"/>
  <c r="F310" i="2"/>
  <c r="B314" i="2"/>
  <c r="A314" i="2" s="1"/>
  <c r="C317" i="2"/>
  <c r="D320" i="2"/>
  <c r="E323" i="2"/>
  <c r="F326" i="2"/>
  <c r="B330" i="2"/>
  <c r="A330" i="2" s="1"/>
  <c r="C333" i="2"/>
  <c r="D336" i="2"/>
  <c r="E339" i="2"/>
  <c r="F342" i="2"/>
  <c r="B346" i="2"/>
  <c r="A346" i="2" s="1"/>
  <c r="C349" i="2"/>
  <c r="D352" i="2"/>
  <c r="E355" i="2"/>
  <c r="F358" i="2"/>
  <c r="B362" i="2"/>
  <c r="A362" i="2" s="1"/>
  <c r="C365" i="2"/>
  <c r="D368" i="2"/>
  <c r="E371" i="2"/>
  <c r="F374" i="2"/>
  <c r="B378" i="2"/>
  <c r="A378" i="2" s="1"/>
  <c r="C381" i="2"/>
  <c r="D384" i="2"/>
  <c r="E387" i="2"/>
  <c r="F390" i="2"/>
  <c r="B394" i="2"/>
  <c r="A394" i="2" s="1"/>
  <c r="C397" i="2"/>
  <c r="D400" i="2"/>
  <c r="E403" i="2"/>
  <c r="F406" i="2"/>
  <c r="B410" i="2"/>
  <c r="A410" i="2" s="1"/>
  <c r="C413" i="2"/>
  <c r="D416" i="2"/>
  <c r="F420" i="2"/>
  <c r="B303" i="2"/>
  <c r="A303" i="2" s="1"/>
  <c r="C306" i="2"/>
  <c r="D309" i="2"/>
  <c r="E312" i="2"/>
  <c r="F315" i="2"/>
  <c r="B319" i="2"/>
  <c r="A319" i="2" s="1"/>
  <c r="C322" i="2"/>
  <c r="D325" i="2"/>
  <c r="E328" i="2"/>
  <c r="F331" i="2"/>
  <c r="B335" i="2"/>
  <c r="A335" i="2" s="1"/>
  <c r="C338" i="2"/>
  <c r="D341" i="2"/>
  <c r="E344" i="2"/>
  <c r="F347" i="2"/>
  <c r="B351" i="2"/>
  <c r="A351" i="2" s="1"/>
  <c r="C354" i="2"/>
  <c r="D357" i="2"/>
  <c r="E360" i="2"/>
  <c r="F363" i="2"/>
  <c r="B367" i="2"/>
  <c r="A367" i="2" s="1"/>
  <c r="C370" i="2"/>
  <c r="D373" i="2"/>
  <c r="E376" i="2"/>
  <c r="F379" i="2"/>
  <c r="B383" i="2"/>
  <c r="A383" i="2" s="1"/>
  <c r="C386" i="2"/>
  <c r="D389" i="2"/>
  <c r="E392" i="2"/>
  <c r="F395" i="2"/>
  <c r="B399" i="2"/>
  <c r="A399" i="2" s="1"/>
  <c r="C402" i="2"/>
  <c r="D405" i="2"/>
  <c r="E408" i="2"/>
  <c r="F411" i="2"/>
  <c r="B415" i="2"/>
  <c r="A415" i="2" s="1"/>
  <c r="C418" i="2"/>
  <c r="D422" i="2"/>
  <c r="E425" i="2"/>
  <c r="F428" i="2"/>
  <c r="B432" i="2"/>
  <c r="A432" i="2" s="1"/>
  <c r="C435" i="2"/>
  <c r="D438" i="2"/>
  <c r="E441" i="2"/>
  <c r="F444" i="2"/>
  <c r="B448" i="2"/>
  <c r="A448" i="2" s="1"/>
  <c r="C451" i="2"/>
  <c r="D454" i="2"/>
  <c r="E457" i="2"/>
  <c r="F460" i="2"/>
  <c r="B464" i="2"/>
  <c r="A464" i="2" s="1"/>
  <c r="C467" i="2"/>
  <c r="D470" i="2"/>
  <c r="E473" i="2"/>
  <c r="F476" i="2"/>
  <c r="B480" i="2"/>
  <c r="A480" i="2" s="1"/>
  <c r="C483" i="2"/>
  <c r="D486" i="2"/>
  <c r="E489" i="2"/>
  <c r="F492" i="2"/>
  <c r="B496" i="2"/>
  <c r="A496" i="2" s="1"/>
  <c r="C499" i="2"/>
  <c r="D502" i="2"/>
  <c r="E505" i="2"/>
  <c r="F508" i="2"/>
  <c r="B512" i="2"/>
  <c r="A512" i="2" s="1"/>
  <c r="C515" i="2"/>
  <c r="D518" i="2"/>
  <c r="E521" i="2"/>
  <c r="F524" i="2"/>
  <c r="B528" i="2"/>
  <c r="A528" i="2" s="1"/>
  <c r="C531" i="2"/>
  <c r="D534" i="2"/>
  <c r="E537" i="2"/>
  <c r="F540" i="2"/>
  <c r="B544" i="2"/>
  <c r="A544" i="2" s="1"/>
  <c r="C547" i="2"/>
  <c r="D550" i="2"/>
  <c r="E553" i="2"/>
  <c r="F556" i="2"/>
  <c r="E561" i="2"/>
  <c r="E422" i="2"/>
  <c r="F425" i="2"/>
  <c r="B429" i="2"/>
  <c r="A429" i="2" s="1"/>
  <c r="C432" i="2"/>
  <c r="D435" i="2"/>
  <c r="E438" i="2"/>
  <c r="F441" i="2"/>
  <c r="B445" i="2"/>
  <c r="A445" i="2" s="1"/>
  <c r="C448" i="2"/>
  <c r="D451" i="2"/>
  <c r="E454" i="2"/>
  <c r="F457" i="2"/>
  <c r="B461" i="2"/>
  <c r="A461" i="2" s="1"/>
  <c r="C464" i="2"/>
  <c r="D467" i="2"/>
  <c r="E470" i="2"/>
  <c r="F473" i="2"/>
  <c r="B477" i="2"/>
  <c r="A477" i="2" s="1"/>
  <c r="C480" i="2"/>
  <c r="D483" i="2"/>
  <c r="E486" i="2"/>
  <c r="F489" i="2"/>
  <c r="B493" i="2"/>
  <c r="A493" i="2" s="1"/>
  <c r="C496" i="2"/>
  <c r="D499" i="2"/>
  <c r="E502" i="2"/>
  <c r="E506" i="2"/>
  <c r="D511" i="2"/>
  <c r="D515" i="2"/>
  <c r="D519" i="2"/>
  <c r="C524" i="2"/>
  <c r="C528" i="2"/>
  <c r="C532" i="2"/>
  <c r="B537" i="2"/>
  <c r="A537" i="2" s="1"/>
  <c r="B541" i="2"/>
  <c r="A541" i="2" s="1"/>
  <c r="B545" i="2"/>
  <c r="A545" i="2" s="1"/>
  <c r="F549" i="2"/>
  <c r="F553" i="2"/>
  <c r="F557" i="2"/>
  <c r="C425" i="2"/>
  <c r="C429" i="2"/>
  <c r="C433" i="2"/>
  <c r="B438" i="2"/>
  <c r="A438" i="2" s="1"/>
  <c r="B442" i="2"/>
  <c r="A442" i="2" s="1"/>
  <c r="B446" i="2"/>
  <c r="A446" i="2" s="1"/>
  <c r="F450" i="2"/>
  <c r="F454" i="2"/>
  <c r="F458" i="2"/>
  <c r="E463" i="2"/>
  <c r="E467" i="2"/>
  <c r="B474" i="2"/>
  <c r="A474" i="2" s="1"/>
  <c r="D480" i="2"/>
  <c r="F486" i="2"/>
  <c r="C493" i="2"/>
  <c r="E499" i="2"/>
  <c r="B506" i="2"/>
  <c r="A506" i="2" s="1"/>
  <c r="D512" i="2"/>
  <c r="F518" i="2"/>
  <c r="C525" i="2"/>
  <c r="E531" i="2"/>
  <c r="B538" i="2"/>
  <c r="A538" i="2" s="1"/>
  <c r="D544" i="2"/>
  <c r="F550" i="2"/>
  <c r="C557" i="2"/>
  <c r="D421" i="2"/>
  <c r="F427" i="2"/>
  <c r="C434" i="2"/>
  <c r="E440" i="2"/>
  <c r="B447" i="2"/>
  <c r="A447" i="2" s="1"/>
  <c r="D453" i="2"/>
  <c r="F459" i="2"/>
  <c r="C466" i="2"/>
  <c r="E472" i="2"/>
  <c r="B479" i="2"/>
  <c r="A479" i="2" s="1"/>
  <c r="D485" i="2"/>
  <c r="F491" i="2"/>
  <c r="C498" i="2"/>
  <c r="E504" i="2"/>
  <c r="B511" i="2"/>
  <c r="A511" i="2" s="1"/>
  <c r="D517" i="2"/>
  <c r="F523" i="2"/>
  <c r="C530" i="2"/>
  <c r="E536" i="2"/>
  <c r="B543" i="2"/>
  <c r="A543" i="2" s="1"/>
  <c r="D549" i="2"/>
  <c r="F555" i="2"/>
  <c r="E565" i="2"/>
  <c r="B572" i="2"/>
  <c r="A572" i="2" s="1"/>
  <c r="D578" i="2"/>
  <c r="E585" i="2"/>
  <c r="D598" i="2"/>
  <c r="E611" i="2"/>
  <c r="D647" i="2"/>
  <c r="E570" i="2"/>
  <c r="D583" i="2"/>
  <c r="C596" i="2"/>
  <c r="B609" i="2"/>
  <c r="A609" i="2" s="1"/>
  <c r="B625" i="2"/>
  <c r="A625" i="2" s="1"/>
  <c r="E563" i="2"/>
  <c r="D576" i="2"/>
  <c r="C589" i="2"/>
  <c r="B602" i="2"/>
  <c r="A602" i="2" s="1"/>
  <c r="F616" i="2"/>
  <c r="C562" i="2"/>
  <c r="B575" i="2"/>
  <c r="A575" i="2" s="1"/>
  <c r="F587" i="2"/>
  <c r="E600" i="2"/>
  <c r="D614" i="2"/>
  <c r="F640" i="2"/>
  <c r="C620" i="2"/>
  <c r="D635" i="2"/>
  <c r="D651" i="2"/>
  <c r="D667" i="2"/>
  <c r="D683" i="2"/>
  <c r="D699" i="2"/>
  <c r="F625" i="2"/>
  <c r="F643" i="2"/>
  <c r="D661" i="2"/>
  <c r="E680" i="2"/>
  <c r="D698" i="2"/>
  <c r="B657" i="2"/>
  <c r="A657" i="2" s="1"/>
  <c r="B673" i="2"/>
  <c r="A673" i="2" s="1"/>
  <c r="B689" i="2"/>
  <c r="A689" i="2" s="1"/>
  <c r="C710" i="2"/>
  <c r="F639" i="2"/>
  <c r="D657" i="2"/>
  <c r="E676" i="2"/>
  <c r="D694" i="2"/>
  <c r="C734" i="2"/>
  <c r="B747" i="2"/>
  <c r="A747" i="2" s="1"/>
  <c r="E762" i="2"/>
  <c r="D710" i="2"/>
  <c r="C723" i="2"/>
  <c r="B736" i="2"/>
  <c r="A736" i="2" s="1"/>
  <c r="F748" i="2"/>
  <c r="B776" i="2"/>
  <c r="A776" i="2" s="1"/>
  <c r="B713" i="2"/>
  <c r="A713" i="2" s="1"/>
  <c r="F725" i="2"/>
  <c r="E738" i="2"/>
  <c r="F8" i="2"/>
  <c r="F25" i="2"/>
  <c r="F89" i="2"/>
  <c r="F137" i="2"/>
  <c r="F46" i="2"/>
  <c r="F94" i="2"/>
  <c r="F170" i="2"/>
  <c r="F218" i="2"/>
  <c r="F59" i="2"/>
  <c r="F75" i="2"/>
  <c r="F91" i="2"/>
  <c r="F171" i="2"/>
  <c r="F219" i="2"/>
  <c r="F267" i="2"/>
  <c r="F20" i="2"/>
  <c r="F132" i="2"/>
  <c r="F180" i="2"/>
  <c r="F228" i="2"/>
  <c r="F276" i="2"/>
  <c r="F291" i="2"/>
  <c r="F332" i="2"/>
  <c r="F348" i="2"/>
  <c r="F364" i="2"/>
  <c r="F412" i="2"/>
  <c r="E11" i="2"/>
  <c r="E170" i="2"/>
  <c r="E266" i="2"/>
  <c r="C144" i="2"/>
  <c r="C240" i="2"/>
  <c r="D13" i="2"/>
  <c r="C29" i="2"/>
  <c r="C41" i="2"/>
  <c r="C49" i="2"/>
  <c r="C61" i="2"/>
  <c r="C69" i="2"/>
  <c r="C81" i="2"/>
  <c r="C97" i="2"/>
  <c r="C105" i="2"/>
  <c r="C117" i="2"/>
  <c r="C129" i="2"/>
  <c r="F141" i="2"/>
  <c r="F189" i="2"/>
  <c r="F237" i="2"/>
  <c r="C3" i="2"/>
  <c r="E9" i="2"/>
  <c r="F21" i="2"/>
  <c r="F37" i="2"/>
  <c r="E47" i="2"/>
  <c r="E63" i="2"/>
  <c r="F85" i="2"/>
  <c r="F101" i="2"/>
  <c r="F117" i="2"/>
  <c r="F133" i="2"/>
  <c r="E222" i="2"/>
  <c r="E14" i="2"/>
  <c r="F66" i="2"/>
  <c r="F98" i="2"/>
  <c r="F161" i="2"/>
  <c r="F193" i="2"/>
  <c r="F257" i="2"/>
  <c r="E155" i="2"/>
  <c r="C165" i="2"/>
  <c r="F174" i="2"/>
  <c r="D184" i="2"/>
  <c r="E203" i="2"/>
  <c r="C213" i="2"/>
  <c r="F222" i="2"/>
  <c r="D232" i="2"/>
  <c r="E251" i="2"/>
  <c r="C261" i="2"/>
  <c r="F270" i="2"/>
  <c r="C282" i="2"/>
  <c r="C307" i="2"/>
  <c r="D25" i="2"/>
  <c r="F31" i="2"/>
  <c r="C38" i="2"/>
  <c r="F47" i="2"/>
  <c r="D57" i="2"/>
  <c r="E76" i="2"/>
  <c r="C86" i="2"/>
  <c r="F95" i="2"/>
  <c r="D105" i="2"/>
  <c r="E124" i="2"/>
  <c r="C134" i="2"/>
  <c r="F143" i="2"/>
  <c r="D153" i="2"/>
  <c r="E156" i="2"/>
  <c r="C166" i="2"/>
  <c r="E188" i="2"/>
  <c r="C198" i="2"/>
  <c r="F207" i="2"/>
  <c r="D217" i="2"/>
  <c r="E236" i="2"/>
  <c r="C246" i="2"/>
  <c r="E268" i="2"/>
  <c r="C278" i="2"/>
  <c r="D289" i="2"/>
  <c r="D302" i="2"/>
  <c r="E21" i="2"/>
  <c r="C31" i="2"/>
  <c r="F40" i="2"/>
  <c r="D50" i="2"/>
  <c r="F56" i="2"/>
  <c r="D66" i="2"/>
  <c r="F72" i="2"/>
  <c r="D82" i="2"/>
  <c r="F88" i="2"/>
  <c r="D98" i="2"/>
  <c r="E133" i="2"/>
  <c r="C143" i="2"/>
  <c r="F152" i="2"/>
  <c r="D162" i="2"/>
  <c r="E165" i="2"/>
  <c r="C175" i="2"/>
  <c r="F184" i="2"/>
  <c r="D194" i="2"/>
  <c r="E213" i="2"/>
  <c r="C223" i="2"/>
  <c r="D242" i="2"/>
  <c r="C255" i="2"/>
  <c r="F1001" i="2"/>
  <c r="E998" i="2"/>
  <c r="D995" i="2"/>
  <c r="C992" i="2"/>
  <c r="B989" i="2"/>
  <c r="A989" i="2" s="1"/>
  <c r="F985" i="2"/>
  <c r="E982" i="2"/>
  <c r="D979" i="2"/>
  <c r="C976" i="2"/>
  <c r="B973" i="2"/>
  <c r="A973" i="2" s="1"/>
  <c r="F969" i="2"/>
  <c r="B999" i="2"/>
  <c r="A999" i="2" s="1"/>
  <c r="F995" i="2"/>
  <c r="E992" i="2"/>
  <c r="D989" i="2"/>
  <c r="C986" i="2"/>
  <c r="B983" i="2"/>
  <c r="A983" i="2" s="1"/>
  <c r="F994" i="2"/>
  <c r="F986" i="2"/>
  <c r="B979" i="2"/>
  <c r="A979" i="2" s="1"/>
  <c r="E975" i="2"/>
  <c r="F970" i="2"/>
  <c r="E999" i="2"/>
  <c r="E995" i="2"/>
  <c r="E991" i="2"/>
  <c r="E987" i="2"/>
  <c r="E983" i="2"/>
  <c r="F979" i="2"/>
  <c r="C975" i="2"/>
  <c r="F971" i="2"/>
  <c r="E967" i="2"/>
  <c r="D964" i="2"/>
  <c r="C961" i="2"/>
  <c r="B958" i="2"/>
  <c r="A958" i="2" s="1"/>
  <c r="C999" i="2"/>
  <c r="C995" i="2"/>
  <c r="C991" i="2"/>
  <c r="C987" i="2"/>
  <c r="C983" i="2"/>
  <c r="E979" i="2"/>
  <c r="F974" i="2"/>
  <c r="C970" i="2"/>
  <c r="D982" i="2"/>
  <c r="C967" i="2"/>
  <c r="D963" i="2"/>
  <c r="B959" i="2"/>
  <c r="A959" i="2" s="1"/>
  <c r="D955" i="2"/>
  <c r="C952" i="2"/>
  <c r="B949" i="2"/>
  <c r="A949" i="2" s="1"/>
  <c r="F945" i="2"/>
  <c r="E942" i="2"/>
  <c r="D939" i="2"/>
  <c r="C936" i="2"/>
  <c r="B933" i="2"/>
  <c r="A933" i="2" s="1"/>
  <c r="E980" i="2"/>
  <c r="B967" i="2"/>
  <c r="A967" i="2" s="1"/>
  <c r="C963" i="2"/>
  <c r="D958" i="2"/>
  <c r="C955" i="2"/>
  <c r="B952" i="2"/>
  <c r="A952" i="2" s="1"/>
  <c r="F948" i="2"/>
  <c r="E945" i="2"/>
  <c r="D942" i="2"/>
  <c r="C939" i="2"/>
  <c r="B936" i="2"/>
  <c r="A936" i="2" s="1"/>
  <c r="F932" i="2"/>
  <c r="C979" i="2"/>
  <c r="E965" i="2"/>
  <c r="B961" i="2"/>
  <c r="A961" i="2" s="1"/>
  <c r="E957" i="2"/>
  <c r="C954" i="2"/>
  <c r="B951" i="2"/>
  <c r="A951" i="2" s="1"/>
  <c r="F947" i="2"/>
  <c r="E944" i="2"/>
  <c r="D941" i="2"/>
  <c r="C938" i="2"/>
  <c r="B935" i="2"/>
  <c r="A935" i="2" s="1"/>
  <c r="E977" i="2"/>
  <c r="F967" i="2"/>
  <c r="D962" i="2"/>
  <c r="D957" i="2"/>
  <c r="B954" i="2"/>
  <c r="A954" i="2" s="1"/>
  <c r="F950" i="2"/>
  <c r="E947" i="2"/>
  <c r="D944" i="2"/>
  <c r="B934" i="2"/>
  <c r="A934" i="2" s="1"/>
  <c r="C929" i="2"/>
  <c r="B926" i="2"/>
  <c r="A926" i="2" s="1"/>
  <c r="F922" i="2"/>
  <c r="E919" i="2"/>
  <c r="D916" i="2"/>
  <c r="C913" i="2"/>
  <c r="B910" i="2"/>
  <c r="A910" i="2" s="1"/>
  <c r="F906" i="2"/>
  <c r="E903" i="2"/>
  <c r="D900" i="2"/>
  <c r="C897" i="2"/>
  <c r="B894" i="2"/>
  <c r="A894" i="2" s="1"/>
  <c r="F890" i="2"/>
  <c r="F938" i="2"/>
  <c r="F930" i="2"/>
  <c r="D927" i="2"/>
  <c r="C924" i="2"/>
  <c r="B921" i="2"/>
  <c r="A921" i="2" s="1"/>
  <c r="F917" i="2"/>
  <c r="E914" i="2"/>
  <c r="D911" i="2"/>
  <c r="C908" i="2"/>
  <c r="B905" i="2"/>
  <c r="A905" i="2" s="1"/>
  <c r="F901" i="2"/>
  <c r="E898" i="2"/>
  <c r="D895" i="2"/>
  <c r="C892" i="2"/>
  <c r="B938" i="2"/>
  <c r="A938" i="2" s="1"/>
  <c r="E929" i="2"/>
  <c r="D926" i="2"/>
  <c r="C923" i="2"/>
  <c r="B920" i="2"/>
  <c r="A920" i="2" s="1"/>
  <c r="F916" i="2"/>
  <c r="E913" i="2"/>
  <c r="D910" i="2"/>
  <c r="C907" i="2"/>
  <c r="B904" i="2"/>
  <c r="A904" i="2" s="1"/>
  <c r="F900" i="2"/>
  <c r="F942" i="2"/>
  <c r="C930" i="2"/>
  <c r="B927" i="2"/>
  <c r="A927" i="2" s="1"/>
  <c r="F923" i="2"/>
  <c r="E920" i="2"/>
  <c r="D917" i="2"/>
  <c r="C914" i="2"/>
  <c r="B911" i="2"/>
  <c r="A911" i="2" s="1"/>
  <c r="F907" i="2"/>
  <c r="E904" i="2"/>
  <c r="D901" i="2"/>
  <c r="B891" i="2"/>
  <c r="A891" i="2" s="1"/>
  <c r="D887" i="2"/>
  <c r="C884" i="2"/>
  <c r="B881" i="2"/>
  <c r="A881" i="2" s="1"/>
  <c r="F877" i="2"/>
  <c r="E874" i="2"/>
  <c r="D871" i="2"/>
  <c r="C868" i="2"/>
  <c r="B865" i="2"/>
  <c r="A865" i="2" s="1"/>
  <c r="F861" i="2"/>
  <c r="E858" i="2"/>
  <c r="D855" i="2"/>
  <c r="C852" i="2"/>
  <c r="B849" i="2"/>
  <c r="A849" i="2" s="1"/>
  <c r="F845" i="2"/>
  <c r="E842" i="2"/>
  <c r="D839" i="2"/>
  <c r="C836" i="2"/>
  <c r="B833" i="2"/>
  <c r="A833" i="2" s="1"/>
  <c r="F829" i="2"/>
  <c r="F896" i="2"/>
  <c r="C888" i="2"/>
  <c r="F884" i="2"/>
  <c r="E881" i="2"/>
  <c r="D878" i="2"/>
  <c r="C875" i="2"/>
  <c r="B872" i="2"/>
  <c r="A872" i="2" s="1"/>
  <c r="F868" i="2"/>
  <c r="E865" i="2"/>
  <c r="D862" i="2"/>
  <c r="C859" i="2"/>
  <c r="B856" i="2"/>
  <c r="A856" i="2" s="1"/>
  <c r="F852" i="2"/>
  <c r="E849" i="2"/>
  <c r="D846" i="2"/>
  <c r="C843" i="2"/>
  <c r="B840" i="2"/>
  <c r="A840" i="2" s="1"/>
  <c r="F836" i="2"/>
  <c r="E833" i="2"/>
  <c r="D830" i="2"/>
  <c r="C827" i="2"/>
  <c r="E896" i="2"/>
  <c r="F891" i="2"/>
  <c r="B887" i="2"/>
  <c r="A887" i="2" s="1"/>
  <c r="F883" i="2"/>
  <c r="E880" i="2"/>
  <c r="D877" i="2"/>
  <c r="C874" i="2"/>
  <c r="B871" i="2"/>
  <c r="A871" i="2" s="1"/>
  <c r="F867" i="2"/>
  <c r="E864" i="2"/>
  <c r="D861" i="2"/>
  <c r="C858" i="2"/>
  <c r="B855" i="2"/>
  <c r="A855" i="2" s="1"/>
  <c r="F851" i="2"/>
  <c r="E848" i="2"/>
  <c r="D845" i="2"/>
  <c r="C842" i="2"/>
  <c r="B839" i="2"/>
  <c r="A839" i="2" s="1"/>
  <c r="F835" i="2"/>
  <c r="E832" i="2"/>
  <c r="D829" i="2"/>
  <c r="C826" i="2"/>
  <c r="B896" i="2"/>
  <c r="A896" i="2" s="1"/>
  <c r="B892" i="2"/>
  <c r="A892" i="2" s="1"/>
  <c r="F888" i="2"/>
  <c r="C885" i="2"/>
  <c r="B882" i="2"/>
  <c r="A882" i="2" s="1"/>
  <c r="F878" i="2"/>
  <c r="E875" i="2"/>
  <c r="D872" i="2"/>
  <c r="C869" i="2"/>
  <c r="B866" i="2"/>
  <c r="A866" i="2" s="1"/>
  <c r="F862" i="2"/>
  <c r="E859" i="2"/>
  <c r="D856" i="2"/>
  <c r="C853" i="2"/>
  <c r="B850" i="2"/>
  <c r="A850" i="2" s="1"/>
  <c r="F846" i="2"/>
  <c r="E843" i="2"/>
  <c r="D840" i="2"/>
  <c r="C837" i="2"/>
  <c r="B834" i="2"/>
  <c r="A834" i="2" s="1"/>
  <c r="F830" i="2"/>
  <c r="E827" i="2"/>
  <c r="E826" i="2"/>
  <c r="C822" i="2"/>
  <c r="B819" i="2"/>
  <c r="A819" i="2" s="1"/>
  <c r="F815" i="2"/>
  <c r="E812" i="2"/>
  <c r="D809" i="2"/>
  <c r="C806" i="2"/>
  <c r="B803" i="2"/>
  <c r="A803" i="2" s="1"/>
  <c r="F799" i="2"/>
  <c r="E796" i="2"/>
  <c r="D793" i="2"/>
  <c r="C790" i="2"/>
  <c r="B787" i="2"/>
  <c r="A787" i="2" s="1"/>
  <c r="F783" i="2"/>
  <c r="E780" i="2"/>
  <c r="D777" i="2"/>
  <c r="C774" i="2"/>
  <c r="B771" i="2"/>
  <c r="A771" i="2" s="1"/>
  <c r="F767" i="2"/>
  <c r="E764" i="2"/>
  <c r="D761" i="2"/>
  <c r="C758" i="2"/>
  <c r="B755" i="2"/>
  <c r="A755" i="2" s="1"/>
  <c r="F822" i="2"/>
  <c r="E819" i="2"/>
  <c r="D816" i="2"/>
  <c r="C813" i="2"/>
  <c r="B810" i="2"/>
  <c r="A810" i="2" s="1"/>
  <c r="F806" i="2"/>
  <c r="E803" i="2"/>
  <c r="D800" i="2"/>
  <c r="C797" i="2"/>
  <c r="B794" i="2"/>
  <c r="A794" i="2" s="1"/>
  <c r="F790" i="2"/>
  <c r="E787" i="2"/>
  <c r="D784" i="2"/>
  <c r="C781" i="2"/>
  <c r="B778" i="2"/>
  <c r="A778" i="2" s="1"/>
  <c r="F774" i="2"/>
  <c r="E771" i="2"/>
  <c r="D768" i="2"/>
  <c r="C765" i="2"/>
  <c r="B762" i="2"/>
  <c r="A762" i="2" s="1"/>
  <c r="F758" i="2"/>
  <c r="E825" i="2"/>
  <c r="F821" i="2"/>
  <c r="E818" i="2"/>
  <c r="D815" i="2"/>
  <c r="C812" i="2"/>
  <c r="B809" i="2"/>
  <c r="A809" i="2" s="1"/>
  <c r="F805" i="2"/>
  <c r="E802" i="2"/>
  <c r="D799" i="2"/>
  <c r="C796" i="2"/>
  <c r="B793" i="2"/>
  <c r="A793" i="2" s="1"/>
  <c r="F789" i="2"/>
  <c r="E786" i="2"/>
  <c r="D783" i="2"/>
  <c r="C780" i="2"/>
  <c r="B777" i="2"/>
  <c r="A777" i="2" s="1"/>
  <c r="F773" i="2"/>
  <c r="E770" i="2"/>
  <c r="D767" i="2"/>
  <c r="C764" i="2"/>
  <c r="F824" i="2"/>
  <c r="E821" i="2"/>
  <c r="D818" i="2"/>
  <c r="C815" i="2"/>
  <c r="B812" i="2"/>
  <c r="A812" i="2" s="1"/>
  <c r="F808" i="2"/>
  <c r="E805" i="2"/>
  <c r="D802" i="2"/>
  <c r="C799" i="2"/>
  <c r="B796" i="2"/>
  <c r="A796" i="2" s="1"/>
  <c r="F792" i="2"/>
  <c r="E789" i="2"/>
  <c r="D786" i="2"/>
  <c r="E777" i="2"/>
  <c r="C767" i="2"/>
  <c r="C760" i="2"/>
  <c r="C756" i="2"/>
  <c r="D752" i="2"/>
  <c r="C749" i="2"/>
  <c r="B746" i="2"/>
  <c r="A746" i="2" s="1"/>
  <c r="F742" i="2"/>
  <c r="E739" i="2"/>
  <c r="D736" i="2"/>
  <c r="C733" i="2"/>
  <c r="B730" i="2"/>
  <c r="A730" i="2" s="1"/>
  <c r="F726" i="2"/>
  <c r="E723" i="2"/>
  <c r="D720" i="2"/>
  <c r="C717" i="2"/>
  <c r="B714" i="2"/>
  <c r="A714" i="2" s="1"/>
  <c r="F710" i="2"/>
  <c r="E707" i="2"/>
  <c r="D704" i="2"/>
  <c r="C701" i="2"/>
  <c r="B698" i="2"/>
  <c r="A698" i="2" s="1"/>
  <c r="F694" i="2"/>
  <c r="E691" i="2"/>
  <c r="D688" i="2"/>
  <c r="C685" i="2"/>
  <c r="B682" i="2"/>
  <c r="A682" i="2" s="1"/>
  <c r="F678" i="2"/>
  <c r="E675" i="2"/>
  <c r="D672" i="2"/>
  <c r="C669" i="2"/>
  <c r="B666" i="2"/>
  <c r="A666" i="2" s="1"/>
  <c r="F662" i="2"/>
  <c r="E659" i="2"/>
  <c r="D656" i="2"/>
  <c r="C653" i="2"/>
  <c r="B650" i="2"/>
  <c r="A650" i="2" s="1"/>
  <c r="F646" i="2"/>
  <c r="E643" i="2"/>
  <c r="D640" i="2"/>
  <c r="C637" i="2"/>
  <c r="B634" i="2"/>
  <c r="A634" i="2" s="1"/>
  <c r="F630" i="2"/>
  <c r="E627" i="2"/>
  <c r="D624" i="2"/>
  <c r="D774" i="2"/>
  <c r="C759" i="2"/>
  <c r="F753" i="2"/>
  <c r="E750" i="2"/>
  <c r="D747" i="2"/>
  <c r="C744" i="2"/>
  <c r="B741" i="2"/>
  <c r="A741" i="2" s="1"/>
  <c r="F737" i="2"/>
  <c r="E734" i="2"/>
  <c r="D731" i="2"/>
  <c r="C728" i="2"/>
  <c r="B725" i="2"/>
  <c r="A725" i="2" s="1"/>
  <c r="F721" i="2"/>
  <c r="E718" i="2"/>
  <c r="D715" i="2"/>
  <c r="C712" i="2"/>
  <c r="B709" i="2"/>
  <c r="A709" i="2" s="1"/>
  <c r="F705" i="2"/>
  <c r="B784" i="2"/>
  <c r="A784" i="2" s="1"/>
  <c r="E773" i="2"/>
  <c r="C763" i="2"/>
  <c r="D754" i="2"/>
  <c r="C751" i="2"/>
  <c r="B748" i="2"/>
  <c r="A748" i="2" s="1"/>
  <c r="F744" i="2"/>
  <c r="E741" i="2"/>
  <c r="D738" i="2"/>
  <c r="C735" i="2"/>
  <c r="B732" i="2"/>
  <c r="A732" i="2" s="1"/>
  <c r="F728" i="2"/>
  <c r="E725" i="2"/>
  <c r="D722" i="2"/>
  <c r="C719" i="2"/>
  <c r="B716" i="2"/>
  <c r="A716" i="2" s="1"/>
  <c r="F712" i="2"/>
  <c r="E709" i="2"/>
  <c r="D706" i="2"/>
  <c r="C703" i="2"/>
  <c r="F772" i="2"/>
  <c r="E761" i="2"/>
  <c r="F756" i="2"/>
  <c r="E752" i="2"/>
  <c r="D749" i="2"/>
  <c r="C746" i="2"/>
  <c r="B743" i="2"/>
  <c r="A743" i="2" s="1"/>
  <c r="F739" i="2"/>
  <c r="E736" i="2"/>
  <c r="D733" i="2"/>
  <c r="D721" i="2"/>
  <c r="D705" i="2"/>
  <c r="D697" i="2"/>
  <c r="F693" i="2"/>
  <c r="B688" i="2"/>
  <c r="A688" i="2" s="1"/>
  <c r="E684" i="2"/>
  <c r="F679" i="2"/>
  <c r="C675" i="2"/>
  <c r="D670" i="2"/>
  <c r="D665" i="2"/>
  <c r="F661" i="2"/>
  <c r="B656" i="2"/>
  <c r="A656" i="2" s="1"/>
  <c r="E652" i="2"/>
  <c r="F647" i="2"/>
  <c r="C643" i="2"/>
  <c r="D638" i="2"/>
  <c r="D633" i="2"/>
  <c r="E728" i="2"/>
  <c r="C718" i="2"/>
  <c r="B707" i="2"/>
  <c r="A707" i="2" s="1"/>
  <c r="C700" i="2"/>
  <c r="F696" i="2"/>
  <c r="C692" i="2"/>
  <c r="F688" i="2"/>
  <c r="C684" i="2"/>
  <c r="F680" i="2"/>
  <c r="C676" i="2"/>
  <c r="F672" i="2"/>
  <c r="C668" i="2"/>
  <c r="F664" i="2"/>
  <c r="C660" i="2"/>
  <c r="F656" i="2"/>
  <c r="F727" i="2"/>
  <c r="F711" i="2"/>
  <c r="D701" i="2"/>
  <c r="F697" i="2"/>
  <c r="B692" i="2"/>
  <c r="A692" i="2" s="1"/>
  <c r="E688" i="2"/>
  <c r="F683" i="2"/>
  <c r="C679" i="2"/>
  <c r="D674" i="2"/>
  <c r="D669" i="2"/>
  <c r="F665" i="2"/>
  <c r="B660" i="2"/>
  <c r="A660" i="2" s="1"/>
  <c r="E656" i="2"/>
  <c r="F651" i="2"/>
  <c r="C647" i="2"/>
  <c r="D642" i="2"/>
  <c r="D637" i="2"/>
  <c r="F633" i="2"/>
  <c r="B628" i="2"/>
  <c r="A628" i="2" s="1"/>
  <c r="E624" i="2"/>
  <c r="E724" i="2"/>
  <c r="C714" i="2"/>
  <c r="B703" i="2"/>
  <c r="A703" i="2" s="1"/>
  <c r="C698" i="2"/>
  <c r="E694" i="2"/>
  <c r="C690" i="2"/>
  <c r="E686" i="2"/>
  <c r="C682" i="2"/>
  <c r="E678" i="2"/>
  <c r="C674" i="2"/>
  <c r="E670" i="2"/>
  <c r="C666" i="2"/>
  <c r="E662" i="2"/>
  <c r="C658" i="2"/>
  <c r="E654" i="2"/>
  <c r="C650" i="2"/>
  <c r="E646" i="2"/>
  <c r="C642" i="2"/>
  <c r="E638" i="2"/>
  <c r="C634" i="2"/>
  <c r="E630" i="2"/>
  <c r="C626" i="2"/>
  <c r="E622" i="2"/>
  <c r="D619" i="2"/>
  <c r="C616" i="2"/>
  <c r="B613" i="2"/>
  <c r="A613" i="2" s="1"/>
  <c r="E650" i="2"/>
  <c r="B635" i="2"/>
  <c r="A635" i="2" s="1"/>
  <c r="B627" i="2"/>
  <c r="A627" i="2" s="1"/>
  <c r="C621" i="2"/>
  <c r="E617" i="2"/>
  <c r="C613" i="2"/>
  <c r="D609" i="2"/>
  <c r="C606" i="2"/>
  <c r="B603" i="2"/>
  <c r="A603" i="2" s="1"/>
  <c r="F599" i="2"/>
  <c r="E596" i="2"/>
  <c r="D593" i="2"/>
  <c r="C590" i="2"/>
  <c r="B587" i="2"/>
  <c r="A587" i="2" s="1"/>
  <c r="F583" i="2"/>
  <c r="E580" i="2"/>
  <c r="D577" i="2"/>
  <c r="C574" i="2"/>
  <c r="B571" i="2"/>
  <c r="A571" i="2" s="1"/>
  <c r="F567" i="2"/>
  <c r="E564" i="2"/>
  <c r="B649" i="2"/>
  <c r="A649" i="2" s="1"/>
  <c r="C630" i="2"/>
  <c r="B624" i="2"/>
  <c r="A624" i="2" s="1"/>
  <c r="B619" i="2"/>
  <c r="A619" i="2" s="1"/>
  <c r="E615" i="2"/>
  <c r="F610" i="2"/>
  <c r="E607" i="2"/>
  <c r="D604" i="2"/>
  <c r="C601" i="2"/>
  <c r="B598" i="2"/>
  <c r="A598" i="2" s="1"/>
  <c r="F594" i="2"/>
  <c r="E591" i="2"/>
  <c r="D588" i="2"/>
  <c r="C585" i="2"/>
  <c r="B582" i="2"/>
  <c r="A582" i="2" s="1"/>
  <c r="F578" i="2"/>
  <c r="E575" i="2"/>
  <c r="D572" i="2"/>
  <c r="C569" i="2"/>
  <c r="B566" i="2"/>
  <c r="A566" i="2" s="1"/>
  <c r="F562" i="2"/>
  <c r="E559" i="2"/>
  <c r="B643" i="2"/>
  <c r="A643" i="2" s="1"/>
  <c r="F632" i="2"/>
  <c r="C623" i="2"/>
  <c r="F619" i="2"/>
  <c r="C615" i="2"/>
  <c r="F611" i="2"/>
  <c r="C608" i="2"/>
  <c r="B605" i="2"/>
  <c r="A605" i="2" s="1"/>
  <c r="F601" i="2"/>
  <c r="E598" i="2"/>
  <c r="D595" i="2"/>
  <c r="C592" i="2"/>
  <c r="B589" i="2"/>
  <c r="A589" i="2" s="1"/>
  <c r="F585" i="2"/>
  <c r="E582" i="2"/>
  <c r="D579" i="2"/>
  <c r="C576" i="2"/>
  <c r="B573" i="2"/>
  <c r="A573" i="2" s="1"/>
  <c r="F569" i="2"/>
  <c r="E566" i="2"/>
  <c r="D563" i="2"/>
  <c r="C560" i="2"/>
  <c r="B641" i="2"/>
  <c r="A641" i="2" s="1"/>
  <c r="B623" i="2"/>
  <c r="A623" i="2" s="1"/>
  <c r="E619" i="2"/>
  <c r="F614" i="2"/>
  <c r="D610" i="2"/>
  <c r="C607" i="2"/>
  <c r="B604" i="2"/>
  <c r="A604" i="2" s="1"/>
  <c r="F600" i="2"/>
  <c r="E597" i="2"/>
  <c r="D594" i="2"/>
  <c r="C591" i="2"/>
  <c r="B588" i="2"/>
  <c r="A588" i="2" s="1"/>
  <c r="F584" i="2"/>
  <c r="B1001" i="2"/>
  <c r="A1001" i="2" s="1"/>
  <c r="F997" i="2"/>
  <c r="E994" i="2"/>
  <c r="D991" i="2"/>
  <c r="C988" i="2"/>
  <c r="B985" i="2"/>
  <c r="A985" i="2" s="1"/>
  <c r="F981" i="2"/>
  <c r="E978" i="2"/>
  <c r="D975" i="2"/>
  <c r="C972" i="2"/>
  <c r="D1001" i="2"/>
  <c r="C998" i="2"/>
  <c r="B995" i="2"/>
  <c r="A995" i="2" s="1"/>
  <c r="F991" i="2"/>
  <c r="E988" i="2"/>
  <c r="D985" i="2"/>
  <c r="F1000" i="2"/>
  <c r="F992" i="2"/>
  <c r="F984" i="2"/>
  <c r="F978" i="2"/>
  <c r="C974" i="2"/>
  <c r="D969" i="2"/>
  <c r="D998" i="2"/>
  <c r="D994" i="2"/>
  <c r="D990" i="2"/>
  <c r="D986" i="2"/>
  <c r="B982" i="2"/>
  <c r="A982" i="2" s="1"/>
  <c r="D978" i="2"/>
  <c r="B974" i="2"/>
  <c r="A974" i="2" s="1"/>
  <c r="D970" i="2"/>
  <c r="F966" i="2"/>
  <c r="E963" i="2"/>
  <c r="D960" i="2"/>
  <c r="C957" i="2"/>
  <c r="B998" i="2"/>
  <c r="A998" i="2" s="1"/>
  <c r="B994" i="2"/>
  <c r="A994" i="2" s="1"/>
  <c r="B990" i="2"/>
  <c r="A990" i="2" s="1"/>
  <c r="B986" i="2"/>
  <c r="A986" i="2" s="1"/>
  <c r="F982" i="2"/>
  <c r="C978" i="2"/>
  <c r="D973" i="2"/>
  <c r="B969" i="2"/>
  <c r="A969" i="2" s="1"/>
  <c r="B976" i="2"/>
  <c r="A976" i="2" s="1"/>
  <c r="E966" i="2"/>
  <c r="C962" i="2"/>
  <c r="E958" i="2"/>
  <c r="E954" i="2"/>
  <c r="D951" i="2"/>
  <c r="C948" i="2"/>
  <c r="B945" i="2"/>
  <c r="A945" i="2" s="1"/>
  <c r="F941" i="2"/>
  <c r="E938" i="2"/>
  <c r="D935" i="2"/>
  <c r="C932" i="2"/>
  <c r="F975" i="2"/>
  <c r="D966" i="2"/>
  <c r="D961" i="2"/>
  <c r="F957" i="2"/>
  <c r="D954" i="2"/>
  <c r="C951" i="2"/>
  <c r="B948" i="2"/>
  <c r="A948" i="2" s="1"/>
  <c r="F944" i="2"/>
  <c r="E941" i="2"/>
  <c r="D938" i="2"/>
  <c r="C935" i="2"/>
  <c r="B932" i="2"/>
  <c r="A932" i="2" s="1"/>
  <c r="D974" i="2"/>
  <c r="C964" i="2"/>
  <c r="F960" i="2"/>
  <c r="E956" i="2"/>
  <c r="D953" i="2"/>
  <c r="C950" i="2"/>
  <c r="B947" i="2"/>
  <c r="A947" i="2" s="1"/>
  <c r="F943" i="2"/>
  <c r="E940" i="2"/>
  <c r="D937" i="2"/>
  <c r="C934" i="2"/>
  <c r="C973" i="2"/>
  <c r="D965" i="2"/>
  <c r="F961" i="2"/>
  <c r="D956" i="2"/>
  <c r="C953" i="2"/>
  <c r="B950" i="2"/>
  <c r="A950" i="2" s="1"/>
  <c r="F946" i="2"/>
  <c r="B942" i="2"/>
  <c r="A942" i="2" s="1"/>
  <c r="E932" i="2"/>
  <c r="D928" i="2"/>
  <c r="C925" i="2"/>
  <c r="B922" i="2"/>
  <c r="A922" i="2" s="1"/>
  <c r="F918" i="2"/>
  <c r="E915" i="2"/>
  <c r="D912" i="2"/>
  <c r="C909" i="2"/>
  <c r="B906" i="2"/>
  <c r="A906" i="2" s="1"/>
  <c r="F902" i="2"/>
  <c r="E899" i="2"/>
  <c r="D896" i="2"/>
  <c r="C893" i="2"/>
  <c r="B890" i="2"/>
  <c r="A890" i="2" s="1"/>
  <c r="D936" i="2"/>
  <c r="F929" i="2"/>
  <c r="E926" i="2"/>
  <c r="D923" i="2"/>
  <c r="C920" i="2"/>
  <c r="B917" i="2"/>
  <c r="A917" i="2" s="1"/>
  <c r="F913" i="2"/>
  <c r="E910" i="2"/>
  <c r="D907" i="2"/>
  <c r="C904" i="2"/>
  <c r="B901" i="2"/>
  <c r="A901" i="2" s="1"/>
  <c r="F897" i="2"/>
  <c r="E894" i="2"/>
  <c r="D891" i="2"/>
  <c r="E935" i="2"/>
  <c r="F928" i="2"/>
  <c r="E925" i="2"/>
  <c r="D922" i="2"/>
  <c r="C919" i="2"/>
  <c r="B916" i="2"/>
  <c r="A916" i="2" s="1"/>
  <c r="F912" i="2"/>
  <c r="E909" i="2"/>
  <c r="D906" i="2"/>
  <c r="C903" i="2"/>
  <c r="B900" i="2"/>
  <c r="A900" i="2" s="1"/>
  <c r="D940" i="2"/>
  <c r="D929" i="2"/>
  <c r="C926" i="2"/>
  <c r="B923" i="2"/>
  <c r="A923" i="2" s="1"/>
  <c r="F919" i="2"/>
  <c r="E916" i="2"/>
  <c r="D913" i="2"/>
  <c r="C910" i="2"/>
  <c r="B907" i="2"/>
  <c r="A907" i="2" s="1"/>
  <c r="F903" i="2"/>
  <c r="E900" i="2"/>
  <c r="D890" i="2"/>
  <c r="E886" i="2"/>
  <c r="D883" i="2"/>
  <c r="C880" i="2"/>
  <c r="B877" i="2"/>
  <c r="A877" i="2" s="1"/>
  <c r="F873" i="2"/>
  <c r="E870" i="2"/>
  <c r="D867" i="2"/>
  <c r="C864" i="2"/>
  <c r="B861" i="2"/>
  <c r="A861" i="2" s="1"/>
  <c r="F857" i="2"/>
  <c r="E854" i="2"/>
  <c r="D851" i="2"/>
  <c r="C848" i="2"/>
  <c r="B845" i="2"/>
  <c r="A845" i="2" s="1"/>
  <c r="F841" i="2"/>
  <c r="E838" i="2"/>
  <c r="D835" i="2"/>
  <c r="C832" i="2"/>
  <c r="B829" i="2"/>
  <c r="A829" i="2" s="1"/>
  <c r="F892" i="2"/>
  <c r="C887" i="2"/>
  <c r="B884" i="2"/>
  <c r="A884" i="2" s="1"/>
  <c r="F880" i="2"/>
  <c r="E877" i="2"/>
  <c r="D874" i="2"/>
  <c r="C871" i="2"/>
  <c r="B868" i="2"/>
  <c r="A868" i="2" s="1"/>
  <c r="F864" i="2"/>
  <c r="E861" i="2"/>
  <c r="D858" i="2"/>
  <c r="C855" i="2"/>
  <c r="B852" i="2"/>
  <c r="A852" i="2" s="1"/>
  <c r="F848" i="2"/>
  <c r="E845" i="2"/>
  <c r="D842" i="2"/>
  <c r="C839" i="2"/>
  <c r="B836" i="2"/>
  <c r="A836" i="2" s="1"/>
  <c r="F832" i="2"/>
  <c r="E829" i="2"/>
  <c r="D826" i="2"/>
  <c r="F895" i="2"/>
  <c r="D889" i="2"/>
  <c r="C886" i="2"/>
  <c r="B883" i="2"/>
  <c r="A883" i="2" s="1"/>
  <c r="F879" i="2"/>
  <c r="E876" i="2"/>
  <c r="D873" i="2"/>
  <c r="C870" i="2"/>
  <c r="B867" i="2"/>
  <c r="A867" i="2" s="1"/>
  <c r="F863" i="2"/>
  <c r="E860" i="2"/>
  <c r="D857" i="2"/>
  <c r="C854" i="2"/>
  <c r="B851" i="2"/>
  <c r="A851" i="2" s="1"/>
  <c r="F847" i="2"/>
  <c r="E844" i="2"/>
  <c r="D841" i="2"/>
  <c r="C838" i="2"/>
  <c r="B835" i="2"/>
  <c r="A835" i="2" s="1"/>
  <c r="F831" i="2"/>
  <c r="E828" i="2"/>
  <c r="D825" i="2"/>
  <c r="C895" i="2"/>
  <c r="C891" i="2"/>
  <c r="E887" i="2"/>
  <c r="D884" i="2"/>
  <c r="C881" i="2"/>
  <c r="B878" i="2"/>
  <c r="A878" i="2" s="1"/>
  <c r="F874" i="2"/>
  <c r="E871" i="2"/>
  <c r="D868" i="2"/>
  <c r="C865" i="2"/>
  <c r="B862" i="2"/>
  <c r="A862" i="2" s="1"/>
  <c r="F858" i="2"/>
  <c r="E855" i="2"/>
  <c r="D852" i="2"/>
  <c r="C849" i="2"/>
  <c r="B846" i="2"/>
  <c r="A846" i="2" s="1"/>
  <c r="F842" i="2"/>
  <c r="E839" i="2"/>
  <c r="D836" i="2"/>
  <c r="C833" i="2"/>
  <c r="B830" i="2"/>
  <c r="A830" i="2" s="1"/>
  <c r="F826" i="2"/>
  <c r="E824" i="2"/>
  <c r="D821" i="2"/>
  <c r="C818" i="2"/>
  <c r="B815" i="2"/>
  <c r="A815" i="2" s="1"/>
  <c r="F811" i="2"/>
  <c r="E808" i="2"/>
  <c r="D805" i="2"/>
  <c r="C802" i="2"/>
  <c r="B799" i="2"/>
  <c r="A799" i="2" s="1"/>
  <c r="F795" i="2"/>
  <c r="E792" i="2"/>
  <c r="D789" i="2"/>
  <c r="C786" i="2"/>
  <c r="B783" i="2"/>
  <c r="A783" i="2" s="1"/>
  <c r="F779" i="2"/>
  <c r="E776" i="2"/>
  <c r="D773" i="2"/>
  <c r="C770" i="2"/>
  <c r="B767" i="2"/>
  <c r="A767" i="2" s="1"/>
  <c r="F763" i="2"/>
  <c r="E760" i="2"/>
  <c r="D757" i="2"/>
  <c r="F825" i="2"/>
  <c r="B822" i="2"/>
  <c r="A822" i="2" s="1"/>
  <c r="F818" i="2"/>
  <c r="E815" i="2"/>
  <c r="D812" i="2"/>
  <c r="C809" i="2"/>
  <c r="B806" i="2"/>
  <c r="A806" i="2" s="1"/>
  <c r="F802" i="2"/>
  <c r="E799" i="2"/>
  <c r="D796" i="2"/>
  <c r="C793" i="2"/>
  <c r="B790" i="2"/>
  <c r="A790" i="2" s="1"/>
  <c r="F786" i="2"/>
  <c r="E783" i="2"/>
  <c r="D780" i="2"/>
  <c r="C777" i="2"/>
  <c r="B774" i="2"/>
  <c r="A774" i="2" s="1"/>
  <c r="F770" i="2"/>
  <c r="E767" i="2"/>
  <c r="D764" i="2"/>
  <c r="C761" i="2"/>
  <c r="B758" i="2"/>
  <c r="A758" i="2" s="1"/>
  <c r="C824" i="2"/>
  <c r="B821" i="2"/>
  <c r="A821" i="2" s="1"/>
  <c r="F817" i="2"/>
  <c r="E814" i="2"/>
  <c r="D811" i="2"/>
  <c r="C808" i="2"/>
  <c r="B805" i="2"/>
  <c r="A805" i="2" s="1"/>
  <c r="F801" i="2"/>
  <c r="E798" i="2"/>
  <c r="D795" i="2"/>
  <c r="C792" i="2"/>
  <c r="B789" i="2"/>
  <c r="A789" i="2" s="1"/>
  <c r="F785" i="2"/>
  <c r="E782" i="2"/>
  <c r="D779" i="2"/>
  <c r="C776" i="2"/>
  <c r="B773" i="2"/>
  <c r="A773" i="2" s="1"/>
  <c r="F769" i="2"/>
  <c r="E766" i="2"/>
  <c r="D763" i="2"/>
  <c r="B824" i="2"/>
  <c r="A824" i="2" s="1"/>
  <c r="F820" i="2"/>
  <c r="E817" i="2"/>
  <c r="D814" i="2"/>
  <c r="C811" i="2"/>
  <c r="B808" i="2"/>
  <c r="A808" i="2" s="1"/>
  <c r="F804" i="2"/>
  <c r="E801" i="2"/>
  <c r="D798" i="2"/>
  <c r="C795" i="2"/>
  <c r="B792" i="2"/>
  <c r="A792" i="2" s="1"/>
  <c r="F788" i="2"/>
  <c r="E785" i="2"/>
  <c r="C775" i="2"/>
  <c r="B764" i="2"/>
  <c r="A764" i="2" s="1"/>
  <c r="D759" i="2"/>
  <c r="F754" i="2"/>
  <c r="E751" i="2"/>
  <c r="D748" i="2"/>
  <c r="C745" i="2"/>
  <c r="B742" i="2"/>
  <c r="A742" i="2" s="1"/>
  <c r="F738" i="2"/>
  <c r="E735" i="2"/>
  <c r="D732" i="2"/>
  <c r="C729" i="2"/>
  <c r="B726" i="2"/>
  <c r="A726" i="2" s="1"/>
  <c r="F722" i="2"/>
  <c r="E719" i="2"/>
  <c r="D716" i="2"/>
  <c r="C713" i="2"/>
  <c r="B710" i="2"/>
  <c r="A710" i="2" s="1"/>
  <c r="F706" i="2"/>
  <c r="E703" i="2"/>
  <c r="D700" i="2"/>
  <c r="C697" i="2"/>
  <c r="B694" i="2"/>
  <c r="A694" i="2" s="1"/>
  <c r="F690" i="2"/>
  <c r="E687" i="2"/>
  <c r="D684" i="2"/>
  <c r="C681" i="2"/>
  <c r="B678" i="2"/>
  <c r="A678" i="2" s="1"/>
  <c r="F674" i="2"/>
  <c r="E671" i="2"/>
  <c r="D668" i="2"/>
  <c r="C665" i="2"/>
  <c r="B662" i="2"/>
  <c r="A662" i="2" s="1"/>
  <c r="F658" i="2"/>
  <c r="E655" i="2"/>
  <c r="D652" i="2"/>
  <c r="C649" i="2"/>
  <c r="B646" i="2"/>
  <c r="A646" i="2" s="1"/>
  <c r="F642" i="2"/>
  <c r="E639" i="2"/>
  <c r="D636" i="2"/>
  <c r="C633" i="2"/>
  <c r="B630" i="2"/>
  <c r="A630" i="2" s="1"/>
  <c r="F626" i="2"/>
  <c r="F784" i="2"/>
  <c r="F768" i="2"/>
  <c r="B756" i="2"/>
  <c r="A756" i="2" s="1"/>
  <c r="B753" i="2"/>
  <c r="A753" i="2" s="1"/>
  <c r="F749" i="2"/>
  <c r="E746" i="2"/>
  <c r="D743" i="2"/>
  <c r="C740" i="2"/>
  <c r="B737" i="2"/>
  <c r="A737" i="2" s="1"/>
  <c r="F733" i="2"/>
  <c r="E730" i="2"/>
  <c r="D727" i="2"/>
  <c r="C724" i="2"/>
  <c r="B721" i="2"/>
  <c r="A721" i="2" s="1"/>
  <c r="F717" i="2"/>
  <c r="E714" i="2"/>
  <c r="D711" i="2"/>
  <c r="C708" i="2"/>
  <c r="B705" i="2"/>
  <c r="A705" i="2" s="1"/>
  <c r="E781" i="2"/>
  <c r="C771" i="2"/>
  <c r="F761" i="2"/>
  <c r="E753" i="2"/>
  <c r="D750" i="2"/>
  <c r="C747" i="2"/>
  <c r="B744" i="2"/>
  <c r="A744" i="2" s="1"/>
  <c r="F740" i="2"/>
  <c r="E737" i="2"/>
  <c r="D734" i="2"/>
  <c r="C731" i="2"/>
  <c r="B728" i="2"/>
  <c r="A728" i="2" s="1"/>
  <c r="F724" i="2"/>
  <c r="E721" i="2"/>
  <c r="D718" i="2"/>
  <c r="C715" i="2"/>
  <c r="B712" i="2"/>
  <c r="A712" i="2" s="1"/>
  <c r="F708" i="2"/>
  <c r="E705" i="2"/>
  <c r="D702" i="2"/>
  <c r="D770" i="2"/>
  <c r="F760" i="2"/>
  <c r="C755" i="2"/>
  <c r="F751" i="2"/>
  <c r="E748" i="2"/>
  <c r="D745" i="2"/>
  <c r="C742" i="2"/>
  <c r="B739" i="2"/>
  <c r="A739" i="2" s="1"/>
  <c r="F735" i="2"/>
  <c r="F731" i="2"/>
  <c r="F715" i="2"/>
  <c r="F701" i="2"/>
  <c r="B696" i="2"/>
  <c r="A696" i="2" s="1"/>
  <c r="E692" i="2"/>
  <c r="F687" i="2"/>
  <c r="C683" i="2"/>
  <c r="D678" i="2"/>
  <c r="D673" i="2"/>
  <c r="F669" i="2"/>
  <c r="B664" i="2"/>
  <c r="A664" i="2" s="1"/>
  <c r="E660" i="2"/>
  <c r="F655" i="2"/>
  <c r="C651" i="2"/>
  <c r="D646" i="2"/>
  <c r="D641" i="2"/>
  <c r="F637" i="2"/>
  <c r="B632" i="2"/>
  <c r="A632" i="2" s="1"/>
  <c r="C726" i="2"/>
  <c r="B715" i="2"/>
  <c r="A715" i="2" s="1"/>
  <c r="E704" i="2"/>
  <c r="B699" i="2"/>
  <c r="A699" i="2" s="1"/>
  <c r="D695" i="2"/>
  <c r="B691" i="2"/>
  <c r="A691" i="2" s="1"/>
  <c r="D687" i="2"/>
  <c r="B683" i="2"/>
  <c r="A683" i="2" s="1"/>
  <c r="D679" i="2"/>
  <c r="B675" i="2"/>
  <c r="A675" i="2" s="1"/>
  <c r="D671" i="2"/>
  <c r="B667" i="2"/>
  <c r="A667" i="2" s="1"/>
  <c r="D663" i="2"/>
  <c r="B659" i="2"/>
  <c r="A659" i="2" s="1"/>
  <c r="D655" i="2"/>
  <c r="D725" i="2"/>
  <c r="D709" i="2"/>
  <c r="B700" i="2"/>
  <c r="A700" i="2" s="1"/>
  <c r="E696" i="2"/>
  <c r="F691" i="2"/>
  <c r="C687" i="2"/>
  <c r="D682" i="2"/>
  <c r="D677" i="2"/>
  <c r="F673" i="2"/>
  <c r="B668" i="2"/>
  <c r="A668" i="2" s="1"/>
  <c r="E664" i="2"/>
  <c r="F659" i="2"/>
  <c r="C655" i="2"/>
  <c r="D650" i="2"/>
  <c r="D645" i="2"/>
  <c r="F641" i="2"/>
  <c r="B636" i="2"/>
  <c r="A636" i="2" s="1"/>
  <c r="E632" i="2"/>
  <c r="F627" i="2"/>
  <c r="E732" i="2"/>
  <c r="C722" i="2"/>
  <c r="B711" i="2"/>
  <c r="A711" i="2" s="1"/>
  <c r="B701" i="2"/>
  <c r="A701" i="2" s="1"/>
  <c r="E697" i="2"/>
  <c r="B693" i="2"/>
  <c r="A693" i="2" s="1"/>
  <c r="E689" i="2"/>
  <c r="B685" i="2"/>
  <c r="A685" i="2" s="1"/>
  <c r="E681" i="2"/>
  <c r="B677" i="2"/>
  <c r="A677" i="2" s="1"/>
  <c r="E673" i="2"/>
  <c r="B669" i="2"/>
  <c r="A669" i="2" s="1"/>
  <c r="E665" i="2"/>
  <c r="B661" i="2"/>
  <c r="A661" i="2" s="1"/>
  <c r="E657" i="2"/>
  <c r="B653" i="2"/>
  <c r="A653" i="2" s="1"/>
  <c r="E649" i="2"/>
  <c r="B645" i="2"/>
  <c r="A645" i="2" s="1"/>
  <c r="E641" i="2"/>
  <c r="B637" i="2"/>
  <c r="A637" i="2" s="1"/>
  <c r="E633" i="2"/>
  <c r="B629" i="2"/>
  <c r="A629" i="2" s="1"/>
  <c r="E625" i="2"/>
  <c r="F621" i="2"/>
  <c r="E618" i="2"/>
  <c r="D615" i="2"/>
  <c r="C612" i="2"/>
  <c r="C646" i="2"/>
  <c r="E634" i="2"/>
  <c r="F624" i="2"/>
  <c r="E620" i="2"/>
  <c r="B616" i="2"/>
  <c r="A616" i="2" s="1"/>
  <c r="E612" i="2"/>
  <c r="E608" i="2"/>
  <c r="D605" i="2"/>
  <c r="C602" i="2"/>
  <c r="B599" i="2"/>
  <c r="A599" i="2" s="1"/>
  <c r="F595" i="2"/>
  <c r="E592" i="2"/>
  <c r="D589" i="2"/>
  <c r="C586" i="2"/>
  <c r="B583" i="2"/>
  <c r="A583" i="2" s="1"/>
  <c r="F579" i="2"/>
  <c r="E576" i="2"/>
  <c r="D573" i="2"/>
  <c r="C570" i="2"/>
  <c r="B567" i="2"/>
  <c r="A567" i="2" s="1"/>
  <c r="F563" i="2"/>
  <c r="C644" i="2"/>
  <c r="F629" i="2"/>
  <c r="E623" i="2"/>
  <c r="F618" i="2"/>
  <c r="C614" i="2"/>
  <c r="B610" i="2"/>
  <c r="A610" i="2" s="1"/>
  <c r="F606" i="2"/>
  <c r="E603" i="2"/>
  <c r="D600" i="2"/>
  <c r="C597" i="2"/>
  <c r="B594" i="2"/>
  <c r="A594" i="2" s="1"/>
  <c r="F590" i="2"/>
  <c r="E587" i="2"/>
  <c r="D584" i="2"/>
  <c r="C581" i="2"/>
  <c r="B578" i="2"/>
  <c r="A578" i="2" s="1"/>
  <c r="F574" i="2"/>
  <c r="E571" i="2"/>
  <c r="D568" i="2"/>
  <c r="C565" i="2"/>
  <c r="B562" i="2"/>
  <c r="A562" i="2" s="1"/>
  <c r="F558" i="2"/>
  <c r="E642" i="2"/>
  <c r="E629" i="2"/>
  <c r="B622" i="2"/>
  <c r="A622" i="2" s="1"/>
  <c r="D618" i="2"/>
  <c r="B614" i="2"/>
  <c r="A614" i="2" s="1"/>
  <c r="E610" i="2"/>
  <c r="D607" i="2"/>
  <c r="C604" i="2"/>
  <c r="B601" i="2"/>
  <c r="A601" i="2" s="1"/>
  <c r="F597" i="2"/>
  <c r="E594" i="2"/>
  <c r="D591" i="2"/>
  <c r="C588" i="2"/>
  <c r="B585" i="2"/>
  <c r="A585" i="2" s="1"/>
  <c r="F581" i="2"/>
  <c r="E578" i="2"/>
  <c r="D575" i="2"/>
  <c r="C572" i="2"/>
  <c r="B569" i="2"/>
  <c r="A569" i="2" s="1"/>
  <c r="F565" i="2"/>
  <c r="E562" i="2"/>
  <c r="D559" i="2"/>
  <c r="C636" i="2"/>
  <c r="F622" i="2"/>
  <c r="C618" i="2"/>
  <c r="D613" i="2"/>
  <c r="E609" i="2"/>
  <c r="D606" i="2"/>
  <c r="C603" i="2"/>
  <c r="B600" i="2"/>
  <c r="A600" i="2" s="1"/>
  <c r="F596" i="2"/>
  <c r="E593" i="2"/>
  <c r="D590" i="2"/>
  <c r="C587" i="2"/>
  <c r="B584" i="2"/>
  <c r="A584" i="2" s="1"/>
  <c r="F580" i="2"/>
  <c r="E577" i="2"/>
  <c r="D574" i="2"/>
  <c r="C571" i="2"/>
  <c r="B568" i="2"/>
  <c r="A568" i="2" s="1"/>
  <c r="C563" i="2"/>
  <c r="E558" i="2"/>
  <c r="B555" i="2"/>
  <c r="A555" i="2" s="1"/>
  <c r="F551" i="2"/>
  <c r="E548" i="2"/>
  <c r="D545" i="2"/>
  <c r="C542" i="2"/>
  <c r="B539" i="2"/>
  <c r="A539" i="2" s="1"/>
  <c r="F535" i="2"/>
  <c r="E532" i="2"/>
  <c r="D529" i="2"/>
  <c r="C526" i="2"/>
  <c r="B523" i="2"/>
  <c r="A523" i="2" s="1"/>
  <c r="F519" i="2"/>
  <c r="E516" i="2"/>
  <c r="D513" i="2"/>
  <c r="C510" i="2"/>
  <c r="B507" i="2"/>
  <c r="A507" i="2" s="1"/>
  <c r="F503" i="2"/>
  <c r="E500" i="2"/>
  <c r="D497" i="2"/>
  <c r="C494" i="2"/>
  <c r="B491" i="2"/>
  <c r="A491" i="2" s="1"/>
  <c r="F487" i="2"/>
  <c r="E484" i="2"/>
  <c r="D481" i="2"/>
  <c r="C478" i="2"/>
  <c r="B475" i="2"/>
  <c r="A475" i="2" s="1"/>
  <c r="F471" i="2"/>
  <c r="E468" i="2"/>
  <c r="D465" i="2"/>
  <c r="C462" i="2"/>
  <c r="B459" i="2"/>
  <c r="A459" i="2" s="1"/>
  <c r="F455" i="2"/>
  <c r="E452" i="2"/>
  <c r="D449" i="2"/>
  <c r="C446" i="2"/>
  <c r="B443" i="2"/>
  <c r="A443" i="2" s="1"/>
  <c r="F439" i="2"/>
  <c r="E436" i="2"/>
  <c r="D433" i="2"/>
  <c r="C430" i="2"/>
  <c r="B427" i="2"/>
  <c r="A427" i="2" s="1"/>
  <c r="F423" i="2"/>
  <c r="E420" i="2"/>
  <c r="D562" i="2"/>
  <c r="D556" i="2"/>
  <c r="C553" i="2"/>
  <c r="B550" i="2"/>
  <c r="A550" i="2" s="1"/>
  <c r="F546" i="2"/>
  <c r="E543" i="2"/>
  <c r="D540" i="2"/>
  <c r="C537" i="2"/>
  <c r="B534" i="2"/>
  <c r="A534" i="2" s="1"/>
  <c r="F530" i="2"/>
  <c r="E527" i="2"/>
  <c r="D524" i="2"/>
  <c r="C521" i="2"/>
  <c r="B518" i="2"/>
  <c r="A518" i="2" s="1"/>
  <c r="F514" i="2"/>
  <c r="E511" i="2"/>
  <c r="D508" i="2"/>
  <c r="C505" i="2"/>
  <c r="B502" i="2"/>
  <c r="A502" i="2" s="1"/>
  <c r="F498" i="2"/>
  <c r="E495" i="2"/>
  <c r="D492" i="2"/>
  <c r="C489" i="2"/>
  <c r="B486" i="2"/>
  <c r="A486" i="2" s="1"/>
  <c r="F482" i="2"/>
  <c r="E479" i="2"/>
  <c r="D476" i="2"/>
  <c r="C473" i="2"/>
  <c r="B470" i="2"/>
  <c r="A470" i="2" s="1"/>
  <c r="C1000" i="2"/>
  <c r="B997" i="2"/>
  <c r="A997" i="2" s="1"/>
  <c r="F993" i="2"/>
  <c r="E990" i="2"/>
  <c r="D987" i="2"/>
  <c r="C984" i="2"/>
  <c r="B981" i="2"/>
  <c r="A981" i="2" s="1"/>
  <c r="F977" i="2"/>
  <c r="E974" i="2"/>
  <c r="D971" i="2"/>
  <c r="E1000" i="2"/>
  <c r="D997" i="2"/>
  <c r="C994" i="2"/>
  <c r="B991" i="2"/>
  <c r="A991" i="2" s="1"/>
  <c r="F987" i="2"/>
  <c r="E984" i="2"/>
  <c r="F998" i="2"/>
  <c r="F990" i="2"/>
  <c r="C982" i="2"/>
  <c r="D977" i="2"/>
  <c r="D972" i="2"/>
  <c r="E1001" i="2"/>
  <c r="E997" i="2"/>
  <c r="E993" i="2"/>
  <c r="E989" i="2"/>
  <c r="E985" i="2"/>
  <c r="E981" i="2"/>
  <c r="C977" i="2"/>
  <c r="E973" i="2"/>
  <c r="C969" i="2"/>
  <c r="B966" i="2"/>
  <c r="A966" i="2" s="1"/>
  <c r="F962" i="2"/>
  <c r="E959" i="2"/>
  <c r="C1001" i="2"/>
  <c r="C997" i="2"/>
  <c r="C993" i="2"/>
  <c r="C989" i="2"/>
  <c r="C985" i="2"/>
  <c r="D981" i="2"/>
  <c r="D976" i="2"/>
  <c r="F972" i="2"/>
  <c r="C968" i="2"/>
  <c r="C971" i="2"/>
  <c r="B965" i="2"/>
  <c r="A965" i="2" s="1"/>
  <c r="E961" i="2"/>
  <c r="B957" i="2"/>
  <c r="A957" i="2" s="1"/>
  <c r="F953" i="2"/>
  <c r="E950" i="2"/>
  <c r="D947" i="2"/>
  <c r="C944" i="2"/>
  <c r="B941" i="2"/>
  <c r="A941" i="2" s="1"/>
  <c r="F937" i="2"/>
  <c r="E934" i="2"/>
  <c r="D931" i="2"/>
  <c r="B970" i="2"/>
  <c r="A970" i="2" s="1"/>
  <c r="F965" i="2"/>
  <c r="B960" i="2"/>
  <c r="A960" i="2" s="1"/>
  <c r="F956" i="2"/>
  <c r="E953" i="2"/>
  <c r="D950" i="2"/>
  <c r="C947" i="2"/>
  <c r="B944" i="2"/>
  <c r="A944" i="2" s="1"/>
  <c r="F940" i="2"/>
  <c r="E937" i="2"/>
  <c r="D934" i="2"/>
  <c r="C931" i="2"/>
  <c r="F968" i="2"/>
  <c r="B963" i="2"/>
  <c r="A963" i="2" s="1"/>
  <c r="D959" i="2"/>
  <c r="F955" i="2"/>
  <c r="E952" i="2"/>
  <c r="D949" i="2"/>
  <c r="C946" i="2"/>
  <c r="B943" i="2"/>
  <c r="A943" i="2" s="1"/>
  <c r="F939" i="2"/>
  <c r="E936" i="2"/>
  <c r="D933" i="2"/>
  <c r="E972" i="2"/>
  <c r="B964" i="2"/>
  <c r="A964" i="2" s="1"/>
  <c r="E960" i="2"/>
  <c r="E955" i="2"/>
  <c r="D952" i="2"/>
  <c r="C949" i="2"/>
  <c r="B946" i="2"/>
  <c r="A946" i="2" s="1"/>
  <c r="E939" i="2"/>
  <c r="E931" i="2"/>
  <c r="E927" i="2"/>
  <c r="D924" i="2"/>
  <c r="C921" i="2"/>
  <c r="B918" i="2"/>
  <c r="A918" i="2" s="1"/>
  <c r="F914" i="2"/>
  <c r="E911" i="2"/>
  <c r="D908" i="2"/>
  <c r="C905" i="2"/>
  <c r="B902" i="2"/>
  <c r="A902" i="2" s="1"/>
  <c r="F898" i="2"/>
  <c r="E895" i="2"/>
  <c r="D892" i="2"/>
  <c r="C889" i="2"/>
  <c r="D932" i="2"/>
  <c r="B929" i="2"/>
  <c r="A929" i="2" s="1"/>
  <c r="F925" i="2"/>
  <c r="E922" i="2"/>
  <c r="D919" i="2"/>
  <c r="C916" i="2"/>
  <c r="B913" i="2"/>
  <c r="A913" i="2" s="1"/>
  <c r="F909" i="2"/>
  <c r="E906" i="2"/>
  <c r="D903" i="2"/>
  <c r="C900" i="2"/>
  <c r="B897" i="2"/>
  <c r="A897" i="2" s="1"/>
  <c r="F893" i="2"/>
  <c r="E943" i="2"/>
  <c r="C933" i="2"/>
  <c r="B928" i="2"/>
  <c r="A928" i="2" s="1"/>
  <c r="F924" i="2"/>
  <c r="E921" i="2"/>
  <c r="D918" i="2"/>
  <c r="C915" i="2"/>
  <c r="B912" i="2"/>
  <c r="A912" i="2" s="1"/>
  <c r="F908" i="2"/>
  <c r="E905" i="2"/>
  <c r="D902" i="2"/>
  <c r="C899" i="2"/>
  <c r="F934" i="2"/>
  <c r="E928" i="2"/>
  <c r="D925" i="2"/>
  <c r="C922" i="2"/>
  <c r="B919" i="2"/>
  <c r="A919" i="2" s="1"/>
  <c r="F915" i="2"/>
  <c r="E912" i="2"/>
  <c r="D909" i="2"/>
  <c r="C906" i="2"/>
  <c r="B903" i="2"/>
  <c r="A903" i="2" s="1"/>
  <c r="B895" i="2"/>
  <c r="A895" i="2" s="1"/>
  <c r="F889" i="2"/>
  <c r="F885" i="2"/>
  <c r="E882" i="2"/>
  <c r="D879" i="2"/>
  <c r="C876" i="2"/>
  <c r="B873" i="2"/>
  <c r="A873" i="2" s="1"/>
  <c r="F869" i="2"/>
  <c r="E866" i="2"/>
  <c r="D863" i="2"/>
  <c r="C860" i="2"/>
  <c r="B857" i="2"/>
  <c r="A857" i="2" s="1"/>
  <c r="F853" i="2"/>
  <c r="E850" i="2"/>
  <c r="D847" i="2"/>
  <c r="C844" i="2"/>
  <c r="B841" i="2"/>
  <c r="A841" i="2" s="1"/>
  <c r="F837" i="2"/>
  <c r="E834" i="2"/>
  <c r="D831" i="2"/>
  <c r="C828" i="2"/>
  <c r="C890" i="2"/>
  <c r="D886" i="2"/>
  <c r="C883" i="2"/>
  <c r="B880" i="2"/>
  <c r="A880" i="2" s="1"/>
  <c r="F876" i="2"/>
  <c r="E873" i="2"/>
  <c r="D870" i="2"/>
  <c r="C867" i="2"/>
  <c r="B864" i="2"/>
  <c r="A864" i="2" s="1"/>
  <c r="F860" i="2"/>
  <c r="E857" i="2"/>
  <c r="D854" i="2"/>
  <c r="C851" i="2"/>
  <c r="B848" i="2"/>
  <c r="A848" i="2" s="1"/>
  <c r="F844" i="2"/>
  <c r="E841" i="2"/>
  <c r="D838" i="2"/>
  <c r="C835" i="2"/>
  <c r="B832" i="2"/>
  <c r="A832" i="2" s="1"/>
  <c r="F828" i="2"/>
  <c r="F899" i="2"/>
  <c r="E893" i="2"/>
  <c r="B888" i="2"/>
  <c r="A888" i="2" s="1"/>
  <c r="D885" i="2"/>
  <c r="C882" i="2"/>
  <c r="B879" i="2"/>
  <c r="A879" i="2" s="1"/>
  <c r="F875" i="2"/>
  <c r="E872" i="2"/>
  <c r="D869" i="2"/>
  <c r="C866" i="2"/>
  <c r="B863" i="2"/>
  <c r="A863" i="2" s="1"/>
  <c r="F859" i="2"/>
  <c r="E856" i="2"/>
  <c r="D853" i="2"/>
  <c r="C850" i="2"/>
  <c r="B847" i="2"/>
  <c r="A847" i="2" s="1"/>
  <c r="F843" i="2"/>
  <c r="E840" i="2"/>
  <c r="D837" i="2"/>
  <c r="C834" i="2"/>
  <c r="B831" i="2"/>
  <c r="A831" i="2" s="1"/>
  <c r="F827" i="2"/>
  <c r="B899" i="2"/>
  <c r="A899" i="2" s="1"/>
  <c r="D894" i="2"/>
  <c r="E890" i="2"/>
  <c r="F886" i="2"/>
  <c r="E883" i="2"/>
  <c r="D880" i="2"/>
  <c r="C877" i="2"/>
  <c r="B874" i="2"/>
  <c r="A874" i="2" s="1"/>
  <c r="F870" i="2"/>
  <c r="E867" i="2"/>
  <c r="D864" i="2"/>
  <c r="C861" i="2"/>
  <c r="B858" i="2"/>
  <c r="A858" i="2" s="1"/>
  <c r="F854" i="2"/>
  <c r="E851" i="2"/>
  <c r="D848" i="2"/>
  <c r="C845" i="2"/>
  <c r="B842" i="2"/>
  <c r="A842" i="2" s="1"/>
  <c r="F838" i="2"/>
  <c r="E835" i="2"/>
  <c r="D832" i="2"/>
  <c r="C829" i="2"/>
  <c r="B826" i="2"/>
  <c r="A826" i="2" s="1"/>
  <c r="F823" i="2"/>
  <c r="E820" i="2"/>
  <c r="D817" i="2"/>
  <c r="C814" i="2"/>
  <c r="B811" i="2"/>
  <c r="A811" i="2" s="1"/>
  <c r="F807" i="2"/>
  <c r="E804" i="2"/>
  <c r="D801" i="2"/>
  <c r="C798" i="2"/>
  <c r="B795" i="2"/>
  <c r="A795" i="2" s="1"/>
  <c r="F791" i="2"/>
  <c r="E788" i="2"/>
  <c r="D785" i="2"/>
  <c r="C782" i="2"/>
  <c r="B779" i="2"/>
  <c r="A779" i="2" s="1"/>
  <c r="F775" i="2"/>
  <c r="E772" i="2"/>
  <c r="D769" i="2"/>
  <c r="C766" i="2"/>
  <c r="B763" i="2"/>
  <c r="A763" i="2" s="1"/>
  <c r="F759" i="2"/>
  <c r="E756" i="2"/>
  <c r="D824" i="2"/>
  <c r="C821" i="2"/>
  <c r="B818" i="2"/>
  <c r="A818" i="2" s="1"/>
  <c r="F814" i="2"/>
  <c r="E811" i="2"/>
  <c r="D808" i="2"/>
  <c r="C805" i="2"/>
  <c r="B802" i="2"/>
  <c r="A802" i="2" s="1"/>
  <c r="F798" i="2"/>
  <c r="E795" i="2"/>
  <c r="D792" i="2"/>
  <c r="C789" i="2"/>
  <c r="B786" i="2"/>
  <c r="A786" i="2" s="1"/>
  <c r="F782" i="2"/>
  <c r="E779" i="2"/>
  <c r="D776" i="2"/>
  <c r="C773" i="2"/>
  <c r="B770" i="2"/>
  <c r="A770" i="2" s="1"/>
  <c r="F766" i="2"/>
  <c r="E763" i="2"/>
  <c r="D760" i="2"/>
  <c r="C757" i="2"/>
  <c r="D823" i="2"/>
  <c r="C820" i="2"/>
  <c r="B817" i="2"/>
  <c r="A817" i="2" s="1"/>
  <c r="F813" i="2"/>
  <c r="E810" i="2"/>
  <c r="D807" i="2"/>
  <c r="C804" i="2"/>
  <c r="B801" i="2"/>
  <c r="A801" i="2" s="1"/>
  <c r="F797" i="2"/>
  <c r="E794" i="2"/>
  <c r="D791" i="2"/>
  <c r="C788" i="2"/>
  <c r="B785" i="2"/>
  <c r="A785" i="2" s="1"/>
  <c r="F781" i="2"/>
  <c r="E778" i="2"/>
  <c r="D775" i="2"/>
  <c r="C772" i="2"/>
  <c r="B769" i="2"/>
  <c r="A769" i="2" s="1"/>
  <c r="F765" i="2"/>
  <c r="D827" i="2"/>
  <c r="C823" i="2"/>
  <c r="B820" i="2"/>
  <c r="A820" i="2" s="1"/>
  <c r="F816" i="2"/>
  <c r="E813" i="2"/>
  <c r="D810" i="2"/>
  <c r="C807" i="2"/>
  <c r="B804" i="2"/>
  <c r="A804" i="2" s="1"/>
  <c r="F800" i="2"/>
  <c r="E797" i="2"/>
  <c r="D794" i="2"/>
  <c r="C791" i="2"/>
  <c r="B788" i="2"/>
  <c r="A788" i="2" s="1"/>
  <c r="C783" i="2"/>
  <c r="B772" i="2"/>
  <c r="A772" i="2" s="1"/>
  <c r="D762" i="2"/>
  <c r="D758" i="2"/>
  <c r="B754" i="2"/>
  <c r="A754" i="2" s="1"/>
  <c r="F750" i="2"/>
  <c r="E747" i="2"/>
  <c r="D744" i="2"/>
  <c r="C741" i="2"/>
  <c r="B738" i="2"/>
  <c r="A738" i="2" s="1"/>
  <c r="F734" i="2"/>
  <c r="E731" i="2"/>
  <c r="D728" i="2"/>
  <c r="C725" i="2"/>
  <c r="B722" i="2"/>
  <c r="A722" i="2" s="1"/>
  <c r="F718" i="2"/>
  <c r="E715" i="2"/>
  <c r="D712" i="2"/>
  <c r="C709" i="2"/>
  <c r="B706" i="2"/>
  <c r="A706" i="2" s="1"/>
  <c r="F702" i="2"/>
  <c r="E699" i="2"/>
  <c r="D696" i="2"/>
  <c r="C693" i="2"/>
  <c r="B690" i="2"/>
  <c r="A690" i="2" s="1"/>
  <c r="F686" i="2"/>
  <c r="E683" i="2"/>
  <c r="D680" i="2"/>
  <c r="C677" i="2"/>
  <c r="B674" i="2"/>
  <c r="A674" i="2" s="1"/>
  <c r="F670" i="2"/>
  <c r="E667" i="2"/>
  <c r="D664" i="2"/>
  <c r="C661" i="2"/>
  <c r="B658" i="2"/>
  <c r="A658" i="2" s="1"/>
  <c r="F654" i="2"/>
  <c r="E651" i="2"/>
  <c r="D648" i="2"/>
  <c r="C645" i="2"/>
  <c r="B642" i="2"/>
  <c r="A642" i="2" s="1"/>
  <c r="F638" i="2"/>
  <c r="E635" i="2"/>
  <c r="D632" i="2"/>
  <c r="C629" i="2"/>
  <c r="B626" i="2"/>
  <c r="A626" i="2" s="1"/>
  <c r="D782" i="2"/>
  <c r="D766" i="2"/>
  <c r="E755" i="2"/>
  <c r="C752" i="2"/>
  <c r="B749" i="2"/>
  <c r="A749" i="2" s="1"/>
  <c r="F745" i="2"/>
  <c r="E742" i="2"/>
  <c r="D739" i="2"/>
  <c r="C736" i="2"/>
  <c r="B733" i="2"/>
  <c r="A733" i="2" s="1"/>
  <c r="F729" i="2"/>
  <c r="E726" i="2"/>
  <c r="D723" i="2"/>
  <c r="C720" i="2"/>
  <c r="B717" i="2"/>
  <c r="A717" i="2" s="1"/>
  <c r="F713" i="2"/>
  <c r="E710" i="2"/>
  <c r="D707" i="2"/>
  <c r="C704" i="2"/>
  <c r="C779" i="2"/>
  <c r="B768" i="2"/>
  <c r="A768" i="2" s="1"/>
  <c r="F757" i="2"/>
  <c r="F752" i="2"/>
  <c r="E749" i="2"/>
  <c r="D746" i="2"/>
  <c r="C743" i="2"/>
  <c r="B740" i="2"/>
  <c r="A740" i="2" s="1"/>
  <c r="F736" i="2"/>
  <c r="E733" i="2"/>
  <c r="D730" i="2"/>
  <c r="C727" i="2"/>
  <c r="B724" i="2"/>
  <c r="A724" i="2" s="1"/>
  <c r="F720" i="2"/>
  <c r="E717" i="2"/>
  <c r="D714" i="2"/>
  <c r="C711" i="2"/>
  <c r="B708" i="2"/>
  <c r="A708" i="2" s="1"/>
  <c r="F704" i="2"/>
  <c r="F780" i="2"/>
  <c r="F764" i="2"/>
  <c r="E758" i="2"/>
  <c r="C754" i="2"/>
  <c r="B751" i="2"/>
  <c r="A751" i="2" s="1"/>
  <c r="F747" i="2"/>
  <c r="E744" i="2"/>
  <c r="D741" i="2"/>
  <c r="C738" i="2"/>
  <c r="B735" i="2"/>
  <c r="A735" i="2" s="1"/>
  <c r="D729" i="2"/>
  <c r="D713" i="2"/>
  <c r="E700" i="2"/>
  <c r="F695" i="2"/>
  <c r="C691" i="2"/>
  <c r="D686" i="2"/>
  <c r="D681" i="2"/>
  <c r="F677" i="2"/>
  <c r="B672" i="2"/>
  <c r="A672" i="2" s="1"/>
  <c r="E668" i="2"/>
  <c r="F663" i="2"/>
  <c r="C659" i="2"/>
  <c r="D654" i="2"/>
  <c r="D649" i="2"/>
  <c r="F645" i="2"/>
  <c r="B640" i="2"/>
  <c r="A640" i="2" s="1"/>
  <c r="E636" i="2"/>
  <c r="F631" i="2"/>
  <c r="B723" i="2"/>
  <c r="A723" i="2" s="1"/>
  <c r="E712" i="2"/>
  <c r="E702" i="2"/>
  <c r="E698" i="2"/>
  <c r="C694" i="2"/>
  <c r="E690" i="2"/>
  <c r="C686" i="2"/>
  <c r="E682" i="2"/>
  <c r="C678" i="2"/>
  <c r="E674" i="2"/>
  <c r="C670" i="2"/>
  <c r="E666" i="2"/>
  <c r="C662" i="2"/>
  <c r="E658" i="2"/>
  <c r="C654" i="2"/>
  <c r="F719" i="2"/>
  <c r="F703" i="2"/>
  <c r="F699" i="2"/>
  <c r="C695" i="2"/>
  <c r="D690" i="2"/>
  <c r="D685" i="2"/>
  <c r="F681" i="2"/>
  <c r="B676" i="2"/>
  <c r="A676" i="2" s="1"/>
  <c r="E672" i="2"/>
  <c r="F667" i="2"/>
  <c r="C663" i="2"/>
  <c r="D658" i="2"/>
  <c r="D653" i="2"/>
  <c r="F649" i="2"/>
  <c r="B644" i="2"/>
  <c r="A644" i="2" s="1"/>
  <c r="E640" i="2"/>
  <c r="F635" i="2"/>
  <c r="C631" i="2"/>
  <c r="D626" i="2"/>
  <c r="C730" i="2"/>
  <c r="B719" i="2"/>
  <c r="A719" i="2" s="1"/>
  <c r="E708" i="2"/>
  <c r="F700" i="2"/>
  <c r="C696" i="2"/>
  <c r="F692" i="2"/>
  <c r="C688" i="2"/>
  <c r="F684" i="2"/>
  <c r="C680" i="2"/>
  <c r="F676" i="2"/>
  <c r="C672" i="2"/>
  <c r="F668" i="2"/>
  <c r="C664" i="2"/>
  <c r="F660" i="2"/>
  <c r="C656" i="2"/>
  <c r="F652" i="2"/>
  <c r="C648" i="2"/>
  <c r="F644" i="2"/>
  <c r="C640" i="2"/>
  <c r="F636" i="2"/>
  <c r="C632" i="2"/>
  <c r="F628" i="2"/>
  <c r="C624" i="2"/>
  <c r="B621" i="2"/>
  <c r="A621" i="2" s="1"/>
  <c r="F617" i="2"/>
  <c r="E614" i="2"/>
  <c r="D611" i="2"/>
  <c r="E645" i="2"/>
  <c r="D630" i="2"/>
  <c r="F623" i="2"/>
  <c r="C619" i="2"/>
  <c r="F615" i="2"/>
  <c r="C611" i="2"/>
  <c r="F607" i="2"/>
  <c r="E604" i="2"/>
  <c r="D601" i="2"/>
  <c r="C598" i="2"/>
  <c r="B595" i="2"/>
  <c r="A595" i="2" s="1"/>
  <c r="F591" i="2"/>
  <c r="E588" i="2"/>
  <c r="D585" i="2"/>
  <c r="C582" i="2"/>
  <c r="B579" i="2"/>
  <c r="A579" i="2" s="1"/>
  <c r="F575" i="2"/>
  <c r="E572" i="2"/>
  <c r="D569" i="2"/>
  <c r="C566" i="2"/>
  <c r="B563" i="2"/>
  <c r="A563" i="2" s="1"/>
  <c r="D639" i="2"/>
  <c r="C628" i="2"/>
  <c r="C622" i="2"/>
  <c r="D617" i="2"/>
  <c r="D612" i="2"/>
  <c r="C609" i="2"/>
  <c r="B606" i="2"/>
  <c r="A606" i="2" s="1"/>
  <c r="F602" i="2"/>
  <c r="E599" i="2"/>
  <c r="D596" i="2"/>
  <c r="C593" i="2"/>
  <c r="B590" i="2"/>
  <c r="A590" i="2" s="1"/>
  <c r="F586" i="2"/>
  <c r="E583" i="2"/>
  <c r="D580" i="2"/>
  <c r="C577" i="2"/>
  <c r="B574" i="2"/>
  <c r="A574" i="2" s="1"/>
  <c r="F570" i="2"/>
  <c r="E567" i="2"/>
  <c r="D564" i="2"/>
  <c r="C561" i="2"/>
  <c r="B558" i="2"/>
  <c r="A558" i="2" s="1"/>
  <c r="C638" i="2"/>
  <c r="E626" i="2"/>
  <c r="E621" i="2"/>
  <c r="C617" i="2"/>
  <c r="E613" i="2"/>
  <c r="F609" i="2"/>
  <c r="E606" i="2"/>
  <c r="D603" i="2"/>
  <c r="C600" i="2"/>
  <c r="B597" i="2"/>
  <c r="A597" i="2" s="1"/>
  <c r="F593" i="2"/>
  <c r="E590" i="2"/>
  <c r="D587" i="2"/>
  <c r="C584" i="2"/>
  <c r="B581" i="2"/>
  <c r="A581" i="2" s="1"/>
  <c r="F577" i="2"/>
  <c r="E574" i="2"/>
  <c r="D571" i="2"/>
  <c r="C568" i="2"/>
  <c r="B565" i="2"/>
  <c r="A565" i="2" s="1"/>
  <c r="F561" i="2"/>
  <c r="C652" i="2"/>
  <c r="D631" i="2"/>
  <c r="D621" i="2"/>
  <c r="D616" i="2"/>
  <c r="F612" i="2"/>
  <c r="F608" i="2"/>
  <c r="E605" i="2"/>
  <c r="D602" i="2"/>
  <c r="C599" i="2"/>
  <c r="B596" i="2"/>
  <c r="A596" i="2" s="1"/>
  <c r="F592" i="2"/>
  <c r="E589" i="2"/>
  <c r="D586" i="2"/>
  <c r="C583" i="2"/>
  <c r="B580" i="2"/>
  <c r="A580" i="2" s="1"/>
  <c r="F576" i="2"/>
  <c r="E573" i="2"/>
  <c r="D570" i="2"/>
  <c r="C567" i="2"/>
  <c r="D561" i="2"/>
  <c r="D557" i="2"/>
  <c r="C554" i="2"/>
  <c r="B551" i="2"/>
  <c r="A551" i="2" s="1"/>
  <c r="F547" i="2"/>
  <c r="E544" i="2"/>
  <c r="D541" i="2"/>
  <c r="C538" i="2"/>
  <c r="B535" i="2"/>
  <c r="A535" i="2" s="1"/>
  <c r="F531" i="2"/>
  <c r="E528" i="2"/>
  <c r="D525" i="2"/>
  <c r="C522" i="2"/>
  <c r="B519" i="2"/>
  <c r="A519" i="2" s="1"/>
  <c r="F515" i="2"/>
  <c r="E512" i="2"/>
  <c r="D509" i="2"/>
  <c r="C506" i="2"/>
  <c r="B503" i="2"/>
  <c r="A503" i="2" s="1"/>
  <c r="F499" i="2"/>
  <c r="E496" i="2"/>
  <c r="D493" i="2"/>
  <c r="C490" i="2"/>
  <c r="B487" i="2"/>
  <c r="A487" i="2" s="1"/>
  <c r="F483" i="2"/>
  <c r="E480" i="2"/>
  <c r="D477" i="2"/>
  <c r="C474" i="2"/>
  <c r="B471" i="2"/>
  <c r="A471" i="2" s="1"/>
  <c r="F467" i="2"/>
  <c r="E464" i="2"/>
  <c r="D461" i="2"/>
  <c r="C458" i="2"/>
  <c r="B455" i="2"/>
  <c r="A455" i="2" s="1"/>
  <c r="F451" i="2"/>
  <c r="E448" i="2"/>
  <c r="D445" i="2"/>
  <c r="C442" i="2"/>
  <c r="B439" i="2"/>
  <c r="A439" i="2" s="1"/>
  <c r="F435" i="2"/>
  <c r="E432" i="2"/>
  <c r="D429" i="2"/>
  <c r="C426" i="2"/>
  <c r="B423" i="2"/>
  <c r="A423" i="2" s="1"/>
  <c r="F419" i="2"/>
  <c r="B559" i="2"/>
  <c r="A559" i="2" s="1"/>
  <c r="E555" i="2"/>
  <c r="D552" i="2"/>
  <c r="C549" i="2"/>
  <c r="B546" i="2"/>
  <c r="A546" i="2" s="1"/>
  <c r="F542" i="2"/>
  <c r="E539" i="2"/>
  <c r="D536" i="2"/>
  <c r="C533" i="2"/>
  <c r="B530" i="2"/>
  <c r="A530" i="2" s="1"/>
  <c r="F526" i="2"/>
  <c r="E523" i="2"/>
  <c r="D520" i="2"/>
  <c r="C517" i="2"/>
  <c r="B514" i="2"/>
  <c r="A514" i="2" s="1"/>
  <c r="F510" i="2"/>
  <c r="E507" i="2"/>
  <c r="D504" i="2"/>
  <c r="C501" i="2"/>
  <c r="B498" i="2"/>
  <c r="A498" i="2" s="1"/>
  <c r="F494" i="2"/>
  <c r="E491" i="2"/>
  <c r="D488" i="2"/>
  <c r="C485" i="2"/>
  <c r="B482" i="2"/>
  <c r="A482" i="2" s="1"/>
  <c r="F478" i="2"/>
  <c r="E475" i="2"/>
  <c r="D472" i="2"/>
  <c r="C469" i="2"/>
  <c r="B466" i="2"/>
  <c r="A466" i="2" s="1"/>
  <c r="F462" i="2"/>
  <c r="E459" i="2"/>
  <c r="D456" i="2"/>
  <c r="C453" i="2"/>
  <c r="B450" i="2"/>
  <c r="A450" i="2" s="1"/>
  <c r="F446" i="2"/>
  <c r="E443" i="2"/>
  <c r="D440" i="2"/>
  <c r="C437" i="2"/>
  <c r="B434" i="2"/>
  <c r="A434" i="2" s="1"/>
  <c r="F430" i="2"/>
  <c r="E427" i="2"/>
  <c r="D424" i="2"/>
  <c r="C558" i="2"/>
  <c r="D555" i="2"/>
  <c r="C552" i="2"/>
  <c r="B549" i="2"/>
  <c r="A549" i="2" s="1"/>
  <c r="F545" i="2"/>
  <c r="E542" i="2"/>
  <c r="D539" i="2"/>
  <c r="C536" i="2"/>
  <c r="B533" i="2"/>
  <c r="A533" i="2" s="1"/>
  <c r="F529" i="2"/>
  <c r="E526" i="2"/>
  <c r="D523" i="2"/>
  <c r="C520" i="2"/>
  <c r="B517" i="2"/>
  <c r="A517" i="2" s="1"/>
  <c r="F513" i="2"/>
  <c r="E510" i="2"/>
  <c r="D507" i="2"/>
  <c r="C504" i="2"/>
  <c r="D999" i="2"/>
  <c r="C996" i="2"/>
  <c r="B993" i="2"/>
  <c r="A993" i="2" s="1"/>
  <c r="F989" i="2"/>
  <c r="E986" i="2"/>
  <c r="D983" i="2"/>
  <c r="C980" i="2"/>
  <c r="B977" i="2"/>
  <c r="A977" i="2" s="1"/>
  <c r="F973" i="2"/>
  <c r="E970" i="2"/>
  <c r="F999" i="2"/>
  <c r="E996" i="2"/>
  <c r="D993" i="2"/>
  <c r="C990" i="2"/>
  <c r="B987" i="2"/>
  <c r="A987" i="2" s="1"/>
  <c r="F983" i="2"/>
  <c r="F996" i="2"/>
  <c r="F988" i="2"/>
  <c r="D980" i="2"/>
  <c r="F976" i="2"/>
  <c r="B971" i="2"/>
  <c r="A971" i="2" s="1"/>
  <c r="D1000" i="2"/>
  <c r="D996" i="2"/>
  <c r="D992" i="2"/>
  <c r="D988" i="2"/>
  <c r="D984" i="2"/>
  <c r="B980" i="2"/>
  <c r="A980" i="2" s="1"/>
  <c r="E976" i="2"/>
  <c r="B972" i="2"/>
  <c r="A972" i="2" s="1"/>
  <c r="D968" i="2"/>
  <c r="C965" i="2"/>
  <c r="B962" i="2"/>
  <c r="A962" i="2" s="1"/>
  <c r="F958" i="2"/>
  <c r="B1000" i="2"/>
  <c r="A1000" i="2" s="1"/>
  <c r="B996" i="2"/>
  <c r="A996" i="2" s="1"/>
  <c r="B992" i="2"/>
  <c r="A992" i="2" s="1"/>
  <c r="B988" i="2"/>
  <c r="A988" i="2" s="1"/>
  <c r="B984" i="2"/>
  <c r="A984" i="2" s="1"/>
  <c r="F980" i="2"/>
  <c r="B975" i="2"/>
  <c r="A975" i="2" s="1"/>
  <c r="E971" i="2"/>
  <c r="D967" i="2"/>
  <c r="B968" i="2"/>
  <c r="A968" i="2" s="1"/>
  <c r="F964" i="2"/>
  <c r="C960" i="2"/>
  <c r="C956" i="2"/>
  <c r="B953" i="2"/>
  <c r="A953" i="2" s="1"/>
  <c r="F949" i="2"/>
  <c r="E946" i="2"/>
  <c r="D943" i="2"/>
  <c r="C940" i="2"/>
  <c r="B937" i="2"/>
  <c r="A937" i="2" s="1"/>
  <c r="F933" i="2"/>
  <c r="C981" i="2"/>
  <c r="E969" i="2"/>
  <c r="E964" i="2"/>
  <c r="F959" i="2"/>
  <c r="B956" i="2"/>
  <c r="A956" i="2" s="1"/>
  <c r="F952" i="2"/>
  <c r="E949" i="2"/>
  <c r="D946" i="2"/>
  <c r="C943" i="2"/>
  <c r="B940" i="2"/>
  <c r="A940" i="2" s="1"/>
  <c r="F936" i="2"/>
  <c r="E933" i="2"/>
  <c r="D930" i="2"/>
  <c r="C966" i="2"/>
  <c r="E962" i="2"/>
  <c r="C958" i="2"/>
  <c r="B955" i="2"/>
  <c r="A955" i="2" s="1"/>
  <c r="F951" i="2"/>
  <c r="E948" i="2"/>
  <c r="D945" i="2"/>
  <c r="C942" i="2"/>
  <c r="B939" i="2"/>
  <c r="A939" i="2" s="1"/>
  <c r="F935" i="2"/>
  <c r="B978" i="2"/>
  <c r="A978" i="2" s="1"/>
  <c r="E968" i="2"/>
  <c r="F963" i="2"/>
  <c r="C959" i="2"/>
  <c r="F954" i="2"/>
  <c r="E951" i="2"/>
  <c r="D948" i="2"/>
  <c r="C945" i="2"/>
  <c r="C937" i="2"/>
  <c r="B930" i="2"/>
  <c r="A930" i="2" s="1"/>
  <c r="F926" i="2"/>
  <c r="E923" i="2"/>
  <c r="D920" i="2"/>
  <c r="C917" i="2"/>
  <c r="B914" i="2"/>
  <c r="A914" i="2" s="1"/>
  <c r="F910" i="2"/>
  <c r="E907" i="2"/>
  <c r="D904" i="2"/>
  <c r="C901" i="2"/>
  <c r="B898" i="2"/>
  <c r="A898" i="2" s="1"/>
  <c r="F894" i="2"/>
  <c r="E891" i="2"/>
  <c r="D888" i="2"/>
  <c r="B931" i="2"/>
  <c r="A931" i="2" s="1"/>
  <c r="C928" i="2"/>
  <c r="B925" i="2"/>
  <c r="A925" i="2" s="1"/>
  <c r="F921" i="2"/>
  <c r="E918" i="2"/>
  <c r="D915" i="2"/>
  <c r="C912" i="2"/>
  <c r="B909" i="2"/>
  <c r="A909" i="2" s="1"/>
  <c r="F905" i="2"/>
  <c r="E902" i="2"/>
  <c r="D899" i="2"/>
  <c r="C896" i="2"/>
  <c r="B893" i="2"/>
  <c r="A893" i="2" s="1"/>
  <c r="C941" i="2"/>
  <c r="E930" i="2"/>
  <c r="C927" i="2"/>
  <c r="B924" i="2"/>
  <c r="A924" i="2" s="1"/>
  <c r="F920" i="2"/>
  <c r="E917" i="2"/>
  <c r="D914" i="2"/>
  <c r="C911" i="2"/>
  <c r="B908" i="2"/>
  <c r="A908" i="2" s="1"/>
  <c r="F904" i="2"/>
  <c r="E901" i="2"/>
  <c r="D898" i="2"/>
  <c r="F931" i="2"/>
  <c r="F927" i="2"/>
  <c r="E924" i="2"/>
  <c r="D921" i="2"/>
  <c r="C918" i="2"/>
  <c r="B915" i="2"/>
  <c r="A915" i="2" s="1"/>
  <c r="F911" i="2"/>
  <c r="E908" i="2"/>
  <c r="D905" i="2"/>
  <c r="C902" i="2"/>
  <c r="C894" i="2"/>
  <c r="E888" i="2"/>
  <c r="B885" i="2"/>
  <c r="A885" i="2" s="1"/>
  <c r="F881" i="2"/>
  <c r="E878" i="2"/>
  <c r="D875" i="2"/>
  <c r="C872" i="2"/>
  <c r="B869" i="2"/>
  <c r="A869" i="2" s="1"/>
  <c r="F865" i="2"/>
  <c r="E862" i="2"/>
  <c r="D859" i="2"/>
  <c r="C856" i="2"/>
  <c r="B853" i="2"/>
  <c r="A853" i="2" s="1"/>
  <c r="F849" i="2"/>
  <c r="E846" i="2"/>
  <c r="D843" i="2"/>
  <c r="C840" i="2"/>
  <c r="B837" i="2"/>
  <c r="A837" i="2" s="1"/>
  <c r="F833" i="2"/>
  <c r="E830" i="2"/>
  <c r="C898" i="2"/>
  <c r="E889" i="2"/>
  <c r="E885" i="2"/>
  <c r="D882" i="2"/>
  <c r="C879" i="2"/>
  <c r="B876" i="2"/>
  <c r="A876" i="2" s="1"/>
  <c r="F872" i="2"/>
  <c r="E869" i="2"/>
  <c r="D866" i="2"/>
  <c r="C863" i="2"/>
  <c r="B860" i="2"/>
  <c r="A860" i="2" s="1"/>
  <c r="F856" i="2"/>
  <c r="E853" i="2"/>
  <c r="D850" i="2"/>
  <c r="C847" i="2"/>
  <c r="B844" i="2"/>
  <c r="A844" i="2" s="1"/>
  <c r="F840" i="2"/>
  <c r="E837" i="2"/>
  <c r="D834" i="2"/>
  <c r="C831" i="2"/>
  <c r="B828" i="2"/>
  <c r="A828" i="2" s="1"/>
  <c r="E897" i="2"/>
  <c r="E892" i="2"/>
  <c r="F887" i="2"/>
  <c r="E884" i="2"/>
  <c r="D881" i="2"/>
  <c r="C878" i="2"/>
  <c r="B875" i="2"/>
  <c r="A875" i="2" s="1"/>
  <c r="F871" i="2"/>
  <c r="E868" i="2"/>
  <c r="D865" i="2"/>
  <c r="C862" i="2"/>
  <c r="B859" i="2"/>
  <c r="A859" i="2" s="1"/>
  <c r="F855" i="2"/>
  <c r="E852" i="2"/>
  <c r="D849" i="2"/>
  <c r="C846" i="2"/>
  <c r="B843" i="2"/>
  <c r="A843" i="2" s="1"/>
  <c r="F839" i="2"/>
  <c r="E836" i="2"/>
  <c r="D833" i="2"/>
  <c r="C830" i="2"/>
  <c r="B827" i="2"/>
  <c r="A827" i="2" s="1"/>
  <c r="D897" i="2"/>
  <c r="D893" i="2"/>
  <c r="B889" i="2"/>
  <c r="A889" i="2" s="1"/>
  <c r="B886" i="2"/>
  <c r="A886" i="2" s="1"/>
  <c r="F882" i="2"/>
  <c r="E879" i="2"/>
  <c r="D876" i="2"/>
  <c r="C873" i="2"/>
  <c r="B870" i="2"/>
  <c r="A870" i="2" s="1"/>
  <c r="F866" i="2"/>
  <c r="E863" i="2"/>
  <c r="D860" i="2"/>
  <c r="C857" i="2"/>
  <c r="B854" i="2"/>
  <c r="A854" i="2" s="1"/>
  <c r="F850" i="2"/>
  <c r="E847" i="2"/>
  <c r="D844" i="2"/>
  <c r="C841" i="2"/>
  <c r="B838" i="2"/>
  <c r="A838" i="2" s="1"/>
  <c r="F834" i="2"/>
  <c r="E831" i="2"/>
  <c r="D828" i="2"/>
  <c r="C825" i="2"/>
  <c r="B823" i="2"/>
  <c r="A823" i="2" s="1"/>
  <c r="F819" i="2"/>
  <c r="E816" i="2"/>
  <c r="D813" i="2"/>
  <c r="C810" i="2"/>
  <c r="B807" i="2"/>
  <c r="A807" i="2" s="1"/>
  <c r="F803" i="2"/>
  <c r="E800" i="2"/>
  <c r="D797" i="2"/>
  <c r="C794" i="2"/>
  <c r="B791" i="2"/>
  <c r="A791" i="2" s="1"/>
  <c r="F787" i="2"/>
  <c r="E784" i="2"/>
  <c r="D781" i="2"/>
  <c r="C778" i="2"/>
  <c r="B775" i="2"/>
  <c r="A775" i="2" s="1"/>
  <c r="F771" i="2"/>
  <c r="E768" i="2"/>
  <c r="D765" i="2"/>
  <c r="C762" i="2"/>
  <c r="B759" i="2"/>
  <c r="A759" i="2" s="1"/>
  <c r="F755" i="2"/>
  <c r="E823" i="2"/>
  <c r="D820" i="2"/>
  <c r="C817" i="2"/>
  <c r="B814" i="2"/>
  <c r="A814" i="2" s="1"/>
  <c r="F810" i="2"/>
  <c r="E807" i="2"/>
  <c r="D804" i="2"/>
  <c r="C801" i="2"/>
  <c r="B798" i="2"/>
  <c r="A798" i="2" s="1"/>
  <c r="F794" i="2"/>
  <c r="E791" i="2"/>
  <c r="D788" i="2"/>
  <c r="C785" i="2"/>
  <c r="B782" i="2"/>
  <c r="A782" i="2" s="1"/>
  <c r="F778" i="2"/>
  <c r="E775" i="2"/>
  <c r="D772" i="2"/>
  <c r="C769" i="2"/>
  <c r="B766" i="2"/>
  <c r="A766" i="2" s="1"/>
  <c r="F762" i="2"/>
  <c r="E759" i="2"/>
  <c r="D756" i="2"/>
  <c r="E822" i="2"/>
  <c r="D819" i="2"/>
  <c r="C816" i="2"/>
  <c r="B813" i="2"/>
  <c r="A813" i="2" s="1"/>
  <c r="F809" i="2"/>
  <c r="E806" i="2"/>
  <c r="D803" i="2"/>
  <c r="C800" i="2"/>
  <c r="B797" i="2"/>
  <c r="A797" i="2" s="1"/>
  <c r="F793" i="2"/>
  <c r="E790" i="2"/>
  <c r="D787" i="2"/>
  <c r="C784" i="2"/>
  <c r="B781" i="2"/>
  <c r="A781" i="2" s="1"/>
  <c r="F777" i="2"/>
  <c r="E774" i="2"/>
  <c r="D771" i="2"/>
  <c r="C768" i="2"/>
  <c r="B765" i="2"/>
  <c r="A765" i="2" s="1"/>
  <c r="B825" i="2"/>
  <c r="A825" i="2" s="1"/>
  <c r="D822" i="2"/>
  <c r="C819" i="2"/>
  <c r="B816" i="2"/>
  <c r="A816" i="2" s="1"/>
  <c r="F812" i="2"/>
  <c r="E809" i="2"/>
  <c r="D806" i="2"/>
  <c r="C803" i="2"/>
  <c r="B800" i="2"/>
  <c r="A800" i="2" s="1"/>
  <c r="F796" i="2"/>
  <c r="E793" i="2"/>
  <c r="D790" i="2"/>
  <c r="C787" i="2"/>
  <c r="B780" i="2"/>
  <c r="A780" i="2" s="1"/>
  <c r="E769" i="2"/>
  <c r="B761" i="2"/>
  <c r="A761" i="2" s="1"/>
  <c r="B757" i="2"/>
  <c r="A757" i="2" s="1"/>
  <c r="C753" i="2"/>
  <c r="B750" i="2"/>
  <c r="A750" i="2" s="1"/>
  <c r="F746" i="2"/>
  <c r="E743" i="2"/>
  <c r="D740" i="2"/>
  <c r="C737" i="2"/>
  <c r="B734" i="2"/>
  <c r="A734" i="2" s="1"/>
  <c r="F730" i="2"/>
  <c r="E727" i="2"/>
  <c r="D724" i="2"/>
  <c r="C721" i="2"/>
  <c r="B718" i="2"/>
  <c r="A718" i="2" s="1"/>
  <c r="F714" i="2"/>
  <c r="E711" i="2"/>
  <c r="D708" i="2"/>
  <c r="C705" i="2"/>
  <c r="B702" i="2"/>
  <c r="A702" i="2" s="1"/>
  <c r="F698" i="2"/>
  <c r="E695" i="2"/>
  <c r="D692" i="2"/>
  <c r="C689" i="2"/>
  <c r="B686" i="2"/>
  <c r="A686" i="2" s="1"/>
  <c r="F682" i="2"/>
  <c r="E679" i="2"/>
  <c r="D676" i="2"/>
  <c r="C673" i="2"/>
  <c r="B670" i="2"/>
  <c r="A670" i="2" s="1"/>
  <c r="F666" i="2"/>
  <c r="E663" i="2"/>
  <c r="D660" i="2"/>
  <c r="C657" i="2"/>
  <c r="B654" i="2"/>
  <c r="A654" i="2" s="1"/>
  <c r="F650" i="2"/>
  <c r="E647" i="2"/>
  <c r="D644" i="2"/>
  <c r="C641" i="2"/>
  <c r="B638" i="2"/>
  <c r="A638" i="2" s="1"/>
  <c r="F634" i="2"/>
  <c r="E631" i="2"/>
  <c r="D628" i="2"/>
  <c r="C625" i="2"/>
  <c r="B2" i="2"/>
  <c r="C13" i="2"/>
  <c r="C60" i="2"/>
  <c r="C92" i="2"/>
  <c r="B37" i="2"/>
  <c r="A37" i="2" s="1"/>
  <c r="C124" i="2"/>
  <c r="B197" i="2"/>
  <c r="A197" i="2" s="1"/>
  <c r="B229" i="2"/>
  <c r="A229" i="2" s="1"/>
  <c r="B5" i="2"/>
  <c r="A5" i="2" s="1"/>
  <c r="C48" i="2"/>
  <c r="C64" i="2"/>
  <c r="C96" i="2"/>
  <c r="E146" i="2"/>
  <c r="E178" i="2"/>
  <c r="E242" i="2"/>
  <c r="B6" i="2"/>
  <c r="A6" i="2" s="1"/>
  <c r="C152" i="2"/>
  <c r="C216" i="2"/>
  <c r="F280" i="2"/>
  <c r="E4" i="2"/>
  <c r="B11" i="2"/>
  <c r="A11" i="2" s="1"/>
  <c r="B18" i="2"/>
  <c r="A18" i="2" s="1"/>
  <c r="B26" i="2"/>
  <c r="A26" i="2" s="1"/>
  <c r="B34" i="2"/>
  <c r="A34" i="2" s="1"/>
  <c r="B42" i="2"/>
  <c r="A42" i="2" s="1"/>
  <c r="B50" i="2"/>
  <c r="A50" i="2" s="1"/>
  <c r="B58" i="2"/>
  <c r="A58" i="2" s="1"/>
  <c r="B66" i="2"/>
  <c r="A66" i="2" s="1"/>
  <c r="B74" i="2"/>
  <c r="A74" i="2" s="1"/>
  <c r="B86" i="2"/>
  <c r="A86" i="2" s="1"/>
  <c r="B94" i="2"/>
  <c r="A94" i="2" s="1"/>
  <c r="B102" i="2"/>
  <c r="A102" i="2" s="1"/>
  <c r="B110" i="2"/>
  <c r="A110" i="2" s="1"/>
  <c r="B118" i="2"/>
  <c r="A118" i="2" s="1"/>
  <c r="B122" i="2"/>
  <c r="A122" i="2" s="1"/>
  <c r="B130" i="2"/>
  <c r="A130" i="2" s="1"/>
  <c r="D147" i="2"/>
  <c r="D179" i="2"/>
  <c r="D211" i="2"/>
  <c r="D243" i="2"/>
  <c r="D275" i="2"/>
  <c r="C7" i="2"/>
  <c r="E13" i="2"/>
  <c r="E22" i="2"/>
  <c r="F33" i="2"/>
  <c r="E43" i="2"/>
  <c r="E54" i="2"/>
  <c r="F65" i="2"/>
  <c r="E75" i="2"/>
  <c r="E86" i="2"/>
  <c r="F97" i="2"/>
  <c r="E107" i="2"/>
  <c r="E118" i="2"/>
  <c r="F129" i="2"/>
  <c r="E139" i="2"/>
  <c r="B161" i="2"/>
  <c r="A161" i="2" s="1"/>
  <c r="B193" i="2"/>
  <c r="A193" i="2" s="1"/>
  <c r="E214" i="2"/>
  <c r="C236" i="2"/>
  <c r="B257" i="2"/>
  <c r="A257" i="2" s="1"/>
  <c r="E278" i="2"/>
  <c r="F22" i="2"/>
  <c r="F54" i="2"/>
  <c r="F70" i="2"/>
  <c r="F102" i="2"/>
  <c r="F134" i="2"/>
  <c r="D167" i="2"/>
  <c r="D199" i="2"/>
  <c r="D231" i="2"/>
  <c r="D279" i="2"/>
  <c r="F146" i="2"/>
  <c r="C153" i="2"/>
  <c r="E159" i="2"/>
  <c r="B166" i="2"/>
  <c r="A166" i="2" s="1"/>
  <c r="D172" i="2"/>
  <c r="F178" i="2"/>
  <c r="C185" i="2"/>
  <c r="E191" i="2"/>
  <c r="B198" i="2"/>
  <c r="A198" i="2" s="1"/>
  <c r="D204" i="2"/>
  <c r="F210" i="2"/>
  <c r="C217" i="2"/>
  <c r="E223" i="2"/>
  <c r="B230" i="2"/>
  <c r="A230" i="2" s="1"/>
  <c r="D236" i="2"/>
  <c r="F242" i="2"/>
  <c r="C249" i="2"/>
  <c r="E255" i="2"/>
  <c r="B262" i="2"/>
  <c r="A262" i="2" s="1"/>
  <c r="D268" i="2"/>
  <c r="F274" i="2"/>
  <c r="B283" i="2"/>
  <c r="A283" i="2" s="1"/>
  <c r="B299" i="2"/>
  <c r="A299" i="2" s="1"/>
  <c r="E16" i="2"/>
  <c r="B23" i="2"/>
  <c r="A23" i="2" s="1"/>
  <c r="D29" i="2"/>
  <c r="F35" i="2"/>
  <c r="C42" i="2"/>
  <c r="E48" i="2"/>
  <c r="B55" i="2"/>
  <c r="A55" i="2" s="1"/>
  <c r="D61" i="2"/>
  <c r="F67" i="2"/>
  <c r="C74" i="2"/>
  <c r="E80" i="2"/>
  <c r="B87" i="2"/>
  <c r="A87" i="2" s="1"/>
  <c r="D93" i="2"/>
  <c r="F99" i="2"/>
  <c r="C106" i="2"/>
  <c r="E112" i="2"/>
  <c r="B119" i="2"/>
  <c r="A119" i="2" s="1"/>
  <c r="D125" i="2"/>
  <c r="F131" i="2"/>
  <c r="D141" i="2"/>
  <c r="F147" i="2"/>
  <c r="C154" i="2"/>
  <c r="E160" i="2"/>
  <c r="B167" i="2"/>
  <c r="A167" i="2" s="1"/>
  <c r="D173" i="2"/>
  <c r="F179" i="2"/>
  <c r="C186" i="2"/>
  <c r="E192" i="2"/>
  <c r="B199" i="2"/>
  <c r="A199" i="2" s="1"/>
  <c r="D205" i="2"/>
  <c r="F211" i="2"/>
  <c r="C218" i="2"/>
  <c r="E224" i="2"/>
  <c r="B231" i="2"/>
  <c r="A231" i="2" s="1"/>
  <c r="D237" i="2"/>
  <c r="F243" i="2"/>
  <c r="C250" i="2"/>
  <c r="E256" i="2"/>
  <c r="B263" i="2"/>
  <c r="A263" i="2" s="1"/>
  <c r="D269" i="2"/>
  <c r="F275" i="2"/>
  <c r="D282" i="2"/>
  <c r="D290" i="2"/>
  <c r="D298" i="2"/>
  <c r="D22" i="2"/>
  <c r="F28" i="2"/>
  <c r="B32" i="2"/>
  <c r="A32" i="2" s="1"/>
  <c r="D38" i="2"/>
  <c r="B48" i="2"/>
  <c r="A48" i="2" s="1"/>
  <c r="D54" i="2"/>
  <c r="F60" i="2"/>
  <c r="C67" i="2"/>
  <c r="E73" i="2"/>
  <c r="B80" i="2"/>
  <c r="A80" i="2" s="1"/>
  <c r="D86" i="2"/>
  <c r="F92" i="2"/>
  <c r="C99" i="2"/>
  <c r="E105" i="2"/>
  <c r="B112" i="2"/>
  <c r="A112" i="2" s="1"/>
  <c r="D118" i="2"/>
  <c r="F124" i="2"/>
  <c r="C131" i="2"/>
  <c r="E137" i="2"/>
  <c r="B144" i="2"/>
  <c r="A144" i="2" s="1"/>
  <c r="D150" i="2"/>
  <c r="F156" i="2"/>
  <c r="C163" i="2"/>
  <c r="E169" i="2"/>
  <c r="C179" i="2"/>
  <c r="E185" i="2"/>
  <c r="B192" i="2"/>
  <c r="A192" i="2" s="1"/>
  <c r="D198" i="2"/>
  <c r="F204" i="2"/>
  <c r="C211" i="2"/>
  <c r="E217" i="2"/>
  <c r="B224" i="2"/>
  <c r="A224" i="2" s="1"/>
  <c r="D230" i="2"/>
  <c r="F236" i="2"/>
  <c r="C243" i="2"/>
  <c r="E249" i="2"/>
  <c r="B256" i="2"/>
  <c r="A256" i="2" s="1"/>
  <c r="D262" i="2"/>
  <c r="F268" i="2"/>
  <c r="C275" i="2"/>
  <c r="F283" i="2"/>
  <c r="E293" i="2"/>
  <c r="B308" i="2"/>
  <c r="A308" i="2" s="1"/>
  <c r="D318" i="2"/>
  <c r="F324" i="2"/>
  <c r="C331" i="2"/>
  <c r="E337" i="2"/>
  <c r="C347" i="2"/>
  <c r="E353" i="2"/>
  <c r="B360" i="2"/>
  <c r="A360" i="2" s="1"/>
  <c r="D366" i="2"/>
  <c r="F372" i="2"/>
  <c r="C379" i="2"/>
  <c r="E385" i="2"/>
  <c r="B392" i="2"/>
  <c r="A392" i="2" s="1"/>
  <c r="D398" i="2"/>
  <c r="F404" i="2"/>
  <c r="C411" i="2"/>
  <c r="E417" i="2"/>
  <c r="D283" i="2"/>
  <c r="F289" i="2"/>
  <c r="C296" i="2"/>
  <c r="E302" i="2"/>
  <c r="B309" i="2"/>
  <c r="A309" i="2" s="1"/>
  <c r="D315" i="2"/>
  <c r="F321" i="2"/>
  <c r="C328" i="2"/>
  <c r="F337" i="2"/>
  <c r="C344" i="2"/>
  <c r="E350" i="2"/>
  <c r="B357" i="2"/>
  <c r="A357" i="2" s="1"/>
  <c r="D363" i="2"/>
  <c r="F369" i="2"/>
  <c r="C376" i="2"/>
  <c r="E382" i="2"/>
  <c r="B389" i="2"/>
  <c r="A389" i="2" s="1"/>
  <c r="D395" i="2"/>
  <c r="F401" i="2"/>
  <c r="C408" i="2"/>
  <c r="E414" i="2"/>
  <c r="B422" i="2"/>
  <c r="A422" i="2" s="1"/>
  <c r="B286" i="2"/>
  <c r="A286" i="2" s="1"/>
  <c r="D292" i="2"/>
  <c r="F298" i="2"/>
  <c r="C305" i="2"/>
  <c r="E311" i="2"/>
  <c r="B318" i="2"/>
  <c r="A318" i="2" s="1"/>
  <c r="D324" i="2"/>
  <c r="B334" i="2"/>
  <c r="A334" i="2" s="1"/>
  <c r="D340" i="2"/>
  <c r="F346" i="2"/>
  <c r="C353" i="2"/>
  <c r="E359" i="2"/>
  <c r="B366" i="2"/>
  <c r="A366" i="2" s="1"/>
  <c r="D372" i="2"/>
  <c r="F378" i="2"/>
  <c r="C385" i="2"/>
  <c r="E391" i="2"/>
  <c r="B398" i="2"/>
  <c r="A398" i="2" s="1"/>
  <c r="D404" i="2"/>
  <c r="F410" i="2"/>
  <c r="C417" i="2"/>
  <c r="F303" i="2"/>
  <c r="C310" i="2"/>
  <c r="E316" i="2"/>
  <c r="B323" i="2"/>
  <c r="A323" i="2" s="1"/>
  <c r="D329" i="2"/>
  <c r="F335" i="2"/>
  <c r="C342" i="2"/>
  <c r="F351" i="2"/>
  <c r="C358" i="2"/>
  <c r="E364" i="2"/>
  <c r="B371" i="2"/>
  <c r="A371" i="2" s="1"/>
  <c r="D377" i="2"/>
  <c r="F383" i="2"/>
  <c r="C390" i="2"/>
  <c r="E396" i="2"/>
  <c r="B403" i="2"/>
  <c r="A403" i="2" s="1"/>
  <c r="D409" i="2"/>
  <c r="F415" i="2"/>
  <c r="C423" i="2"/>
  <c r="E429" i="2"/>
  <c r="B436" i="2"/>
  <c r="A436" i="2" s="1"/>
  <c r="D442" i="2"/>
  <c r="F448" i="2"/>
  <c r="C455" i="2"/>
  <c r="E461" i="2"/>
  <c r="B468" i="2"/>
  <c r="A468" i="2" s="1"/>
  <c r="D474" i="2"/>
  <c r="F480" i="2"/>
  <c r="C487" i="2"/>
  <c r="D490" i="2"/>
  <c r="E493" i="2"/>
  <c r="F496" i="2"/>
  <c r="C503" i="2"/>
  <c r="D506" i="2"/>
  <c r="E509" i="2"/>
  <c r="F512" i="2"/>
  <c r="B516" i="2"/>
  <c r="A516" i="2" s="1"/>
  <c r="C519" i="2"/>
  <c r="D522" i="2"/>
  <c r="E525" i="2"/>
  <c r="F528" i="2"/>
  <c r="B532" i="2"/>
  <c r="A532" i="2" s="1"/>
  <c r="C535" i="2"/>
  <c r="D538" i="2"/>
  <c r="E541" i="2"/>
  <c r="F544" i="2"/>
  <c r="B548" i="2"/>
  <c r="A548" i="2" s="1"/>
  <c r="C551" i="2"/>
  <c r="D554" i="2"/>
  <c r="E557" i="2"/>
  <c r="C420" i="2"/>
  <c r="D423" i="2"/>
  <c r="E426" i="2"/>
  <c r="F429" i="2"/>
  <c r="B433" i="2"/>
  <c r="A433" i="2" s="1"/>
  <c r="C436" i="2"/>
  <c r="D439" i="2"/>
  <c r="E442" i="2"/>
  <c r="F445" i="2"/>
  <c r="B449" i="2"/>
  <c r="A449" i="2" s="1"/>
  <c r="C452" i="2"/>
  <c r="D455" i="2"/>
  <c r="E458" i="2"/>
  <c r="F461" i="2"/>
  <c r="B465" i="2"/>
  <c r="A465" i="2" s="1"/>
  <c r="C468" i="2"/>
  <c r="D471" i="2"/>
  <c r="E474" i="2"/>
  <c r="F477" i="2"/>
  <c r="B481" i="2"/>
  <c r="A481" i="2" s="1"/>
  <c r="C484" i="2"/>
  <c r="D487" i="2"/>
  <c r="E490" i="2"/>
  <c r="F493" i="2"/>
  <c r="B497" i="2"/>
  <c r="A497" i="2" s="1"/>
  <c r="C500" i="2"/>
  <c r="D503" i="2"/>
  <c r="C508" i="2"/>
  <c r="C512" i="2"/>
  <c r="C516" i="2"/>
  <c r="B521" i="2"/>
  <c r="A521" i="2" s="1"/>
  <c r="B525" i="2"/>
  <c r="A525" i="2" s="1"/>
  <c r="B529" i="2"/>
  <c r="A529" i="2" s="1"/>
  <c r="F533" i="2"/>
  <c r="F537" i="2"/>
  <c r="F541" i="2"/>
  <c r="E546" i="2"/>
  <c r="E550" i="2"/>
  <c r="E554" i="2"/>
  <c r="F560" i="2"/>
  <c r="B426" i="2"/>
  <c r="A426" i="2" s="1"/>
  <c r="B430" i="2"/>
  <c r="A430" i="2" s="1"/>
  <c r="F434" i="2"/>
  <c r="F438" i="2"/>
  <c r="F442" i="2"/>
  <c r="E447" i="2"/>
  <c r="E451" i="2"/>
  <c r="E455" i="2"/>
  <c r="D460" i="2"/>
  <c r="D464" i="2"/>
  <c r="D468" i="2"/>
  <c r="F474" i="2"/>
  <c r="C481" i="2"/>
  <c r="E487" i="2"/>
  <c r="B494" i="2"/>
  <c r="A494" i="2" s="1"/>
  <c r="D500" i="2"/>
  <c r="F506" i="2"/>
  <c r="C513" i="2"/>
  <c r="E519" i="2"/>
  <c r="B526" i="2"/>
  <c r="A526" i="2" s="1"/>
  <c r="D532" i="2"/>
  <c r="F538" i="2"/>
  <c r="C545" i="2"/>
  <c r="E551" i="2"/>
  <c r="D558" i="2"/>
  <c r="C422" i="2"/>
  <c r="E428" i="2"/>
  <c r="B435" i="2"/>
  <c r="A435" i="2" s="1"/>
  <c r="D441" i="2"/>
  <c r="F447" i="2"/>
  <c r="C454" i="2"/>
  <c r="E460" i="2"/>
  <c r="B467" i="2"/>
  <c r="A467" i="2" s="1"/>
  <c r="D473" i="2"/>
  <c r="F479" i="2"/>
  <c r="C486" i="2"/>
  <c r="E492" i="2"/>
  <c r="B499" i="2"/>
  <c r="A499" i="2" s="1"/>
  <c r="D505" i="2"/>
  <c r="F511" i="2"/>
  <c r="C518" i="2"/>
  <c r="E524" i="2"/>
  <c r="B531" i="2"/>
  <c r="A531" i="2" s="1"/>
  <c r="D537" i="2"/>
  <c r="F543" i="2"/>
  <c r="C550" i="2"/>
  <c r="E556" i="2"/>
  <c r="D566" i="2"/>
  <c r="F572" i="2"/>
  <c r="C579" i="2"/>
  <c r="F588" i="2"/>
  <c r="E601" i="2"/>
  <c r="B615" i="2"/>
  <c r="A615" i="2" s="1"/>
  <c r="B561" i="2"/>
  <c r="A561" i="2" s="1"/>
  <c r="F573" i="2"/>
  <c r="E586" i="2"/>
  <c r="D599" i="2"/>
  <c r="B612" i="2"/>
  <c r="A612" i="2" s="1"/>
  <c r="E637" i="2"/>
  <c r="F566" i="2"/>
  <c r="E579" i="2"/>
  <c r="D592" i="2"/>
  <c r="C605" i="2"/>
  <c r="D620" i="2"/>
  <c r="D565" i="2"/>
  <c r="C578" i="2"/>
  <c r="B591" i="2"/>
  <c r="A591" i="2" s="1"/>
  <c r="F603" i="2"/>
  <c r="B618" i="2"/>
  <c r="A618" i="2" s="1"/>
  <c r="B651" i="2"/>
  <c r="A651" i="2" s="1"/>
  <c r="D623" i="2"/>
  <c r="B639" i="2"/>
  <c r="A639" i="2" s="1"/>
  <c r="B655" i="2"/>
  <c r="A655" i="2" s="1"/>
  <c r="B671" i="2"/>
  <c r="A671" i="2" s="1"/>
  <c r="B687" i="2"/>
  <c r="A687" i="2" s="1"/>
  <c r="C706" i="2"/>
  <c r="D629" i="2"/>
  <c r="E648" i="2"/>
  <c r="D666" i="2"/>
  <c r="B684" i="2"/>
  <c r="A684" i="2" s="1"/>
  <c r="C702" i="2"/>
  <c r="E661" i="2"/>
  <c r="E677" i="2"/>
  <c r="E693" i="2"/>
  <c r="E720" i="2"/>
  <c r="E644" i="2"/>
  <c r="D662" i="2"/>
  <c r="B680" i="2"/>
  <c r="A680" i="2" s="1"/>
  <c r="C699" i="2"/>
  <c r="D737" i="2"/>
  <c r="C750" i="2"/>
  <c r="D778" i="2"/>
  <c r="E713" i="2"/>
  <c r="D726" i="2"/>
  <c r="C739" i="2"/>
  <c r="B752" i="2"/>
  <c r="A752" i="2" s="1"/>
  <c r="D703" i="2"/>
  <c r="C716" i="2"/>
  <c r="B729" i="2"/>
  <c r="A729" i="2" s="1"/>
  <c r="F741" i="2"/>
  <c r="E754" i="2"/>
  <c r="F9" i="2"/>
  <c r="F288" i="2"/>
  <c r="F41" i="2"/>
  <c r="F57" i="2"/>
  <c r="F105" i="2"/>
  <c r="F121" i="2"/>
  <c r="F30" i="2"/>
  <c r="F78" i="2"/>
  <c r="F126" i="2"/>
  <c r="F186" i="2"/>
  <c r="F234" i="2"/>
  <c r="F43" i="2"/>
  <c r="F107" i="2"/>
  <c r="F123" i="2"/>
  <c r="F139" i="2"/>
  <c r="F187" i="2"/>
  <c r="F235" i="2"/>
  <c r="F116" i="2"/>
  <c r="F164" i="2"/>
  <c r="F244" i="2"/>
  <c r="F260" i="2"/>
  <c r="F10" i="2"/>
  <c r="E234" i="2"/>
  <c r="C9" i="2"/>
  <c r="C208" i="2"/>
  <c r="F292" i="2"/>
  <c r="C10" i="2"/>
  <c r="C21" i="2"/>
  <c r="C33" i="2"/>
  <c r="C45" i="2"/>
  <c r="C65" i="2"/>
  <c r="C77" i="2"/>
  <c r="C89" i="2"/>
  <c r="C101" i="2"/>
  <c r="C113" i="2"/>
  <c r="C125" i="2"/>
  <c r="C137" i="2"/>
  <c r="F173" i="2"/>
  <c r="F205" i="2"/>
  <c r="F253" i="2"/>
  <c r="D6" i="2"/>
  <c r="F16" i="2"/>
  <c r="E42" i="2"/>
  <c r="E58" i="2"/>
  <c r="E74" i="2"/>
  <c r="E90" i="2"/>
  <c r="E106" i="2"/>
  <c r="E122" i="2"/>
  <c r="E138" i="2"/>
  <c r="E158" i="2"/>
  <c r="E190" i="2"/>
  <c r="E254" i="2"/>
  <c r="D11" i="2"/>
  <c r="F34" i="2"/>
  <c r="F82" i="2"/>
  <c r="F130" i="2"/>
  <c r="F177" i="2"/>
  <c r="F225" i="2"/>
  <c r="F273" i="2"/>
  <c r="C149" i="2"/>
  <c r="E171" i="2"/>
  <c r="C181" i="2"/>
  <c r="F190" i="2"/>
  <c r="C197" i="2"/>
  <c r="F206" i="2"/>
  <c r="D216" i="2"/>
  <c r="E235" i="2"/>
  <c r="C245" i="2"/>
  <c r="F254" i="2"/>
  <c r="D264" i="2"/>
  <c r="C290" i="2"/>
  <c r="E60" i="2"/>
  <c r="C70" i="2"/>
  <c r="F79" i="2"/>
  <c r="D89" i="2"/>
  <c r="E108" i="2"/>
  <c r="C118" i="2"/>
  <c r="E140" i="2"/>
  <c r="C150" i="2"/>
  <c r="F159" i="2"/>
  <c r="D169" i="2"/>
  <c r="F175" i="2"/>
  <c r="D185" i="2"/>
  <c r="E204" i="2"/>
  <c r="C214" i="2"/>
  <c r="F223" i="2"/>
  <c r="D233" i="2"/>
  <c r="E252" i="2"/>
  <c r="C262" i="2"/>
  <c r="D285" i="2"/>
  <c r="D297" i="2"/>
  <c r="E37" i="2"/>
  <c r="C47" i="2"/>
  <c r="E85" i="2"/>
  <c r="C95" i="2"/>
  <c r="F104" i="2"/>
  <c r="C111" i="2"/>
  <c r="E117" i="2"/>
  <c r="C127" i="2"/>
  <c r="F136" i="2"/>
  <c r="D146" i="2"/>
  <c r="E181" i="2"/>
  <c r="C191" i="2"/>
  <c r="E197" i="2"/>
  <c r="C207" i="2"/>
  <c r="F216" i="2"/>
  <c r="D226" i="2"/>
  <c r="E3" i="2"/>
  <c r="C44" i="2"/>
  <c r="C76" i="2"/>
  <c r="C108" i="2"/>
  <c r="C140" i="2"/>
  <c r="B165" i="2"/>
  <c r="A165" i="2" s="1"/>
  <c r="B261" i="2"/>
  <c r="A261" i="2" s="1"/>
  <c r="B14" i="2"/>
  <c r="A14" i="2" s="1"/>
  <c r="C32" i="2"/>
  <c r="C80" i="2"/>
  <c r="C112" i="2"/>
  <c r="C128" i="2"/>
  <c r="E210" i="2"/>
  <c r="E274" i="2"/>
  <c r="B10" i="2"/>
  <c r="A10" i="2" s="1"/>
  <c r="C184" i="2"/>
  <c r="C248" i="2"/>
  <c r="F296" i="2"/>
  <c r="F7" i="2"/>
  <c r="C14" i="2"/>
  <c r="B22" i="2"/>
  <c r="A22" i="2" s="1"/>
  <c r="B30" i="2"/>
  <c r="A30" i="2" s="1"/>
  <c r="B38" i="2"/>
  <c r="A38" i="2" s="1"/>
  <c r="B46" i="2"/>
  <c r="A46" i="2" s="1"/>
  <c r="B54" i="2"/>
  <c r="A54" i="2" s="1"/>
  <c r="B62" i="2"/>
  <c r="A62" i="2" s="1"/>
  <c r="B70" i="2"/>
  <c r="A70" i="2" s="1"/>
  <c r="B78" i="2"/>
  <c r="A78" i="2" s="1"/>
  <c r="B82" i="2"/>
  <c r="A82" i="2" s="1"/>
  <c r="B90" i="2"/>
  <c r="A90" i="2" s="1"/>
  <c r="B98" i="2"/>
  <c r="A98" i="2" s="1"/>
  <c r="B106" i="2"/>
  <c r="A106" i="2" s="1"/>
  <c r="B114" i="2"/>
  <c r="A114" i="2" s="1"/>
  <c r="B126" i="2"/>
  <c r="A126" i="2" s="1"/>
  <c r="B134" i="2"/>
  <c r="A134" i="2" s="1"/>
  <c r="B138" i="2"/>
  <c r="A138" i="2" s="1"/>
  <c r="D163" i="2"/>
  <c r="D195" i="2"/>
  <c r="D227" i="2"/>
  <c r="D259" i="2"/>
  <c r="B4" i="2"/>
  <c r="A4" i="2" s="1"/>
  <c r="D10" i="2"/>
  <c r="B17" i="2"/>
  <c r="A17" i="2" s="1"/>
  <c r="E27" i="2"/>
  <c r="E38" i="2"/>
  <c r="F49" i="2"/>
  <c r="E59" i="2"/>
  <c r="E70" i="2"/>
  <c r="F81" i="2"/>
  <c r="E91" i="2"/>
  <c r="E102" i="2"/>
  <c r="F113" i="2"/>
  <c r="E123" i="2"/>
  <c r="E134" i="2"/>
  <c r="E150" i="2"/>
  <c r="C172" i="2"/>
  <c r="E182" i="2"/>
  <c r="C204" i="2"/>
  <c r="B225" i="2"/>
  <c r="A225" i="2" s="1"/>
  <c r="E246" i="2"/>
  <c r="C268" i="2"/>
  <c r="C12" i="2"/>
  <c r="E15" i="2"/>
  <c r="F38" i="2"/>
  <c r="F86" i="2"/>
  <c r="F118" i="2"/>
  <c r="D151" i="2"/>
  <c r="D183" i="2"/>
  <c r="D215" i="2"/>
  <c r="D247" i="2"/>
  <c r="D263" i="2"/>
  <c r="E143" i="2"/>
  <c r="B150" i="2"/>
  <c r="A150" i="2" s="1"/>
  <c r="D156" i="2"/>
  <c r="F162" i="2"/>
  <c r="C169" i="2"/>
  <c r="E175" i="2"/>
  <c r="B182" i="2"/>
  <c r="A182" i="2" s="1"/>
  <c r="D188" i="2"/>
  <c r="F194" i="2"/>
  <c r="C201" i="2"/>
  <c r="E207" i="2"/>
  <c r="B214" i="2"/>
  <c r="A214" i="2" s="1"/>
  <c r="D220" i="2"/>
  <c r="F226" i="2"/>
  <c r="C233" i="2"/>
  <c r="E239" i="2"/>
  <c r="B246" i="2"/>
  <c r="A246" i="2" s="1"/>
  <c r="D252" i="2"/>
  <c r="F258" i="2"/>
  <c r="C265" i="2"/>
  <c r="E271" i="2"/>
  <c r="B278" i="2"/>
  <c r="A278" i="2" s="1"/>
  <c r="B291" i="2"/>
  <c r="A291" i="2" s="1"/>
  <c r="E309" i="2"/>
  <c r="F19" i="2"/>
  <c r="C26" i="2"/>
  <c r="E32" i="2"/>
  <c r="B39" i="2"/>
  <c r="A39" i="2" s="1"/>
  <c r="D45" i="2"/>
  <c r="F51" i="2"/>
  <c r="C58" i="2"/>
  <c r="E64" i="2"/>
  <c r="B71" i="2"/>
  <c r="A71" i="2" s="1"/>
  <c r="D77" i="2"/>
  <c r="F83" i="2"/>
  <c r="C90" i="2"/>
  <c r="E96" i="2"/>
  <c r="B103" i="2"/>
  <c r="A103" i="2" s="1"/>
  <c r="D109" i="2"/>
  <c r="F115" i="2"/>
  <c r="C122" i="2"/>
  <c r="E128" i="2"/>
  <c r="B135" i="2"/>
  <c r="A135" i="2" s="1"/>
  <c r="C138" i="2"/>
  <c r="E144" i="2"/>
  <c r="B151" i="2"/>
  <c r="A151" i="2" s="1"/>
  <c r="D157" i="2"/>
  <c r="F163" i="2"/>
  <c r="C170" i="2"/>
  <c r="E176" i="2"/>
  <c r="B183" i="2"/>
  <c r="A183" i="2" s="1"/>
  <c r="D189" i="2"/>
  <c r="F195" i="2"/>
  <c r="C202" i="2"/>
  <c r="E208" i="2"/>
  <c r="B215" i="2"/>
  <c r="A215" i="2" s="1"/>
  <c r="D221" i="2"/>
  <c r="F227" i="2"/>
  <c r="C234" i="2"/>
  <c r="E240" i="2"/>
  <c r="B247" i="2"/>
  <c r="A247" i="2" s="1"/>
  <c r="D253" i="2"/>
  <c r="F259" i="2"/>
  <c r="C266" i="2"/>
  <c r="E272" i="2"/>
  <c r="B279" i="2"/>
  <c r="A279" i="2" s="1"/>
  <c r="D286" i="2"/>
  <c r="D294" i="2"/>
  <c r="F304" i="2"/>
  <c r="C19" i="2"/>
  <c r="E25" i="2"/>
  <c r="C35" i="2"/>
  <c r="E41" i="2"/>
  <c r="F44" i="2"/>
  <c r="C51" i="2"/>
  <c r="E57" i="2"/>
  <c r="B64" i="2"/>
  <c r="A64" i="2" s="1"/>
  <c r="D70" i="2"/>
  <c r="F76" i="2"/>
  <c r="C83" i="2"/>
  <c r="E89" i="2"/>
  <c r="B96" i="2"/>
  <c r="A96" i="2" s="1"/>
  <c r="D102" i="2"/>
  <c r="F108" i="2"/>
  <c r="C115" i="2"/>
  <c r="E121" i="2"/>
  <c r="B128" i="2"/>
  <c r="A128" i="2" s="1"/>
  <c r="D134" i="2"/>
  <c r="F140" i="2"/>
  <c r="C147" i="2"/>
  <c r="E153" i="2"/>
  <c r="B160" i="2"/>
  <c r="A160" i="2" s="1"/>
  <c r="D166" i="2"/>
  <c r="F172" i="2"/>
  <c r="B176" i="2"/>
  <c r="A176" i="2" s="1"/>
  <c r="D182" i="2"/>
  <c r="F188" i="2"/>
  <c r="C195" i="2"/>
  <c r="E201" i="2"/>
  <c r="B208" i="2"/>
  <c r="A208" i="2" s="1"/>
  <c r="D214" i="2"/>
  <c r="F220" i="2"/>
  <c r="C227" i="2"/>
  <c r="E233" i="2"/>
  <c r="B240" i="2"/>
  <c r="A240" i="2" s="1"/>
  <c r="D246" i="2"/>
  <c r="F252" i="2"/>
  <c r="C259" i="2"/>
  <c r="E265" i="2"/>
  <c r="B272" i="2"/>
  <c r="A272" i="2" s="1"/>
  <c r="D278" i="2"/>
  <c r="E288" i="2"/>
  <c r="F299" i="2"/>
  <c r="C315" i="2"/>
  <c r="E321" i="2"/>
  <c r="B328" i="2"/>
  <c r="A328" i="2" s="1"/>
  <c r="D334" i="2"/>
  <c r="F340" i="2"/>
  <c r="B344" i="2"/>
  <c r="A344" i="2" s="1"/>
  <c r="D350" i="2"/>
  <c r="F356" i="2"/>
  <c r="C363" i="2"/>
  <c r="E369" i="2"/>
  <c r="B376" i="2"/>
  <c r="A376" i="2" s="1"/>
  <c r="D382" i="2"/>
  <c r="F388" i="2"/>
  <c r="C395" i="2"/>
  <c r="E401" i="2"/>
  <c r="B408" i="2"/>
  <c r="A408" i="2" s="1"/>
  <c r="D414" i="2"/>
  <c r="C280" i="2"/>
  <c r="E286" i="2"/>
  <c r="B293" i="2"/>
  <c r="A293" i="2" s="1"/>
  <c r="D299" i="2"/>
  <c r="F305" i="2"/>
  <c r="C312" i="2"/>
  <c r="E318" i="2"/>
  <c r="B325" i="2"/>
  <c r="A325" i="2" s="1"/>
  <c r="D331" i="2"/>
  <c r="E334" i="2"/>
  <c r="B341" i="2"/>
  <c r="A341" i="2" s="1"/>
  <c r="D347" i="2"/>
  <c r="F353" i="2"/>
  <c r="C360" i="2"/>
  <c r="E366" i="2"/>
  <c r="B373" i="2"/>
  <c r="A373" i="2" s="1"/>
  <c r="D379" i="2"/>
  <c r="F385" i="2"/>
  <c r="C392" i="2"/>
  <c r="E398" i="2"/>
  <c r="B405" i="2"/>
  <c r="A405" i="2" s="1"/>
  <c r="D411" i="2"/>
  <c r="F417" i="2"/>
  <c r="F282" i="2"/>
  <c r="C289" i="2"/>
  <c r="E295" i="2"/>
  <c r="B302" i="2"/>
  <c r="A302" i="2" s="1"/>
  <c r="D308" i="2"/>
  <c r="F314" i="2"/>
  <c r="C321" i="2"/>
  <c r="E327" i="2"/>
  <c r="F330" i="2"/>
  <c r="C337" i="2"/>
  <c r="E343" i="2"/>
  <c r="B350" i="2"/>
  <c r="A350" i="2" s="1"/>
  <c r="D356" i="2"/>
  <c r="F362" i="2"/>
  <c r="C369" i="2"/>
  <c r="E375" i="2"/>
  <c r="B382" i="2"/>
  <c r="A382" i="2" s="1"/>
  <c r="D388" i="2"/>
  <c r="F394" i="2"/>
  <c r="C401" i="2"/>
  <c r="E407" i="2"/>
  <c r="B414" i="2"/>
  <c r="A414" i="2" s="1"/>
  <c r="F422" i="2"/>
  <c r="B307" i="2"/>
  <c r="A307" i="2" s="1"/>
  <c r="D313" i="2"/>
  <c r="F319" i="2"/>
  <c r="C326" i="2"/>
  <c r="E332" i="2"/>
  <c r="B339" i="2"/>
  <c r="A339" i="2" s="1"/>
  <c r="D345" i="2"/>
  <c r="E348" i="2"/>
  <c r="B355" i="2"/>
  <c r="A355" i="2" s="1"/>
  <c r="D361" i="2"/>
  <c r="F367" i="2"/>
  <c r="C374" i="2"/>
  <c r="E380" i="2"/>
  <c r="B387" i="2"/>
  <c r="A387" i="2" s="1"/>
  <c r="D393" i="2"/>
  <c r="F399" i="2"/>
  <c r="C406" i="2"/>
  <c r="E412" i="2"/>
  <c r="C419" i="2"/>
  <c r="D426" i="2"/>
  <c r="F432" i="2"/>
  <c r="C439" i="2"/>
  <c r="E445" i="2"/>
  <c r="B452" i="2"/>
  <c r="A452" i="2" s="1"/>
  <c r="D458" i="2"/>
  <c r="F464" i="2"/>
  <c r="C471" i="2"/>
  <c r="E477" i="2"/>
  <c r="B484" i="2"/>
  <c r="A484" i="2" s="1"/>
  <c r="B500" i="2"/>
  <c r="A500" i="2" s="1"/>
  <c r="C2" i="2"/>
  <c r="C1" i="2" s="1"/>
  <c r="F5" i="2"/>
  <c r="F6" i="2"/>
  <c r="C16" i="2"/>
  <c r="B45" i="2"/>
  <c r="A45" i="2" s="1"/>
  <c r="B61" i="2"/>
  <c r="A61" i="2" s="1"/>
  <c r="B77" i="2"/>
  <c r="A77" i="2" s="1"/>
  <c r="B93" i="2"/>
  <c r="A93" i="2" s="1"/>
  <c r="B109" i="2"/>
  <c r="A109" i="2" s="1"/>
  <c r="F2" i="2"/>
  <c r="F1" i="2" s="1"/>
  <c r="B125" i="2"/>
  <c r="A125" i="2" s="1"/>
  <c r="B141" i="2"/>
  <c r="A141" i="2" s="1"/>
  <c r="B173" i="2"/>
  <c r="A173" i="2" s="1"/>
  <c r="B205" i="2"/>
  <c r="A205" i="2" s="1"/>
  <c r="B237" i="2"/>
  <c r="A237" i="2" s="1"/>
  <c r="B269" i="2"/>
  <c r="A269" i="2" s="1"/>
  <c r="C8" i="2"/>
  <c r="E17" i="2"/>
  <c r="B33" i="2"/>
  <c r="A33" i="2" s="1"/>
  <c r="B49" i="2"/>
  <c r="A49" i="2" s="1"/>
  <c r="B65" i="2"/>
  <c r="A65" i="2" s="1"/>
  <c r="B81" i="2"/>
  <c r="A81" i="2" s="1"/>
  <c r="B97" i="2"/>
  <c r="A97" i="2" s="1"/>
  <c r="B113" i="2"/>
  <c r="A113" i="2" s="1"/>
  <c r="B129" i="2"/>
  <c r="A129" i="2" s="1"/>
  <c r="E154" i="2"/>
  <c r="E186" i="2"/>
  <c r="E218" i="2"/>
  <c r="E250" i="2"/>
  <c r="D3" i="2"/>
  <c r="D7" i="2"/>
  <c r="D12" i="2"/>
  <c r="C160" i="2"/>
  <c r="C192" i="2"/>
  <c r="C224" i="2"/>
  <c r="C256" i="2"/>
  <c r="F284" i="2"/>
  <c r="F300" i="2"/>
  <c r="D5" i="2"/>
  <c r="E8" i="2"/>
  <c r="F11" i="2"/>
  <c r="C15" i="2"/>
  <c r="D19" i="2"/>
  <c r="D23" i="2"/>
  <c r="D27" i="2"/>
  <c r="D31" i="2"/>
  <c r="D35" i="2"/>
  <c r="D39" i="2"/>
  <c r="D43" i="2"/>
  <c r="D47" i="2"/>
  <c r="D51" i="2"/>
  <c r="D55" i="2"/>
  <c r="D59" i="2"/>
  <c r="D63" i="2"/>
  <c r="D67" i="2"/>
  <c r="D71" i="2"/>
  <c r="D75" i="2"/>
  <c r="D79" i="2"/>
  <c r="D83" i="2"/>
  <c r="D87" i="2"/>
  <c r="D91" i="2"/>
  <c r="D95" i="2"/>
  <c r="D99" i="2"/>
  <c r="D103" i="2"/>
  <c r="D107" i="2"/>
  <c r="D111" i="2"/>
  <c r="D115" i="2"/>
  <c r="D119" i="2"/>
  <c r="D123" i="2"/>
  <c r="D127" i="2"/>
  <c r="D131" i="2"/>
  <c r="D135" i="2"/>
  <c r="D139" i="2"/>
  <c r="F149" i="2"/>
  <c r="F165" i="2"/>
  <c r="F181" i="2"/>
  <c r="F197" i="2"/>
  <c r="F213" i="2"/>
  <c r="F229" i="2"/>
  <c r="F245" i="2"/>
  <c r="F261" i="2"/>
  <c r="F277" i="2"/>
  <c r="F4" i="2"/>
  <c r="B8" i="2"/>
  <c r="A8" i="2" s="1"/>
  <c r="C11" i="2"/>
  <c r="D14" i="2"/>
  <c r="E18" i="2"/>
  <c r="E23" i="2"/>
  <c r="F29" i="2"/>
  <c r="E34" i="2"/>
  <c r="E39" i="2"/>
  <c r="F45" i="2"/>
  <c r="E50" i="2"/>
  <c r="E55" i="2"/>
  <c r="F61" i="2"/>
  <c r="E66" i="2"/>
  <c r="E71" i="2"/>
  <c r="F77" i="2"/>
  <c r="E82" i="2"/>
  <c r="E87" i="2"/>
  <c r="F93" i="2"/>
  <c r="E98" i="2"/>
  <c r="E103" i="2"/>
  <c r="F109" i="2"/>
  <c r="E114" i="2"/>
  <c r="E119" i="2"/>
  <c r="F125" i="2"/>
  <c r="E130" i="2"/>
  <c r="E135" i="2"/>
  <c r="E142" i="2"/>
  <c r="B153" i="2"/>
  <c r="A153" i="2" s="1"/>
  <c r="C164" i="2"/>
  <c r="E174" i="2"/>
  <c r="B185" i="2"/>
  <c r="A185" i="2" s="1"/>
  <c r="C196" i="2"/>
  <c r="E206" i="2"/>
  <c r="B217" i="2"/>
  <c r="A217" i="2" s="1"/>
  <c r="C228" i="2"/>
  <c r="E238" i="2"/>
  <c r="B249" i="2"/>
  <c r="A249" i="2" s="1"/>
  <c r="C260" i="2"/>
  <c r="E270" i="2"/>
  <c r="D306" i="2"/>
  <c r="B13" i="2"/>
  <c r="A13" i="2" s="1"/>
  <c r="B16" i="2"/>
  <c r="A16" i="2" s="1"/>
  <c r="F26" i="2"/>
  <c r="F42" i="2"/>
  <c r="F58" i="2"/>
  <c r="F74" i="2"/>
  <c r="F90" i="2"/>
  <c r="F106" i="2"/>
  <c r="F122" i="2"/>
  <c r="F138" i="2"/>
  <c r="F153" i="2"/>
  <c r="F169" i="2"/>
  <c r="F185" i="2"/>
  <c r="F201" i="2"/>
  <c r="F217" i="2"/>
  <c r="F233" i="2"/>
  <c r="F249" i="2"/>
  <c r="F265" i="2"/>
  <c r="C141" i="2"/>
  <c r="D144" i="2"/>
  <c r="E147" i="2"/>
  <c r="F150" i="2"/>
  <c r="B154" i="2"/>
  <c r="A154" i="2" s="1"/>
  <c r="C157" i="2"/>
  <c r="D160" i="2"/>
  <c r="E163" i="2"/>
  <c r="F166" i="2"/>
  <c r="B170" i="2"/>
  <c r="A170" i="2" s="1"/>
  <c r="C173" i="2"/>
  <c r="D176" i="2"/>
  <c r="E179" i="2"/>
  <c r="F182" i="2"/>
  <c r="B186" i="2"/>
  <c r="A186" i="2" s="1"/>
  <c r="C189" i="2"/>
  <c r="D192" i="2"/>
  <c r="E195" i="2"/>
  <c r="F198" i="2"/>
  <c r="B202" i="2"/>
  <c r="A202" i="2" s="1"/>
  <c r="C205" i="2"/>
  <c r="D208" i="2"/>
  <c r="E211" i="2"/>
  <c r="F214" i="2"/>
  <c r="B218" i="2"/>
  <c r="A218" i="2" s="1"/>
  <c r="C221" i="2"/>
  <c r="D224" i="2"/>
  <c r="E227" i="2"/>
  <c r="F230" i="2"/>
  <c r="B234" i="2"/>
  <c r="A234" i="2" s="1"/>
  <c r="C237" i="2"/>
  <c r="D240" i="2"/>
  <c r="E243" i="2"/>
  <c r="F246" i="2"/>
  <c r="B250" i="2"/>
  <c r="A250" i="2" s="1"/>
  <c r="C253" i="2"/>
  <c r="D256" i="2"/>
  <c r="E259" i="2"/>
  <c r="F262" i="2"/>
  <c r="B266" i="2"/>
  <c r="A266" i="2" s="1"/>
  <c r="C269" i="2"/>
  <c r="D272" i="2"/>
  <c r="E275" i="2"/>
  <c r="F278" i="2"/>
  <c r="C286" i="2"/>
  <c r="C294" i="2"/>
  <c r="E301" i="2"/>
  <c r="B312" i="2"/>
  <c r="A312" i="2" s="1"/>
  <c r="D17" i="2"/>
  <c r="E20" i="2"/>
  <c r="F23" i="2"/>
  <c r="B27" i="2"/>
  <c r="A27" i="2" s="1"/>
  <c r="C30" i="2"/>
  <c r="D33" i="2"/>
  <c r="E36" i="2"/>
  <c r="F39" i="2"/>
  <c r="B43" i="2"/>
  <c r="A43" i="2" s="1"/>
  <c r="C46" i="2"/>
  <c r="D49" i="2"/>
  <c r="E52" i="2"/>
  <c r="F55" i="2"/>
  <c r="B59" i="2"/>
  <c r="A59" i="2" s="1"/>
  <c r="C62" i="2"/>
  <c r="D65" i="2"/>
  <c r="E68" i="2"/>
  <c r="F71" i="2"/>
  <c r="B75" i="2"/>
  <c r="A75" i="2" s="1"/>
  <c r="C78" i="2"/>
  <c r="D81" i="2"/>
  <c r="E84" i="2"/>
  <c r="F87" i="2"/>
  <c r="B91" i="2"/>
  <c r="A91" i="2" s="1"/>
  <c r="C94" i="2"/>
  <c r="D97" i="2"/>
  <c r="E100" i="2"/>
  <c r="F103" i="2"/>
  <c r="B107" i="2"/>
  <c r="A107" i="2" s="1"/>
  <c r="C110" i="2"/>
  <c r="D113" i="2"/>
  <c r="E116" i="2"/>
  <c r="F119" i="2"/>
  <c r="B123" i="2"/>
  <c r="A123" i="2" s="1"/>
  <c r="C126" i="2"/>
  <c r="D129" i="2"/>
  <c r="E132" i="2"/>
  <c r="F135" i="2"/>
  <c r="B139" i="2"/>
  <c r="A139" i="2" s="1"/>
  <c r="C142" i="2"/>
  <c r="D145" i="2"/>
  <c r="E148" i="2"/>
  <c r="F151" i="2"/>
  <c r="B155" i="2"/>
  <c r="A155" i="2" s="1"/>
  <c r="C158" i="2"/>
  <c r="D161" i="2"/>
  <c r="E164" i="2"/>
  <c r="F167" i="2"/>
  <c r="B171" i="2"/>
  <c r="A171" i="2" s="1"/>
  <c r="C174" i="2"/>
  <c r="D177" i="2"/>
  <c r="E180" i="2"/>
  <c r="F183" i="2"/>
  <c r="B187" i="2"/>
  <c r="A187" i="2" s="1"/>
  <c r="C190" i="2"/>
  <c r="D193" i="2"/>
  <c r="E196" i="2"/>
  <c r="F199" i="2"/>
  <c r="B203" i="2"/>
  <c r="A203" i="2" s="1"/>
  <c r="C206" i="2"/>
  <c r="D209" i="2"/>
  <c r="E212" i="2"/>
  <c r="F215" i="2"/>
  <c r="B219" i="2"/>
  <c r="A219" i="2" s="1"/>
  <c r="C222" i="2"/>
  <c r="D225" i="2"/>
  <c r="E228" i="2"/>
  <c r="F231" i="2"/>
  <c r="B235" i="2"/>
  <c r="A235" i="2" s="1"/>
  <c r="C238" i="2"/>
  <c r="D241" i="2"/>
  <c r="E244" i="2"/>
  <c r="F247" i="2"/>
  <c r="B251" i="2"/>
  <c r="A251" i="2" s="1"/>
  <c r="C254" i="2"/>
  <c r="D257" i="2"/>
  <c r="E260" i="2"/>
  <c r="F263" i="2"/>
  <c r="B267" i="2"/>
  <c r="A267" i="2" s="1"/>
  <c r="C270" i="2"/>
  <c r="D273" i="2"/>
  <c r="E276" i="2"/>
  <c r="F279" i="2"/>
  <c r="C283" i="2"/>
  <c r="C287" i="2"/>
  <c r="C291" i="2"/>
  <c r="C295" i="2"/>
  <c r="C299" i="2"/>
  <c r="D310" i="2"/>
  <c r="B20" i="2"/>
  <c r="A20" i="2" s="1"/>
  <c r="C23" i="2"/>
  <c r="D26" i="2"/>
  <c r="E29" i="2"/>
  <c r="F32" i="2"/>
  <c r="B36" i="2"/>
  <c r="A36" i="2" s="1"/>
  <c r="C39" i="2"/>
  <c r="D42" i="2"/>
  <c r="E45" i="2"/>
  <c r="F48" i="2"/>
  <c r="B52" i="2"/>
  <c r="A52" i="2" s="1"/>
  <c r="C55" i="2"/>
  <c r="D58" i="2"/>
  <c r="E61" i="2"/>
  <c r="F64" i="2"/>
  <c r="B68" i="2"/>
  <c r="A68" i="2" s="1"/>
  <c r="C71" i="2"/>
  <c r="D74" i="2"/>
  <c r="E77" i="2"/>
  <c r="F80" i="2"/>
  <c r="B84" i="2"/>
  <c r="A84" i="2" s="1"/>
  <c r="C87" i="2"/>
  <c r="D90" i="2"/>
  <c r="E93" i="2"/>
  <c r="F96" i="2"/>
  <c r="B100" i="2"/>
  <c r="A100" i="2" s="1"/>
  <c r="C103" i="2"/>
  <c r="D106" i="2"/>
  <c r="E109" i="2"/>
  <c r="F112" i="2"/>
  <c r="B116" i="2"/>
  <c r="A116" i="2" s="1"/>
  <c r="C119" i="2"/>
  <c r="D122" i="2"/>
  <c r="E125" i="2"/>
  <c r="F128" i="2"/>
  <c r="B132" i="2"/>
  <c r="A132" i="2" s="1"/>
  <c r="C135" i="2"/>
  <c r="D138" i="2"/>
  <c r="E141" i="2"/>
  <c r="F144" i="2"/>
  <c r="B148" i="2"/>
  <c r="A148" i="2" s="1"/>
  <c r="C151" i="2"/>
  <c r="D154" i="2"/>
  <c r="E157" i="2"/>
  <c r="F160" i="2"/>
  <c r="B164" i="2"/>
  <c r="A164" i="2" s="1"/>
  <c r="C167" i="2"/>
  <c r="D170" i="2"/>
  <c r="E173" i="2"/>
  <c r="F176" i="2"/>
  <c r="B180" i="2"/>
  <c r="A180" i="2" s="1"/>
  <c r="C183" i="2"/>
  <c r="D186" i="2"/>
  <c r="E189" i="2"/>
  <c r="F192" i="2"/>
  <c r="B196" i="2"/>
  <c r="A196" i="2" s="1"/>
  <c r="C199" i="2"/>
  <c r="D202" i="2"/>
  <c r="E205" i="2"/>
  <c r="F208" i="2"/>
  <c r="B212" i="2"/>
  <c r="A212" i="2" s="1"/>
  <c r="C215" i="2"/>
  <c r="D218" i="2"/>
  <c r="E221" i="2"/>
  <c r="F224" i="2"/>
  <c r="B228" i="2"/>
  <c r="A228" i="2" s="1"/>
  <c r="C231" i="2"/>
  <c r="D234" i="2"/>
  <c r="E237" i="2"/>
  <c r="F240" i="2"/>
  <c r="B244" i="2"/>
  <c r="A244" i="2" s="1"/>
  <c r="C247" i="2"/>
  <c r="D250" i="2"/>
  <c r="E253" i="2"/>
  <c r="F256" i="2"/>
  <c r="B260" i="2"/>
  <c r="A260" i="2" s="1"/>
  <c r="C263" i="2"/>
  <c r="D266" i="2"/>
  <c r="E269" i="2"/>
  <c r="F272" i="2"/>
  <c r="B276" i="2"/>
  <c r="A276" i="2" s="1"/>
  <c r="C279" i="2"/>
  <c r="E284" i="2"/>
  <c r="E289" i="2"/>
  <c r="F295" i="2"/>
  <c r="E300" i="2"/>
  <c r="C311" i="2"/>
  <c r="B316" i="2"/>
  <c r="A316" i="2" s="1"/>
  <c r="C319" i="2"/>
  <c r="D322" i="2"/>
  <c r="E325" i="2"/>
  <c r="F328" i="2"/>
  <c r="B332" i="2"/>
  <c r="A332" i="2" s="1"/>
  <c r="C335" i="2"/>
  <c r="D338" i="2"/>
  <c r="E341" i="2"/>
  <c r="F344" i="2"/>
  <c r="B348" i="2"/>
  <c r="A348" i="2" s="1"/>
  <c r="C351" i="2"/>
  <c r="D354" i="2"/>
  <c r="E357" i="2"/>
  <c r="F360" i="2"/>
  <c r="B364" i="2"/>
  <c r="A364" i="2" s="1"/>
  <c r="C367" i="2"/>
  <c r="D370" i="2"/>
  <c r="E373" i="2"/>
  <c r="F376" i="2"/>
  <c r="B380" i="2"/>
  <c r="A380" i="2" s="1"/>
  <c r="C383" i="2"/>
  <c r="D386" i="2"/>
  <c r="E389" i="2"/>
  <c r="F392" i="2"/>
  <c r="B396" i="2"/>
  <c r="A396" i="2" s="1"/>
  <c r="C399" i="2"/>
  <c r="D402" i="2"/>
  <c r="E405" i="2"/>
  <c r="F408" i="2"/>
  <c r="B412" i="2"/>
  <c r="A412" i="2" s="1"/>
  <c r="C415" i="2"/>
  <c r="D418" i="2"/>
  <c r="B281" i="2"/>
  <c r="A281" i="2" s="1"/>
  <c r="C284" i="2"/>
  <c r="D287" i="2"/>
  <c r="E290" i="2"/>
  <c r="F293" i="2"/>
  <c r="B297" i="2"/>
  <c r="A297" i="2" s="1"/>
  <c r="C300" i="2"/>
  <c r="D303" i="2"/>
  <c r="E306" i="2"/>
  <c r="F309" i="2"/>
  <c r="B313" i="2"/>
  <c r="A313" i="2" s="1"/>
  <c r="C316" i="2"/>
  <c r="D319" i="2"/>
  <c r="E322" i="2"/>
  <c r="F325" i="2"/>
  <c r="B329" i="2"/>
  <c r="A329" i="2" s="1"/>
  <c r="C332" i="2"/>
  <c r="D335" i="2"/>
  <c r="E338" i="2"/>
  <c r="F341" i="2"/>
  <c r="B345" i="2"/>
  <c r="A345" i="2" s="1"/>
  <c r="C348" i="2"/>
  <c r="D351" i="2"/>
  <c r="E354" i="2"/>
  <c r="F357" i="2"/>
  <c r="B361" i="2"/>
  <c r="A361" i="2" s="1"/>
  <c r="C364" i="2"/>
  <c r="D367" i="2"/>
  <c r="E370" i="2"/>
  <c r="F373" i="2"/>
  <c r="B377" i="2"/>
  <c r="A377" i="2" s="1"/>
  <c r="C380" i="2"/>
  <c r="D383" i="2"/>
  <c r="E386" i="2"/>
  <c r="F389" i="2"/>
  <c r="B393" i="2"/>
  <c r="A393" i="2" s="1"/>
  <c r="C396" i="2"/>
  <c r="D399" i="2"/>
  <c r="E402" i="2"/>
  <c r="F405" i="2"/>
  <c r="B409" i="2"/>
  <c r="A409" i="2" s="1"/>
  <c r="C412" i="2"/>
  <c r="D415" i="2"/>
  <c r="E418" i="2"/>
  <c r="D280" i="2"/>
  <c r="E283" i="2"/>
  <c r="F286" i="2"/>
  <c r="B290" i="2"/>
  <c r="A290" i="2" s="1"/>
  <c r="C293" i="2"/>
  <c r="D296" i="2"/>
  <c r="E299" i="2"/>
  <c r="F302" i="2"/>
  <c r="B306" i="2"/>
  <c r="A306" i="2" s="1"/>
  <c r="C309" i="2"/>
  <c r="D312" i="2"/>
  <c r="E315" i="2"/>
  <c r="F318" i="2"/>
  <c r="B322" i="2"/>
  <c r="A322" i="2" s="1"/>
  <c r="C325" i="2"/>
  <c r="D328" i="2"/>
  <c r="E331" i="2"/>
  <c r="F334" i="2"/>
  <c r="B338" i="2"/>
  <c r="A338" i="2" s="1"/>
  <c r="C341" i="2"/>
  <c r="D344" i="2"/>
  <c r="E347" i="2"/>
  <c r="F350" i="2"/>
  <c r="B354" i="2"/>
  <c r="A354" i="2" s="1"/>
  <c r="C357" i="2"/>
  <c r="D360" i="2"/>
  <c r="E363" i="2"/>
  <c r="F366" i="2"/>
  <c r="B370" i="2"/>
  <c r="A370" i="2" s="1"/>
  <c r="C373" i="2"/>
  <c r="D376" i="2"/>
  <c r="E379" i="2"/>
  <c r="F382" i="2"/>
  <c r="B386" i="2"/>
  <c r="A386" i="2" s="1"/>
  <c r="C389" i="2"/>
  <c r="D392" i="2"/>
  <c r="E395" i="2"/>
  <c r="F398" i="2"/>
  <c r="B402" i="2"/>
  <c r="A402" i="2" s="1"/>
  <c r="C405" i="2"/>
  <c r="D408" i="2"/>
  <c r="E411" i="2"/>
  <c r="F414" i="2"/>
  <c r="B418" i="2"/>
  <c r="A418" i="2" s="1"/>
  <c r="D301" i="2"/>
  <c r="E304" i="2"/>
  <c r="F307" i="2"/>
  <c r="B311" i="2"/>
  <c r="A311" i="2" s="1"/>
  <c r="C314" i="2"/>
  <c r="D317" i="2"/>
  <c r="E320" i="2"/>
  <c r="F323" i="2"/>
  <c r="B327" i="2"/>
  <c r="A327" i="2" s="1"/>
  <c r="C330" i="2"/>
  <c r="D333" i="2"/>
  <c r="E336" i="2"/>
  <c r="F339" i="2"/>
  <c r="B343" i="2"/>
  <c r="A343" i="2" s="1"/>
  <c r="C346" i="2"/>
  <c r="D349" i="2"/>
  <c r="E352" i="2"/>
  <c r="F355" i="2"/>
  <c r="B359" i="2"/>
  <c r="A359" i="2" s="1"/>
  <c r="C362" i="2"/>
  <c r="D365" i="2"/>
  <c r="E368" i="2"/>
  <c r="F371" i="2"/>
  <c r="B375" i="2"/>
  <c r="A375" i="2" s="1"/>
  <c r="C378" i="2"/>
  <c r="D381" i="2"/>
  <c r="E384" i="2"/>
  <c r="F387" i="2"/>
  <c r="B391" i="2"/>
  <c r="A391" i="2" s="1"/>
  <c r="C394" i="2"/>
  <c r="D397" i="2"/>
  <c r="E400" i="2"/>
  <c r="F403" i="2"/>
  <c r="B407" i="2"/>
  <c r="A407" i="2" s="1"/>
  <c r="C410" i="2"/>
  <c r="D413" i="2"/>
  <c r="E416" i="2"/>
  <c r="C421" i="2"/>
  <c r="B424" i="2"/>
  <c r="A424" i="2" s="1"/>
  <c r="C427" i="2"/>
  <c r="D430" i="2"/>
  <c r="E433" i="2"/>
  <c r="F436" i="2"/>
  <c r="B440" i="2"/>
  <c r="A440" i="2" s="1"/>
  <c r="C443" i="2"/>
  <c r="D446" i="2"/>
  <c r="E449" i="2"/>
  <c r="F452" i="2"/>
  <c r="B456" i="2"/>
  <c r="A456" i="2" s="1"/>
  <c r="C459" i="2"/>
  <c r="D462" i="2"/>
  <c r="E465" i="2"/>
  <c r="F468" i="2"/>
  <c r="B472" i="2"/>
  <c r="A472" i="2" s="1"/>
  <c r="C475" i="2"/>
  <c r="D478" i="2"/>
  <c r="E481" i="2"/>
  <c r="F484" i="2"/>
  <c r="B488" i="2"/>
  <c r="A488" i="2" s="1"/>
  <c r="C491" i="2"/>
  <c r="D494" i="2"/>
  <c r="E497" i="2"/>
  <c r="F500" i="2"/>
  <c r="B504" i="2"/>
  <c r="A504" i="2" s="1"/>
  <c r="C507" i="2"/>
  <c r="D510" i="2"/>
  <c r="E513" i="2"/>
  <c r="F516" i="2"/>
  <c r="B520" i="2"/>
  <c r="A520" i="2" s="1"/>
  <c r="C523" i="2"/>
  <c r="D526" i="2"/>
  <c r="E529" i="2"/>
  <c r="F532" i="2"/>
  <c r="B536" i="2"/>
  <c r="A536" i="2" s="1"/>
  <c r="C539" i="2"/>
  <c r="D542" i="2"/>
  <c r="E545" i="2"/>
  <c r="F548" i="2"/>
  <c r="B552" i="2"/>
  <c r="A552" i="2" s="1"/>
  <c r="C555" i="2"/>
  <c r="F559" i="2"/>
  <c r="B421" i="2"/>
  <c r="A421" i="2" s="1"/>
  <c r="C424" i="2"/>
  <c r="D427" i="2"/>
  <c r="E430" i="2"/>
  <c r="F433" i="2"/>
  <c r="B437" i="2"/>
  <c r="A437" i="2" s="1"/>
  <c r="C440" i="2"/>
  <c r="D443" i="2"/>
  <c r="E446" i="2"/>
  <c r="F449" i="2"/>
  <c r="B453" i="2"/>
  <c r="A453" i="2" s="1"/>
  <c r="C456" i="2"/>
  <c r="D459" i="2"/>
  <c r="E462" i="2"/>
  <c r="F465" i="2"/>
  <c r="B469" i="2"/>
  <c r="A469" i="2" s="1"/>
  <c r="C472" i="2"/>
  <c r="D475" i="2"/>
  <c r="E478" i="2"/>
  <c r="F481" i="2"/>
  <c r="B485" i="2"/>
  <c r="A485" i="2" s="1"/>
  <c r="C488" i="2"/>
  <c r="D491" i="2"/>
  <c r="E494" i="2"/>
  <c r="F497" i="2"/>
  <c r="B501" i="2"/>
  <c r="A501" i="2" s="1"/>
  <c r="B505" i="2"/>
  <c r="A505" i="2" s="1"/>
  <c r="B509" i="2"/>
  <c r="A509" i="2" s="1"/>
  <c r="B513" i="2"/>
  <c r="A513" i="2" s="1"/>
  <c r="F517" i="2"/>
  <c r="F521" i="2"/>
  <c r="F525" i="2"/>
  <c r="E530" i="2"/>
  <c r="E534" i="2"/>
  <c r="E538" i="2"/>
  <c r="D543" i="2"/>
  <c r="D547" i="2"/>
  <c r="D551" i="2"/>
  <c r="C556" i="2"/>
  <c r="B564" i="2"/>
  <c r="A564" i="2" s="1"/>
  <c r="F426" i="2"/>
  <c r="E431" i="2"/>
  <c r="E435" i="2"/>
  <c r="E439" i="2"/>
  <c r="D444" i="2"/>
  <c r="D448" i="2"/>
  <c r="D452" i="2"/>
  <c r="C457" i="2"/>
  <c r="C461" i="2"/>
  <c r="C465" i="2"/>
  <c r="F470" i="2"/>
  <c r="C477" i="2"/>
  <c r="E483" i="2"/>
  <c r="B490" i="2"/>
  <c r="A490" i="2" s="1"/>
  <c r="D496" i="2"/>
  <c r="F502" i="2"/>
  <c r="C509" i="2"/>
  <c r="E515" i="2"/>
  <c r="B522" i="2"/>
  <c r="A522" i="2" s="1"/>
  <c r="D528" i="2"/>
  <c r="F534" i="2"/>
  <c r="C541" i="2"/>
  <c r="E547" i="2"/>
  <c r="B554" i="2"/>
  <c r="A554" i="2" s="1"/>
  <c r="F564" i="2"/>
  <c r="E424" i="2"/>
  <c r="B431" i="2"/>
  <c r="A431" i="2" s="1"/>
  <c r="D437" i="2"/>
  <c r="F443" i="2"/>
  <c r="C450" i="2"/>
  <c r="E456" i="2"/>
  <c r="B463" i="2"/>
  <c r="A463" i="2" s="1"/>
  <c r="D469" i="2"/>
  <c r="F475" i="2"/>
  <c r="C482" i="2"/>
  <c r="E488" i="2"/>
  <c r="B495" i="2"/>
  <c r="A495" i="2" s="1"/>
  <c r="D501" i="2"/>
  <c r="F507" i="2"/>
  <c r="C514" i="2"/>
  <c r="E520" i="2"/>
  <c r="B527" i="2"/>
  <c r="A527" i="2" s="1"/>
  <c r="D533" i="2"/>
  <c r="F539" i="2"/>
  <c r="C546" i="2"/>
  <c r="E552" i="2"/>
  <c r="C559" i="2"/>
  <c r="F568" i="2"/>
  <c r="C575" i="2"/>
  <c r="E581" i="2"/>
  <c r="B592" i="2"/>
  <c r="A592" i="2" s="1"/>
  <c r="F604" i="2"/>
  <c r="F620" i="2"/>
  <c r="C564" i="2"/>
  <c r="B577" i="2"/>
  <c r="A577" i="2" s="1"/>
  <c r="F589" i="2"/>
  <c r="E602" i="2"/>
  <c r="E616" i="2"/>
  <c r="F648" i="2"/>
  <c r="B570" i="2"/>
  <c r="A570" i="2" s="1"/>
  <c r="F582" i="2"/>
  <c r="E595" i="2"/>
  <c r="D608" i="2"/>
  <c r="D625" i="2"/>
  <c r="E568" i="2"/>
  <c r="D581" i="2"/>
  <c r="C594" i="2"/>
  <c r="B607" i="2"/>
  <c r="A607" i="2" s="1"/>
  <c r="D622" i="2"/>
  <c r="F613" i="2"/>
  <c r="D627" i="2"/>
  <c r="D643" i="2"/>
  <c r="D659" i="2"/>
  <c r="D675" i="2"/>
  <c r="D691" i="2"/>
  <c r="E716" i="2"/>
  <c r="D634" i="2"/>
  <c r="B652" i="2"/>
  <c r="A652" i="2" s="1"/>
  <c r="C671" i="2"/>
  <c r="F689" i="2"/>
  <c r="D717" i="2"/>
  <c r="B665" i="2"/>
  <c r="A665" i="2" s="1"/>
  <c r="B681" i="2"/>
  <c r="A681" i="2" s="1"/>
  <c r="B697" i="2"/>
  <c r="A697" i="2" s="1"/>
  <c r="B731" i="2"/>
  <c r="A731" i="2" s="1"/>
  <c r="B648" i="2"/>
  <c r="A648" i="2" s="1"/>
  <c r="C667" i="2"/>
  <c r="F685" i="2"/>
  <c r="F707" i="2"/>
  <c r="E740" i="2"/>
  <c r="D753" i="2"/>
  <c r="B704" i="2"/>
  <c r="A704" i="2" s="1"/>
  <c r="F716" i="2"/>
  <c r="E729" i="2"/>
  <c r="D742" i="2"/>
  <c r="D755" i="2"/>
  <c r="E706" i="2"/>
  <c r="D719" i="2"/>
  <c r="C732" i="2"/>
  <c r="B745" i="2"/>
  <c r="A745" i="2" s="1"/>
  <c r="B760" i="2"/>
  <c r="A760" i="2" s="1"/>
  <c r="B301" i="2"/>
  <c r="A301" i="2" s="1"/>
  <c r="C304" i="2"/>
  <c r="D307" i="2"/>
  <c r="E310" i="2"/>
  <c r="F313" i="2"/>
  <c r="B317" i="2"/>
  <c r="A317" i="2" s="1"/>
  <c r="C320" i="2"/>
  <c r="D323" i="2"/>
  <c r="E326" i="2"/>
  <c r="F329" i="2"/>
  <c r="B333" i="2"/>
  <c r="A333" i="2" s="1"/>
  <c r="C336" i="2"/>
  <c r="D339" i="2"/>
  <c r="E342" i="2"/>
  <c r="F345" i="2"/>
  <c r="B349" i="2"/>
  <c r="A349" i="2" s="1"/>
  <c r="C352" i="2"/>
  <c r="D355" i="2"/>
  <c r="E358" i="2"/>
  <c r="F361" i="2"/>
  <c r="B365" i="2"/>
  <c r="A365" i="2" s="1"/>
  <c r="C368" i="2"/>
  <c r="D371" i="2"/>
  <c r="E374" i="2"/>
  <c r="F377" i="2"/>
  <c r="B381" i="2"/>
  <c r="A381" i="2" s="1"/>
  <c r="C384" i="2"/>
  <c r="D387" i="2"/>
  <c r="E390" i="2"/>
  <c r="F393" i="2"/>
  <c r="B397" i="2"/>
  <c r="A397" i="2" s="1"/>
  <c r="C400" i="2"/>
  <c r="D403" i="2"/>
  <c r="E406" i="2"/>
  <c r="F409" i="2"/>
  <c r="B413" i="2"/>
  <c r="A413" i="2" s="1"/>
  <c r="C416" i="2"/>
  <c r="E419" i="2"/>
  <c r="C281" i="2"/>
  <c r="D284" i="2"/>
  <c r="E287" i="2"/>
  <c r="F290" i="2"/>
  <c r="B294" i="2"/>
  <c r="A294" i="2" s="1"/>
  <c r="C297" i="2"/>
  <c r="D300" i="2"/>
  <c r="E303" i="2"/>
  <c r="F306" i="2"/>
  <c r="B310" i="2"/>
  <c r="A310" i="2" s="1"/>
  <c r="C313" i="2"/>
  <c r="D316" i="2"/>
  <c r="E319" i="2"/>
  <c r="F322" i="2"/>
  <c r="B326" i="2"/>
  <c r="A326" i="2" s="1"/>
  <c r="C329" i="2"/>
  <c r="D332" i="2"/>
  <c r="E335" i="2"/>
  <c r="F338" i="2"/>
  <c r="B342" i="2"/>
  <c r="A342" i="2" s="1"/>
  <c r="C345" i="2"/>
  <c r="D348" i="2"/>
  <c r="E351" i="2"/>
  <c r="F354" i="2"/>
  <c r="B358" i="2"/>
  <c r="A358" i="2" s="1"/>
  <c r="C361" i="2"/>
  <c r="D364" i="2"/>
  <c r="E367" i="2"/>
  <c r="F370" i="2"/>
  <c r="B374" i="2"/>
  <c r="A374" i="2" s="1"/>
  <c r="C377" i="2"/>
  <c r="D380" i="2"/>
  <c r="E383" i="2"/>
  <c r="F386" i="2"/>
  <c r="B390" i="2"/>
  <c r="A390" i="2" s="1"/>
  <c r="C393" i="2"/>
  <c r="D396" i="2"/>
  <c r="E399" i="2"/>
  <c r="F402" i="2"/>
  <c r="B406" i="2"/>
  <c r="A406" i="2" s="1"/>
  <c r="C409" i="2"/>
  <c r="D412" i="2"/>
  <c r="E415" i="2"/>
  <c r="F418" i="2"/>
  <c r="C302" i="2"/>
  <c r="D305" i="2"/>
  <c r="E308" i="2"/>
  <c r="F311" i="2"/>
  <c r="B315" i="2"/>
  <c r="A315" i="2" s="1"/>
  <c r="C318" i="2"/>
  <c r="D321" i="2"/>
  <c r="E324" i="2"/>
  <c r="F327" i="2"/>
  <c r="B331" i="2"/>
  <c r="A331" i="2" s="1"/>
  <c r="C334" i="2"/>
  <c r="D337" i="2"/>
  <c r="E340" i="2"/>
  <c r="F343" i="2"/>
  <c r="B347" i="2"/>
  <c r="A347" i="2" s="1"/>
  <c r="C350" i="2"/>
  <c r="D353" i="2"/>
  <c r="E356" i="2"/>
  <c r="F359" i="2"/>
  <c r="B363" i="2"/>
  <c r="A363" i="2" s="1"/>
  <c r="C366" i="2"/>
  <c r="D369" i="2"/>
  <c r="E372" i="2"/>
  <c r="F375" i="2"/>
  <c r="B379" i="2"/>
  <c r="A379" i="2" s="1"/>
  <c r="C382" i="2"/>
  <c r="D385" i="2"/>
  <c r="E388" i="2"/>
  <c r="F391" i="2"/>
  <c r="B395" i="2"/>
  <c r="A395" i="2" s="1"/>
  <c r="C398" i="2"/>
  <c r="D401" i="2"/>
  <c r="E404" i="2"/>
  <c r="F407" i="2"/>
  <c r="B411" i="2"/>
  <c r="A411" i="2" s="1"/>
  <c r="C414" i="2"/>
  <c r="D417" i="2"/>
  <c r="E421" i="2"/>
  <c r="F424" i="2"/>
  <c r="B428" i="2"/>
  <c r="A428" i="2" s="1"/>
  <c r="C431" i="2"/>
  <c r="D434" i="2"/>
  <c r="E437" i="2"/>
  <c r="F440" i="2"/>
  <c r="B444" i="2"/>
  <c r="A444" i="2" s="1"/>
  <c r="C447" i="2"/>
  <c r="D450" i="2"/>
  <c r="E453" i="2"/>
  <c r="F456" i="2"/>
  <c r="B460" i="2"/>
  <c r="A460" i="2" s="1"/>
  <c r="C463" i="2"/>
  <c r="D466" i="2"/>
  <c r="E469" i="2"/>
  <c r="F472" i="2"/>
  <c r="B476" i="2"/>
  <c r="A476" i="2" s="1"/>
  <c r="C479" i="2"/>
  <c r="D482" i="2"/>
  <c r="E485" i="2"/>
  <c r="F488" i="2"/>
  <c r="B492" i="2"/>
  <c r="A492" i="2" s="1"/>
  <c r="C495" i="2"/>
  <c r="D498" i="2"/>
  <c r="E501" i="2"/>
  <c r="F504" i="2"/>
  <c r="B508" i="2"/>
  <c r="A508" i="2" s="1"/>
  <c r="C511" i="2"/>
  <c r="D514" i="2"/>
  <c r="E517" i="2"/>
  <c r="F520" i="2"/>
  <c r="B524" i="2"/>
  <c r="A524" i="2" s="1"/>
  <c r="C527" i="2"/>
  <c r="D530" i="2"/>
  <c r="E533" i="2"/>
  <c r="F536" i="2"/>
  <c r="B540" i="2"/>
  <c r="A540" i="2" s="1"/>
  <c r="C543" i="2"/>
  <c r="D546" i="2"/>
  <c r="E549" i="2"/>
  <c r="F552" i="2"/>
  <c r="B556" i="2"/>
  <c r="A556" i="2" s="1"/>
  <c r="E560" i="2"/>
  <c r="F421" i="2"/>
  <c r="B425" i="2"/>
  <c r="A425" i="2" s="1"/>
  <c r="C428" i="2"/>
  <c r="D431" i="2"/>
  <c r="E434" i="2"/>
  <c r="F437" i="2"/>
  <c r="B441" i="2"/>
  <c r="A441" i="2" s="1"/>
  <c r="C444" i="2"/>
  <c r="D447" i="2"/>
  <c r="E450" i="2"/>
  <c r="F453" i="2"/>
  <c r="B457" i="2"/>
  <c r="A457" i="2" s="1"/>
  <c r="C460" i="2"/>
  <c r="D463" i="2"/>
  <c r="E466" i="2"/>
  <c r="F469" i="2"/>
  <c r="B473" i="2"/>
  <c r="A473" i="2" s="1"/>
  <c r="C476" i="2"/>
  <c r="D479" i="2"/>
  <c r="E482" i="2"/>
  <c r="F485" i="2"/>
  <c r="B489" i="2"/>
  <c r="A489" i="2" s="1"/>
  <c r="C492" i="2"/>
  <c r="D495" i="2"/>
  <c r="E498" i="2"/>
  <c r="F501" i="2"/>
  <c r="F505" i="2"/>
  <c r="F509" i="2"/>
  <c r="E514" i="2"/>
  <c r="E518" i="2"/>
  <c r="E522" i="2"/>
  <c r="D527" i="2"/>
  <c r="D531" i="2"/>
  <c r="D535" i="2"/>
  <c r="C540" i="2"/>
  <c r="C544" i="2"/>
  <c r="C548" i="2"/>
  <c r="B553" i="2"/>
  <c r="A553" i="2" s="1"/>
  <c r="B557" i="2"/>
  <c r="A557" i="2" s="1"/>
  <c r="E423" i="2"/>
  <c r="D428" i="2"/>
  <c r="D432" i="2"/>
  <c r="D436" i="2"/>
  <c r="C441" i="2"/>
  <c r="C445" i="2"/>
  <c r="C449" i="2"/>
  <c r="B454" i="2"/>
  <c r="A454" i="2" s="1"/>
  <c r="B458" i="2"/>
  <c r="A458" i="2" s="1"/>
  <c r="B462" i="2"/>
  <c r="A462" i="2" s="1"/>
  <c r="F466" i="2"/>
  <c r="E471" i="2"/>
  <c r="B478" i="2"/>
  <c r="A478" i="2" s="1"/>
  <c r="D484" i="2"/>
  <c r="F490" i="2"/>
  <c r="C497" i="2"/>
  <c r="E503" i="2"/>
  <c r="B510" i="2"/>
  <c r="A510" i="2" s="1"/>
  <c r="D516" i="2"/>
  <c r="F522" i="2"/>
  <c r="C529" i="2"/>
  <c r="E535" i="2"/>
  <c r="B542" i="2"/>
  <c r="A542" i="2" s="1"/>
  <c r="D548" i="2"/>
  <c r="F554" i="2"/>
  <c r="B419" i="2"/>
  <c r="A419" i="2" s="1"/>
  <c r="D425" i="2"/>
  <c r="F431" i="2"/>
  <c r="C438" i="2"/>
  <c r="E444" i="2"/>
  <c r="B451" i="2"/>
  <c r="A451" i="2" s="1"/>
  <c r="D457" i="2"/>
  <c r="F463" i="2"/>
  <c r="C470" i="2"/>
  <c r="E476" i="2"/>
  <c r="B483" i="2"/>
  <c r="A483" i="2" s="1"/>
  <c r="D489" i="2"/>
  <c r="F495" i="2"/>
  <c r="C502" i="2"/>
  <c r="E508" i="2"/>
  <c r="B515" i="2"/>
  <c r="A515" i="2" s="1"/>
  <c r="D521" i="2"/>
  <c r="F527" i="2"/>
  <c r="C534" i="2"/>
  <c r="E540" i="2"/>
  <c r="B547" i="2"/>
  <c r="A547" i="2" s="1"/>
  <c r="D553" i="2"/>
  <c r="B560" i="2"/>
  <c r="A560" i="2" s="1"/>
  <c r="E569" i="2"/>
  <c r="B576" i="2"/>
  <c r="A576" i="2" s="1"/>
  <c r="D582" i="2"/>
  <c r="C595" i="2"/>
  <c r="B608" i="2"/>
  <c r="A608" i="2" s="1"/>
  <c r="C627" i="2"/>
  <c r="D567" i="2"/>
  <c r="C580" i="2"/>
  <c r="B593" i="2"/>
  <c r="A593" i="2" s="1"/>
  <c r="F605" i="2"/>
  <c r="B620" i="2"/>
  <c r="A620" i="2" s="1"/>
  <c r="D560" i="2"/>
  <c r="C573" i="2"/>
  <c r="B586" i="2"/>
  <c r="A586" i="2" s="1"/>
  <c r="F598" i="2"/>
  <c r="B611" i="2"/>
  <c r="A611" i="2" s="1"/>
  <c r="B633" i="2"/>
  <c r="A633" i="2" s="1"/>
  <c r="F571" i="2"/>
  <c r="E584" i="2"/>
  <c r="D597" i="2"/>
  <c r="C610" i="2"/>
  <c r="E628" i="2"/>
  <c r="B617" i="2"/>
  <c r="A617" i="2" s="1"/>
  <c r="B631" i="2"/>
  <c r="A631" i="2" s="1"/>
  <c r="B647" i="2"/>
  <c r="A647" i="2" s="1"/>
  <c r="B663" i="2"/>
  <c r="A663" i="2" s="1"/>
  <c r="B679" i="2"/>
  <c r="A679" i="2" s="1"/>
  <c r="B695" i="2"/>
  <c r="A695" i="2" s="1"/>
  <c r="B727" i="2"/>
  <c r="A727" i="2" s="1"/>
  <c r="C639" i="2"/>
  <c r="F657" i="2"/>
  <c r="F675" i="2"/>
  <c r="D693" i="2"/>
  <c r="E653" i="2"/>
  <c r="E669" i="2"/>
  <c r="E685" i="2"/>
  <c r="E701" i="2"/>
  <c r="C635" i="2"/>
  <c r="F653" i="2"/>
  <c r="F671" i="2"/>
  <c r="D689" i="2"/>
  <c r="F723" i="2"/>
  <c r="F743" i="2"/>
  <c r="E757" i="2"/>
  <c r="C707" i="2"/>
  <c r="B720" i="2"/>
  <c r="A720" i="2" s="1"/>
  <c r="F732" i="2"/>
  <c r="E745" i="2"/>
  <c r="E765" i="2"/>
  <c r="F709" i="2"/>
  <c r="E722" i="2"/>
  <c r="D735" i="2"/>
  <c r="C748" i="2"/>
  <c r="F776" i="2"/>
  <c r="B1" i="2" l="1"/>
  <c r="A2" i="2"/>
</calcChain>
</file>

<file path=xl/sharedStrings.xml><?xml version="1.0" encoding="utf-8"?>
<sst xmlns="http://schemas.openxmlformats.org/spreadsheetml/2006/main" count="46" uniqueCount="34">
  <si>
    <t>sample_id</t>
  </si>
  <si>
    <t>sample_name</t>
  </si>
  <si>
    <t>No more than 1000 samples can be entered in this worksheet.  If you need to submit metadata for &gt;1000 samples, please contact CMI directly.</t>
  </si>
  <si>
    <t>aelrjg</t>
  </si>
  <si>
    <t>asfaewf</t>
  </si>
  <si>
    <t>bawer</t>
  </si>
  <si>
    <t>pheno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</si>
  <si>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</si>
  <si>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</si>
  <si>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</si>
  <si>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</si>
  <si>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</si>
  <si>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</si>
  <si>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</si>
  <si>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</si>
  <si>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</si>
  <si>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</si>
  <si>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</si>
  <si>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</si>
  <si>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string.</t>
  </si>
  <si>
    <t>The value must be a string and must equal "missing: not collected" or the value must be a string and must equal "t" or must equal "f". The default value is f.</t>
  </si>
  <si>
    <t>The value must be a string and must equal "a" or must equal "b".</t>
  </si>
  <si>
    <t>The value must be a string and must equal "missing: not collected" or must equal "missing: not provided" or the value must be a string and must equal "lo" or must equal "med" or must equal "hi".</t>
  </si>
  <si>
    <t xml:space="preserve">aelrjg:
  empty: false
  is_phi: false
  required: true
  type: string
asfaewf:
  anyof:
  - allowed:
    - 'missing: not collected'
    type: string
  - allowed:
    - t
    - f
    type: string
  default: f
  empty: false
  is_phi: false
  required: true
bawer:
  allowed:
  - a
  - b
  empty: false
  is_phi: false
  required: true
  type: string
pheno:
  anyof:
  - allowed:
    - 'missing: not collected'
    - 'missing: not provided'
    type: string
  - allowed:
    - lo
    - med
    - hi
    type: string
  empty: false
  is_phi: false
  required: true
sample_name:
  empty: false
  is_phi: false
  regex: ^[a-zA-Z0-9\.]+$
  required: true
  type: string
  unique: true
</t>
  </si>
  <si>
    <t xml:space="preserve">0:
  allowed_missing_vals[]:
  - ebi_not_collected
  boolean_default_select: f
  default_value: boolean_default
  false_value: f
  field_name: asfaewf
  field_type: boolean
  true_value: t
1:
  allowed_missing_vals[]:
  - ebi_not_collected
  - ebi_not_provided
  categorical_values: "lo\r\nmed\r\nhi"
  default_value: no_default
  field_name: pheno
  field_type: categorical
2:
  default_value: no_default
  field_name: aelrjg
  field_type: string
3:
  categorical_values: "a\r\nb"
  default_value: no_default
  field_name: bawer
  field_type: categorical
</t>
  </si>
  <si>
    <t>This file was created by QIIMP v0.3 at 2018-05-17 09:50:29.</t>
  </si>
  <si>
    <t>oijnmk</t>
  </si>
  <si>
    <t>asfs</t>
  </si>
  <si>
    <t>b</t>
  </si>
  <si>
    <t>missing: not provided</t>
  </si>
  <si>
    <t>sample</t>
  </si>
  <si>
    <t>asfe</t>
  </si>
  <si>
    <t>a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</si>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</sst>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u/>
        <color rgb="FF9C0006"/>
      </font>
      <fill>
        <patternFill>
          <bgColor rgb="FFFFC7CE"/>
        </patternFill>
      </fill>
    </dxf>
    <dxf>
      <font>
        <color rgb="FFC6EFCE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baseColWidth="10" defaultColWidth="8.83203125" defaultRowHeight="15" zeroHeight="1" x14ac:dyDescent="0.2"/>
  <cols>
    <col min="1" max="1" width="0" hidden="1" customWidth="1"/>
    <col min="2" max="6" width="9.1640625" style="1"/>
  </cols>
  <sheetData>
    <row r="1" spans="1:6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>
        <f>IF(COUNTBLANK(B2:F2)&lt;&gt;COLUMNS(B2:F2),1,"")</f>
        <v>1</v>
      </c>
      <c r="B2" s="1" t="s">
        <v>26</v>
      </c>
      <c r="C2" s="1" t="s">
        <v>27</v>
      </c>
      <c r="D2" s="1" t="str">
        <f t="shared" ref="D2:D65" si="0">IF(B2="", "", "f")</f>
        <v>f</v>
      </c>
      <c r="E2" s="1" t="s">
        <v>28</v>
      </c>
      <c r="F2" s="1" t="s">
        <v>29</v>
      </c>
    </row>
    <row r="3" spans="1:6" x14ac:dyDescent="0.2">
      <c r="A3">
        <f>IF(COUNTBLANK(B3:F3)&lt;&gt;COLUMNS(B3:F3),2,"")</f>
        <v>2</v>
      </c>
      <c r="B3" s="1" t="s">
        <v>30</v>
      </c>
      <c r="C3" s="1" t="s">
        <v>31</v>
      </c>
      <c r="D3" s="1" t="str">
        <f t="shared" si="0"/>
        <v>f</v>
      </c>
      <c r="E3" s="1" t="s">
        <v>32</v>
      </c>
      <c r="F3" s="1" t="s">
        <v>33</v>
      </c>
    </row>
    <row r="4" spans="1:6" x14ac:dyDescent="0.2">
      <c r="A4" t="str">
        <f>IF(COUNTBLANK(B4:F4)&lt;&gt;COLUMNS(B4:F4),3,"")</f>
        <v/>
      </c>
      <c r="D4" s="1" t="str">
        <f t="shared" si="0"/>
        <v/>
      </c>
    </row>
    <row r="5" spans="1:6" x14ac:dyDescent="0.2">
      <c r="A5" t="str">
        <f>IF(COUNTBLANK(B5:F5)&lt;&gt;COLUMNS(B5:F5),4,"")</f>
        <v/>
      </c>
      <c r="D5" s="1" t="str">
        <f t="shared" si="0"/>
        <v/>
      </c>
    </row>
    <row r="6" spans="1:6" x14ac:dyDescent="0.2">
      <c r="A6" t="str">
        <f>IF(COUNTBLANK(B6:F6)&lt;&gt;COLUMNS(B6:F6),5,"")</f>
        <v/>
      </c>
      <c r="D6" s="1" t="str">
        <f t="shared" si="0"/>
        <v/>
      </c>
    </row>
    <row r="7" spans="1:6" x14ac:dyDescent="0.2">
      <c r="A7" t="str">
        <f>IF(COUNTBLANK(B7:F7)&lt;&gt;COLUMNS(B7:F7),6,"")</f>
        <v/>
      </c>
      <c r="D7" s="1" t="str">
        <f t="shared" si="0"/>
        <v/>
      </c>
    </row>
    <row r="8" spans="1:6" x14ac:dyDescent="0.2">
      <c r="A8" t="str">
        <f>IF(COUNTBLANK(B8:F8)&lt;&gt;COLUMNS(B8:F8),7,"")</f>
        <v/>
      </c>
      <c r="D8" s="1" t="str">
        <f t="shared" si="0"/>
        <v/>
      </c>
    </row>
    <row r="9" spans="1:6" x14ac:dyDescent="0.2">
      <c r="A9" t="str">
        <f>IF(COUNTBLANK(B9:F9)&lt;&gt;COLUMNS(B9:F9),8,"")</f>
        <v/>
      </c>
      <c r="D9" s="1" t="str">
        <f t="shared" si="0"/>
        <v/>
      </c>
    </row>
    <row r="10" spans="1:6" x14ac:dyDescent="0.2">
      <c r="A10" t="str">
        <f>IF(COUNTBLANK(B10:F10)&lt;&gt;COLUMNS(B10:F10),9,"")</f>
        <v/>
      </c>
      <c r="D10" s="1" t="str">
        <f t="shared" si="0"/>
        <v/>
      </c>
    </row>
    <row r="11" spans="1:6" x14ac:dyDescent="0.2">
      <c r="A11" t="str">
        <f>IF(COUNTBLANK(B11:F11)&lt;&gt;COLUMNS(B11:F11),10,"")</f>
        <v/>
      </c>
      <c r="D11" s="1" t="str">
        <f t="shared" si="0"/>
        <v/>
      </c>
    </row>
    <row r="12" spans="1:6" x14ac:dyDescent="0.2">
      <c r="A12" t="str">
        <f>IF(COUNTBLANK(B12:F12)&lt;&gt;COLUMNS(B12:F12),11,"")</f>
        <v/>
      </c>
      <c r="D12" s="1" t="str">
        <f t="shared" si="0"/>
        <v/>
      </c>
    </row>
    <row r="13" spans="1:6" x14ac:dyDescent="0.2">
      <c r="A13" t="str">
        <f>IF(COUNTBLANK(B13:F13)&lt;&gt;COLUMNS(B13:F13),12,"")</f>
        <v/>
      </c>
      <c r="D13" s="1" t="str">
        <f t="shared" si="0"/>
        <v/>
      </c>
    </row>
    <row r="14" spans="1:6" x14ac:dyDescent="0.2">
      <c r="A14" t="str">
        <f>IF(COUNTBLANK(B14:F14)&lt;&gt;COLUMNS(B14:F14),13,"")</f>
        <v/>
      </c>
      <c r="D14" s="1" t="str">
        <f t="shared" si="0"/>
        <v/>
      </c>
    </row>
    <row r="15" spans="1:6" x14ac:dyDescent="0.2">
      <c r="A15" t="str">
        <f>IF(COUNTBLANK(B15:F15)&lt;&gt;COLUMNS(B15:F15),14,"")</f>
        <v/>
      </c>
      <c r="D15" s="1" t="str">
        <f t="shared" si="0"/>
        <v/>
      </c>
    </row>
    <row r="16" spans="1:6" x14ac:dyDescent="0.2">
      <c r="A16" t="str">
        <f>IF(COUNTBLANK(B16:F16)&lt;&gt;COLUMNS(B16:F16),15,"")</f>
        <v/>
      </c>
      <c r="D16" s="1" t="str">
        <f t="shared" si="0"/>
        <v/>
      </c>
    </row>
    <row r="17" spans="1:4" x14ac:dyDescent="0.2">
      <c r="A17" t="str">
        <f>IF(COUNTBLANK(B17:F17)&lt;&gt;COLUMNS(B17:F17),16,"")</f>
        <v/>
      </c>
      <c r="D17" s="1" t="str">
        <f t="shared" si="0"/>
        <v/>
      </c>
    </row>
    <row r="18" spans="1:4" x14ac:dyDescent="0.2">
      <c r="A18" t="str">
        <f>IF(COUNTBLANK(B18:F18)&lt;&gt;COLUMNS(B18:F18),17,"")</f>
        <v/>
      </c>
      <c r="D18" s="1" t="str">
        <f t="shared" si="0"/>
        <v/>
      </c>
    </row>
    <row r="19" spans="1:4" x14ac:dyDescent="0.2">
      <c r="A19" t="str">
        <f>IF(COUNTBLANK(B19:F19)&lt;&gt;COLUMNS(B19:F19),18,"")</f>
        <v/>
      </c>
      <c r="D19" s="1" t="str">
        <f t="shared" si="0"/>
        <v/>
      </c>
    </row>
    <row r="20" spans="1:4" x14ac:dyDescent="0.2">
      <c r="A20" t="str">
        <f>IF(COUNTBLANK(B20:F20)&lt;&gt;COLUMNS(B20:F20),19,"")</f>
        <v/>
      </c>
      <c r="D20" s="1" t="str">
        <f t="shared" si="0"/>
        <v/>
      </c>
    </row>
    <row r="21" spans="1:4" x14ac:dyDescent="0.2">
      <c r="A21" t="str">
        <f>IF(COUNTBLANK(B21:F21)&lt;&gt;COLUMNS(B21:F21),20,"")</f>
        <v/>
      </c>
      <c r="D21" s="1" t="str">
        <f t="shared" si="0"/>
        <v/>
      </c>
    </row>
    <row r="22" spans="1:4" x14ac:dyDescent="0.2">
      <c r="A22" t="str">
        <f>IF(COUNTBLANK(B22:F22)&lt;&gt;COLUMNS(B22:F22),21,"")</f>
        <v/>
      </c>
      <c r="D22" s="1" t="str">
        <f t="shared" si="0"/>
        <v/>
      </c>
    </row>
    <row r="23" spans="1:4" x14ac:dyDescent="0.2">
      <c r="A23" t="str">
        <f>IF(COUNTBLANK(B23:F23)&lt;&gt;COLUMNS(B23:F23),22,"")</f>
        <v/>
      </c>
      <c r="D23" s="1" t="str">
        <f t="shared" si="0"/>
        <v/>
      </c>
    </row>
    <row r="24" spans="1:4" x14ac:dyDescent="0.2">
      <c r="A24" t="str">
        <f>IF(COUNTBLANK(B24:F24)&lt;&gt;COLUMNS(B24:F24),23,"")</f>
        <v/>
      </c>
      <c r="D24" s="1" t="str">
        <f t="shared" si="0"/>
        <v/>
      </c>
    </row>
    <row r="25" spans="1:4" x14ac:dyDescent="0.2">
      <c r="A25" t="str">
        <f>IF(COUNTBLANK(B25:F25)&lt;&gt;COLUMNS(B25:F25),24,"")</f>
        <v/>
      </c>
      <c r="D25" s="1" t="str">
        <f t="shared" si="0"/>
        <v/>
      </c>
    </row>
    <row r="26" spans="1:4" x14ac:dyDescent="0.2">
      <c r="A26" t="str">
        <f>IF(COUNTBLANK(B26:F26)&lt;&gt;COLUMNS(B26:F26),25,"")</f>
        <v/>
      </c>
      <c r="D26" s="1" t="str">
        <f t="shared" si="0"/>
        <v/>
      </c>
    </row>
    <row r="27" spans="1:4" x14ac:dyDescent="0.2">
      <c r="A27" t="str">
        <f>IF(COUNTBLANK(B27:F27)&lt;&gt;COLUMNS(B27:F27),26,"")</f>
        <v/>
      </c>
      <c r="D27" s="1" t="str">
        <f t="shared" si="0"/>
        <v/>
      </c>
    </row>
    <row r="28" spans="1:4" x14ac:dyDescent="0.2">
      <c r="A28" t="str">
        <f>IF(COUNTBLANK(B28:F28)&lt;&gt;COLUMNS(B28:F28),27,"")</f>
        <v/>
      </c>
      <c r="D28" s="1" t="str">
        <f t="shared" si="0"/>
        <v/>
      </c>
    </row>
    <row r="29" spans="1:4" x14ac:dyDescent="0.2">
      <c r="A29" t="str">
        <f>IF(COUNTBLANK(B29:F29)&lt;&gt;COLUMNS(B29:F29),28,"")</f>
        <v/>
      </c>
      <c r="D29" s="1" t="str">
        <f t="shared" si="0"/>
        <v/>
      </c>
    </row>
    <row r="30" spans="1:4" x14ac:dyDescent="0.2">
      <c r="A30" t="str">
        <f>IF(COUNTBLANK(B30:F30)&lt;&gt;COLUMNS(B30:F30),29,"")</f>
        <v/>
      </c>
      <c r="D30" s="1" t="str">
        <f t="shared" si="0"/>
        <v/>
      </c>
    </row>
    <row r="31" spans="1:4" x14ac:dyDescent="0.2">
      <c r="A31" t="str">
        <f>IF(COUNTBLANK(B31:F31)&lt;&gt;COLUMNS(B31:F31),30,"")</f>
        <v/>
      </c>
      <c r="D31" s="1" t="str">
        <f t="shared" si="0"/>
        <v/>
      </c>
    </row>
    <row r="32" spans="1:4" x14ac:dyDescent="0.2">
      <c r="A32" t="str">
        <f>IF(COUNTBLANK(B32:F32)&lt;&gt;COLUMNS(B32:F32),31,"")</f>
        <v/>
      </c>
      <c r="D32" s="1" t="str">
        <f t="shared" si="0"/>
        <v/>
      </c>
    </row>
    <row r="33" spans="1:4" x14ac:dyDescent="0.2">
      <c r="A33" t="str">
        <f>IF(COUNTBLANK(B33:F33)&lt;&gt;COLUMNS(B33:F33),32,"")</f>
        <v/>
      </c>
      <c r="D33" s="1" t="str">
        <f t="shared" si="0"/>
        <v/>
      </c>
    </row>
    <row r="34" spans="1:4" x14ac:dyDescent="0.2">
      <c r="A34" t="str">
        <f>IF(COUNTBLANK(B34:F34)&lt;&gt;COLUMNS(B34:F34),33,"")</f>
        <v/>
      </c>
      <c r="D34" s="1" t="str">
        <f t="shared" si="0"/>
        <v/>
      </c>
    </row>
    <row r="35" spans="1:4" x14ac:dyDescent="0.2">
      <c r="A35" t="str">
        <f>IF(COUNTBLANK(B35:F35)&lt;&gt;COLUMNS(B35:F35),34,"")</f>
        <v/>
      </c>
      <c r="D35" s="1" t="str">
        <f t="shared" si="0"/>
        <v/>
      </c>
    </row>
    <row r="36" spans="1:4" x14ac:dyDescent="0.2">
      <c r="A36" t="str">
        <f>IF(COUNTBLANK(B36:F36)&lt;&gt;COLUMNS(B36:F36),35,"")</f>
        <v/>
      </c>
      <c r="D36" s="1" t="str">
        <f t="shared" si="0"/>
        <v/>
      </c>
    </row>
    <row r="37" spans="1:4" x14ac:dyDescent="0.2">
      <c r="A37" t="str">
        <f>IF(COUNTBLANK(B37:F37)&lt;&gt;COLUMNS(B37:F37),36,"")</f>
        <v/>
      </c>
      <c r="D37" s="1" t="str">
        <f t="shared" si="0"/>
        <v/>
      </c>
    </row>
    <row r="38" spans="1:4" x14ac:dyDescent="0.2">
      <c r="A38" t="str">
        <f>IF(COUNTBLANK(B38:F38)&lt;&gt;COLUMNS(B38:F38),37,"")</f>
        <v/>
      </c>
      <c r="D38" s="1" t="str">
        <f t="shared" si="0"/>
        <v/>
      </c>
    </row>
    <row r="39" spans="1:4" x14ac:dyDescent="0.2">
      <c r="A39" t="str">
        <f>IF(COUNTBLANK(B39:F39)&lt;&gt;COLUMNS(B39:F39),38,"")</f>
        <v/>
      </c>
      <c r="D39" s="1" t="str">
        <f t="shared" si="0"/>
        <v/>
      </c>
    </row>
    <row r="40" spans="1:4" x14ac:dyDescent="0.2">
      <c r="A40" t="str">
        <f>IF(COUNTBLANK(B40:F40)&lt;&gt;COLUMNS(B40:F40),39,"")</f>
        <v/>
      </c>
      <c r="D40" s="1" t="str">
        <f t="shared" si="0"/>
        <v/>
      </c>
    </row>
    <row r="41" spans="1:4" x14ac:dyDescent="0.2">
      <c r="A41" t="str">
        <f>IF(COUNTBLANK(B41:F41)&lt;&gt;COLUMNS(B41:F41),40,"")</f>
        <v/>
      </c>
      <c r="D41" s="1" t="str">
        <f t="shared" si="0"/>
        <v/>
      </c>
    </row>
    <row r="42" spans="1:4" x14ac:dyDescent="0.2">
      <c r="A42" t="str">
        <f>IF(COUNTBLANK(B42:F42)&lt;&gt;COLUMNS(B42:F42),41,"")</f>
        <v/>
      </c>
      <c r="D42" s="1" t="str">
        <f t="shared" si="0"/>
        <v/>
      </c>
    </row>
    <row r="43" spans="1:4" x14ac:dyDescent="0.2">
      <c r="A43" t="str">
        <f>IF(COUNTBLANK(B43:F43)&lt;&gt;COLUMNS(B43:F43),42,"")</f>
        <v/>
      </c>
      <c r="D43" s="1" t="str">
        <f t="shared" si="0"/>
        <v/>
      </c>
    </row>
    <row r="44" spans="1:4" x14ac:dyDescent="0.2">
      <c r="A44" t="str">
        <f>IF(COUNTBLANK(B44:F44)&lt;&gt;COLUMNS(B44:F44),43,"")</f>
        <v/>
      </c>
      <c r="D44" s="1" t="str">
        <f t="shared" si="0"/>
        <v/>
      </c>
    </row>
    <row r="45" spans="1:4" x14ac:dyDescent="0.2">
      <c r="A45" t="str">
        <f>IF(COUNTBLANK(B45:F45)&lt;&gt;COLUMNS(B45:F45),44,"")</f>
        <v/>
      </c>
      <c r="D45" s="1" t="str">
        <f t="shared" si="0"/>
        <v/>
      </c>
    </row>
    <row r="46" spans="1:4" x14ac:dyDescent="0.2">
      <c r="A46" t="str">
        <f>IF(COUNTBLANK(B46:F46)&lt;&gt;COLUMNS(B46:F46),45,"")</f>
        <v/>
      </c>
      <c r="D46" s="1" t="str">
        <f t="shared" si="0"/>
        <v/>
      </c>
    </row>
    <row r="47" spans="1:4" x14ac:dyDescent="0.2">
      <c r="A47" t="str">
        <f>IF(COUNTBLANK(B47:F47)&lt;&gt;COLUMNS(B47:F47),46,"")</f>
        <v/>
      </c>
      <c r="D47" s="1" t="str">
        <f t="shared" si="0"/>
        <v/>
      </c>
    </row>
    <row r="48" spans="1:4" x14ac:dyDescent="0.2">
      <c r="A48" t="str">
        <f>IF(COUNTBLANK(B48:F48)&lt;&gt;COLUMNS(B48:F48),47,"")</f>
        <v/>
      </c>
      <c r="D48" s="1" t="str">
        <f t="shared" si="0"/>
        <v/>
      </c>
    </row>
    <row r="49" spans="1:4" x14ac:dyDescent="0.2">
      <c r="A49" t="str">
        <f>IF(COUNTBLANK(B49:F49)&lt;&gt;COLUMNS(B49:F49),48,"")</f>
        <v/>
      </c>
      <c r="D49" s="1" t="str">
        <f t="shared" si="0"/>
        <v/>
      </c>
    </row>
    <row r="50" spans="1:4" x14ac:dyDescent="0.2">
      <c r="A50" t="str">
        <f>IF(COUNTBLANK(B50:F50)&lt;&gt;COLUMNS(B50:F50),49,"")</f>
        <v/>
      </c>
      <c r="D50" s="1" t="str">
        <f t="shared" si="0"/>
        <v/>
      </c>
    </row>
    <row r="51" spans="1:4" x14ac:dyDescent="0.2">
      <c r="A51" t="str">
        <f>IF(COUNTBLANK(B51:F51)&lt;&gt;COLUMNS(B51:F51),50,"")</f>
        <v/>
      </c>
      <c r="D51" s="1" t="str">
        <f t="shared" si="0"/>
        <v/>
      </c>
    </row>
    <row r="52" spans="1:4" x14ac:dyDescent="0.2">
      <c r="A52" t="str">
        <f>IF(COUNTBLANK(B52:F52)&lt;&gt;COLUMNS(B52:F52),51,"")</f>
        <v/>
      </c>
      <c r="D52" s="1" t="str">
        <f t="shared" si="0"/>
        <v/>
      </c>
    </row>
    <row r="53" spans="1:4" x14ac:dyDescent="0.2">
      <c r="A53" t="str">
        <f>IF(COUNTBLANK(B53:F53)&lt;&gt;COLUMNS(B53:F53),52,"")</f>
        <v/>
      </c>
      <c r="D53" s="1" t="str">
        <f t="shared" si="0"/>
        <v/>
      </c>
    </row>
    <row r="54" spans="1:4" x14ac:dyDescent="0.2">
      <c r="A54" t="str">
        <f>IF(COUNTBLANK(B54:F54)&lt;&gt;COLUMNS(B54:F54),53,"")</f>
        <v/>
      </c>
      <c r="D54" s="1" t="str">
        <f t="shared" si="0"/>
        <v/>
      </c>
    </row>
    <row r="55" spans="1:4" x14ac:dyDescent="0.2">
      <c r="A55" t="str">
        <f>IF(COUNTBLANK(B55:F55)&lt;&gt;COLUMNS(B55:F55),54,"")</f>
        <v/>
      </c>
      <c r="D55" s="1" t="str">
        <f t="shared" si="0"/>
        <v/>
      </c>
    </row>
    <row r="56" spans="1:4" x14ac:dyDescent="0.2">
      <c r="A56" t="str">
        <f>IF(COUNTBLANK(B56:F56)&lt;&gt;COLUMNS(B56:F56),55,"")</f>
        <v/>
      </c>
      <c r="D56" s="1" t="str">
        <f t="shared" si="0"/>
        <v/>
      </c>
    </row>
    <row r="57" spans="1:4" x14ac:dyDescent="0.2">
      <c r="A57" t="str">
        <f>IF(COUNTBLANK(B57:F57)&lt;&gt;COLUMNS(B57:F57),56,"")</f>
        <v/>
      </c>
      <c r="D57" s="1" t="str">
        <f t="shared" si="0"/>
        <v/>
      </c>
    </row>
    <row r="58" spans="1:4" x14ac:dyDescent="0.2">
      <c r="A58" t="str">
        <f>IF(COUNTBLANK(B58:F58)&lt;&gt;COLUMNS(B58:F58),57,"")</f>
        <v/>
      </c>
      <c r="D58" s="1" t="str">
        <f t="shared" si="0"/>
        <v/>
      </c>
    </row>
    <row r="59" spans="1:4" x14ac:dyDescent="0.2">
      <c r="A59" t="str">
        <f>IF(COUNTBLANK(B59:F59)&lt;&gt;COLUMNS(B59:F59),58,"")</f>
        <v/>
      </c>
      <c r="D59" s="1" t="str">
        <f t="shared" si="0"/>
        <v/>
      </c>
    </row>
    <row r="60" spans="1:4" x14ac:dyDescent="0.2">
      <c r="A60" t="str">
        <f>IF(COUNTBLANK(B60:F60)&lt;&gt;COLUMNS(B60:F60),59,"")</f>
        <v/>
      </c>
      <c r="D60" s="1" t="str">
        <f t="shared" si="0"/>
        <v/>
      </c>
    </row>
    <row r="61" spans="1:4" x14ac:dyDescent="0.2">
      <c r="A61" t="str">
        <f>IF(COUNTBLANK(B61:F61)&lt;&gt;COLUMNS(B61:F61),60,"")</f>
        <v/>
      </c>
      <c r="D61" s="1" t="str">
        <f t="shared" si="0"/>
        <v/>
      </c>
    </row>
    <row r="62" spans="1:4" x14ac:dyDescent="0.2">
      <c r="A62" t="str">
        <f>IF(COUNTBLANK(B62:F62)&lt;&gt;COLUMNS(B62:F62),61,"")</f>
        <v/>
      </c>
      <c r="D62" s="1" t="str">
        <f t="shared" si="0"/>
        <v/>
      </c>
    </row>
    <row r="63" spans="1:4" x14ac:dyDescent="0.2">
      <c r="A63" t="str">
        <f>IF(COUNTBLANK(B63:F63)&lt;&gt;COLUMNS(B63:F63),62,"")</f>
        <v/>
      </c>
      <c r="D63" s="1" t="str">
        <f t="shared" si="0"/>
        <v/>
      </c>
    </row>
    <row r="64" spans="1:4" x14ac:dyDescent="0.2">
      <c r="A64" t="str">
        <f>IF(COUNTBLANK(B64:F64)&lt;&gt;COLUMNS(B64:F64),63,"")</f>
        <v/>
      </c>
      <c r="D64" s="1" t="str">
        <f t="shared" si="0"/>
        <v/>
      </c>
    </row>
    <row r="65" spans="1:4" x14ac:dyDescent="0.2">
      <c r="A65" t="str">
        <f>IF(COUNTBLANK(B65:F65)&lt;&gt;COLUMNS(B65:F65),64,"")</f>
        <v/>
      </c>
      <c r="D65" s="1" t="str">
        <f t="shared" si="0"/>
        <v/>
      </c>
    </row>
    <row r="66" spans="1:4" x14ac:dyDescent="0.2">
      <c r="A66" t="str">
        <f>IF(COUNTBLANK(B66:F66)&lt;&gt;COLUMNS(B66:F66),65,"")</f>
        <v/>
      </c>
      <c r="D66" s="1" t="str">
        <f t="shared" ref="D66:D129" si="1">IF(B66="", "", "f")</f>
        <v/>
      </c>
    </row>
    <row r="67" spans="1:4" x14ac:dyDescent="0.2">
      <c r="A67" t="str">
        <f>IF(COUNTBLANK(B67:F67)&lt;&gt;COLUMNS(B67:F67),66,"")</f>
        <v/>
      </c>
      <c r="D67" s="1" t="str">
        <f t="shared" si="1"/>
        <v/>
      </c>
    </row>
    <row r="68" spans="1:4" x14ac:dyDescent="0.2">
      <c r="A68" t="str">
        <f>IF(COUNTBLANK(B68:F68)&lt;&gt;COLUMNS(B68:F68),67,"")</f>
        <v/>
      </c>
      <c r="D68" s="1" t="str">
        <f t="shared" si="1"/>
        <v/>
      </c>
    </row>
    <row r="69" spans="1:4" x14ac:dyDescent="0.2">
      <c r="A69" t="str">
        <f>IF(COUNTBLANK(B69:F69)&lt;&gt;COLUMNS(B69:F69),68,"")</f>
        <v/>
      </c>
      <c r="D69" s="1" t="str">
        <f t="shared" si="1"/>
        <v/>
      </c>
    </row>
    <row r="70" spans="1:4" x14ac:dyDescent="0.2">
      <c r="A70" t="str">
        <f>IF(COUNTBLANK(B70:F70)&lt;&gt;COLUMNS(B70:F70),69,"")</f>
        <v/>
      </c>
      <c r="D70" s="1" t="str">
        <f t="shared" si="1"/>
        <v/>
      </c>
    </row>
    <row r="71" spans="1:4" x14ac:dyDescent="0.2">
      <c r="A71" t="str">
        <f>IF(COUNTBLANK(B71:F71)&lt;&gt;COLUMNS(B71:F71),70,"")</f>
        <v/>
      </c>
      <c r="D71" s="1" t="str">
        <f t="shared" si="1"/>
        <v/>
      </c>
    </row>
    <row r="72" spans="1:4" x14ac:dyDescent="0.2">
      <c r="A72" t="str">
        <f>IF(COUNTBLANK(B72:F72)&lt;&gt;COLUMNS(B72:F72),71,"")</f>
        <v/>
      </c>
      <c r="D72" s="1" t="str">
        <f t="shared" si="1"/>
        <v/>
      </c>
    </row>
    <row r="73" spans="1:4" x14ac:dyDescent="0.2">
      <c r="A73" t="str">
        <f>IF(COUNTBLANK(B73:F73)&lt;&gt;COLUMNS(B73:F73),72,"")</f>
        <v/>
      </c>
      <c r="D73" s="1" t="str">
        <f t="shared" si="1"/>
        <v/>
      </c>
    </row>
    <row r="74" spans="1:4" x14ac:dyDescent="0.2">
      <c r="A74" t="str">
        <f>IF(COUNTBLANK(B74:F74)&lt;&gt;COLUMNS(B74:F74),73,"")</f>
        <v/>
      </c>
      <c r="D74" s="1" t="str">
        <f t="shared" si="1"/>
        <v/>
      </c>
    </row>
    <row r="75" spans="1:4" x14ac:dyDescent="0.2">
      <c r="A75" t="str">
        <f>IF(COUNTBLANK(B75:F75)&lt;&gt;COLUMNS(B75:F75),74,"")</f>
        <v/>
      </c>
      <c r="D75" s="1" t="str">
        <f t="shared" si="1"/>
        <v/>
      </c>
    </row>
    <row r="76" spans="1:4" x14ac:dyDescent="0.2">
      <c r="A76" t="str">
        <f>IF(COUNTBLANK(B76:F76)&lt;&gt;COLUMNS(B76:F76),75,"")</f>
        <v/>
      </c>
      <c r="D76" s="1" t="str">
        <f t="shared" si="1"/>
        <v/>
      </c>
    </row>
    <row r="77" spans="1:4" x14ac:dyDescent="0.2">
      <c r="A77" t="str">
        <f>IF(COUNTBLANK(B77:F77)&lt;&gt;COLUMNS(B77:F77),76,"")</f>
        <v/>
      </c>
      <c r="D77" s="1" t="str">
        <f t="shared" si="1"/>
        <v/>
      </c>
    </row>
    <row r="78" spans="1:4" x14ac:dyDescent="0.2">
      <c r="A78" t="str">
        <f>IF(COUNTBLANK(B78:F78)&lt;&gt;COLUMNS(B78:F78),77,"")</f>
        <v/>
      </c>
      <c r="D78" s="1" t="str">
        <f t="shared" si="1"/>
        <v/>
      </c>
    </row>
    <row r="79" spans="1:4" x14ac:dyDescent="0.2">
      <c r="A79" t="str">
        <f>IF(COUNTBLANK(B79:F79)&lt;&gt;COLUMNS(B79:F79),78,"")</f>
        <v/>
      </c>
      <c r="D79" s="1" t="str">
        <f t="shared" si="1"/>
        <v/>
      </c>
    </row>
    <row r="80" spans="1:4" x14ac:dyDescent="0.2">
      <c r="A80" t="str">
        <f>IF(COUNTBLANK(B80:F80)&lt;&gt;COLUMNS(B80:F80),79,"")</f>
        <v/>
      </c>
      <c r="D80" s="1" t="str">
        <f t="shared" si="1"/>
        <v/>
      </c>
    </row>
    <row r="81" spans="1:4" x14ac:dyDescent="0.2">
      <c r="A81" t="str">
        <f>IF(COUNTBLANK(B81:F81)&lt;&gt;COLUMNS(B81:F81),80,"")</f>
        <v/>
      </c>
      <c r="D81" s="1" t="str">
        <f t="shared" si="1"/>
        <v/>
      </c>
    </row>
    <row r="82" spans="1:4" x14ac:dyDescent="0.2">
      <c r="A82" t="str">
        <f>IF(COUNTBLANK(B82:F82)&lt;&gt;COLUMNS(B82:F82),81,"")</f>
        <v/>
      </c>
      <c r="D82" s="1" t="str">
        <f t="shared" si="1"/>
        <v/>
      </c>
    </row>
    <row r="83" spans="1:4" x14ac:dyDescent="0.2">
      <c r="A83" t="str">
        <f>IF(COUNTBLANK(B83:F83)&lt;&gt;COLUMNS(B83:F83),82,"")</f>
        <v/>
      </c>
      <c r="D83" s="1" t="str">
        <f t="shared" si="1"/>
        <v/>
      </c>
    </row>
    <row r="84" spans="1:4" x14ac:dyDescent="0.2">
      <c r="A84" t="str">
        <f>IF(COUNTBLANK(B84:F84)&lt;&gt;COLUMNS(B84:F84),83,"")</f>
        <v/>
      </c>
      <c r="D84" s="1" t="str">
        <f t="shared" si="1"/>
        <v/>
      </c>
    </row>
    <row r="85" spans="1:4" x14ac:dyDescent="0.2">
      <c r="A85" t="str">
        <f>IF(COUNTBLANK(B85:F85)&lt;&gt;COLUMNS(B85:F85),84,"")</f>
        <v/>
      </c>
      <c r="D85" s="1" t="str">
        <f t="shared" si="1"/>
        <v/>
      </c>
    </row>
    <row r="86" spans="1:4" x14ac:dyDescent="0.2">
      <c r="A86" t="str">
        <f>IF(COUNTBLANK(B86:F86)&lt;&gt;COLUMNS(B86:F86),85,"")</f>
        <v/>
      </c>
      <c r="D86" s="1" t="str">
        <f t="shared" si="1"/>
        <v/>
      </c>
    </row>
    <row r="87" spans="1:4" x14ac:dyDescent="0.2">
      <c r="A87" t="str">
        <f>IF(COUNTBLANK(B87:F87)&lt;&gt;COLUMNS(B87:F87),86,"")</f>
        <v/>
      </c>
      <c r="D87" s="1" t="str">
        <f t="shared" si="1"/>
        <v/>
      </c>
    </row>
    <row r="88" spans="1:4" x14ac:dyDescent="0.2">
      <c r="A88" t="str">
        <f>IF(COUNTBLANK(B88:F88)&lt;&gt;COLUMNS(B88:F88),87,"")</f>
        <v/>
      </c>
      <c r="D88" s="1" t="str">
        <f t="shared" si="1"/>
        <v/>
      </c>
    </row>
    <row r="89" spans="1:4" x14ac:dyDescent="0.2">
      <c r="A89" t="str">
        <f>IF(COUNTBLANK(B89:F89)&lt;&gt;COLUMNS(B89:F89),88,"")</f>
        <v/>
      </c>
      <c r="D89" s="1" t="str">
        <f t="shared" si="1"/>
        <v/>
      </c>
    </row>
    <row r="90" spans="1:4" x14ac:dyDescent="0.2">
      <c r="A90" t="str">
        <f>IF(COUNTBLANK(B90:F90)&lt;&gt;COLUMNS(B90:F90),89,"")</f>
        <v/>
      </c>
      <c r="D90" s="1" t="str">
        <f t="shared" si="1"/>
        <v/>
      </c>
    </row>
    <row r="91" spans="1:4" x14ac:dyDescent="0.2">
      <c r="A91" t="str">
        <f>IF(COUNTBLANK(B91:F91)&lt;&gt;COLUMNS(B91:F91),90,"")</f>
        <v/>
      </c>
      <c r="D91" s="1" t="str">
        <f t="shared" si="1"/>
        <v/>
      </c>
    </row>
    <row r="92" spans="1:4" x14ac:dyDescent="0.2">
      <c r="A92" t="str">
        <f>IF(COUNTBLANK(B92:F92)&lt;&gt;COLUMNS(B92:F92),91,"")</f>
        <v/>
      </c>
      <c r="D92" s="1" t="str">
        <f t="shared" si="1"/>
        <v/>
      </c>
    </row>
    <row r="93" spans="1:4" x14ac:dyDescent="0.2">
      <c r="A93" t="str">
        <f>IF(COUNTBLANK(B93:F93)&lt;&gt;COLUMNS(B93:F93),92,"")</f>
        <v/>
      </c>
      <c r="D93" s="1" t="str">
        <f t="shared" si="1"/>
        <v/>
      </c>
    </row>
    <row r="94" spans="1:4" x14ac:dyDescent="0.2">
      <c r="A94" t="str">
        <f>IF(COUNTBLANK(B94:F94)&lt;&gt;COLUMNS(B94:F94),93,"")</f>
        <v/>
      </c>
      <c r="D94" s="1" t="str">
        <f t="shared" si="1"/>
        <v/>
      </c>
    </row>
    <row r="95" spans="1:4" x14ac:dyDescent="0.2">
      <c r="A95" t="str">
        <f>IF(COUNTBLANK(B95:F95)&lt;&gt;COLUMNS(B95:F95),94,"")</f>
        <v/>
      </c>
      <c r="D95" s="1" t="str">
        <f t="shared" si="1"/>
        <v/>
      </c>
    </row>
    <row r="96" spans="1:4" x14ac:dyDescent="0.2">
      <c r="A96" t="str">
        <f>IF(COUNTBLANK(B96:F96)&lt;&gt;COLUMNS(B96:F96),95,"")</f>
        <v/>
      </c>
      <c r="D96" s="1" t="str">
        <f t="shared" si="1"/>
        <v/>
      </c>
    </row>
    <row r="97" spans="1:4" x14ac:dyDescent="0.2">
      <c r="A97" t="str">
        <f>IF(COUNTBLANK(B97:F97)&lt;&gt;COLUMNS(B97:F97),96,"")</f>
        <v/>
      </c>
      <c r="D97" s="1" t="str">
        <f t="shared" si="1"/>
        <v/>
      </c>
    </row>
    <row r="98" spans="1:4" x14ac:dyDescent="0.2">
      <c r="A98" t="str">
        <f>IF(COUNTBLANK(B98:F98)&lt;&gt;COLUMNS(B98:F98),97,"")</f>
        <v/>
      </c>
      <c r="D98" s="1" t="str">
        <f t="shared" si="1"/>
        <v/>
      </c>
    </row>
    <row r="99" spans="1:4" x14ac:dyDescent="0.2">
      <c r="A99" t="str">
        <f>IF(COUNTBLANK(B99:F99)&lt;&gt;COLUMNS(B99:F99),98,"")</f>
        <v/>
      </c>
      <c r="D99" s="1" t="str">
        <f t="shared" si="1"/>
        <v/>
      </c>
    </row>
    <row r="100" spans="1:4" x14ac:dyDescent="0.2">
      <c r="A100" t="str">
        <f>IF(COUNTBLANK(B100:F100)&lt;&gt;COLUMNS(B100:F100),99,"")</f>
        <v/>
      </c>
      <c r="D100" s="1" t="str">
        <f t="shared" si="1"/>
        <v/>
      </c>
    </row>
    <row r="101" spans="1:4" x14ac:dyDescent="0.2">
      <c r="A101" t="str">
        <f>IF(COUNTBLANK(B101:F101)&lt;&gt;COLUMNS(B101:F101),100,"")</f>
        <v/>
      </c>
      <c r="D101" s="1" t="str">
        <f t="shared" si="1"/>
        <v/>
      </c>
    </row>
    <row r="102" spans="1:4" x14ac:dyDescent="0.2">
      <c r="A102" t="str">
        <f>IF(COUNTBLANK(B102:F102)&lt;&gt;COLUMNS(B102:F102),101,"")</f>
        <v/>
      </c>
      <c r="D102" s="1" t="str">
        <f t="shared" si="1"/>
        <v/>
      </c>
    </row>
    <row r="103" spans="1:4" x14ac:dyDescent="0.2">
      <c r="A103" t="str">
        <f>IF(COUNTBLANK(B103:F103)&lt;&gt;COLUMNS(B103:F103),102,"")</f>
        <v/>
      </c>
      <c r="D103" s="1" t="str">
        <f t="shared" si="1"/>
        <v/>
      </c>
    </row>
    <row r="104" spans="1:4" x14ac:dyDescent="0.2">
      <c r="A104" t="str">
        <f>IF(COUNTBLANK(B104:F104)&lt;&gt;COLUMNS(B104:F104),103,"")</f>
        <v/>
      </c>
      <c r="D104" s="1" t="str">
        <f t="shared" si="1"/>
        <v/>
      </c>
    </row>
    <row r="105" spans="1:4" x14ac:dyDescent="0.2">
      <c r="A105" t="str">
        <f>IF(COUNTBLANK(B105:F105)&lt;&gt;COLUMNS(B105:F105),104,"")</f>
        <v/>
      </c>
      <c r="D105" s="1" t="str">
        <f t="shared" si="1"/>
        <v/>
      </c>
    </row>
    <row r="106" spans="1:4" x14ac:dyDescent="0.2">
      <c r="A106" t="str">
        <f>IF(COUNTBLANK(B106:F106)&lt;&gt;COLUMNS(B106:F106),105,"")</f>
        <v/>
      </c>
      <c r="D106" s="1" t="str">
        <f t="shared" si="1"/>
        <v/>
      </c>
    </row>
    <row r="107" spans="1:4" x14ac:dyDescent="0.2">
      <c r="A107" t="str">
        <f>IF(COUNTBLANK(B107:F107)&lt;&gt;COLUMNS(B107:F107),106,"")</f>
        <v/>
      </c>
      <c r="D107" s="1" t="str">
        <f t="shared" si="1"/>
        <v/>
      </c>
    </row>
    <row r="108" spans="1:4" x14ac:dyDescent="0.2">
      <c r="A108" t="str">
        <f>IF(COUNTBLANK(B108:F108)&lt;&gt;COLUMNS(B108:F108),107,"")</f>
        <v/>
      </c>
      <c r="D108" s="1" t="str">
        <f t="shared" si="1"/>
        <v/>
      </c>
    </row>
    <row r="109" spans="1:4" x14ac:dyDescent="0.2">
      <c r="A109" t="str">
        <f>IF(COUNTBLANK(B109:F109)&lt;&gt;COLUMNS(B109:F109),108,"")</f>
        <v/>
      </c>
      <c r="D109" s="1" t="str">
        <f t="shared" si="1"/>
        <v/>
      </c>
    </row>
    <row r="110" spans="1:4" x14ac:dyDescent="0.2">
      <c r="A110" t="str">
        <f>IF(COUNTBLANK(B110:F110)&lt;&gt;COLUMNS(B110:F110),109,"")</f>
        <v/>
      </c>
      <c r="D110" s="1" t="str">
        <f t="shared" si="1"/>
        <v/>
      </c>
    </row>
    <row r="111" spans="1:4" x14ac:dyDescent="0.2">
      <c r="A111" t="str">
        <f>IF(COUNTBLANK(B111:F111)&lt;&gt;COLUMNS(B111:F111),110,"")</f>
        <v/>
      </c>
      <c r="D111" s="1" t="str">
        <f t="shared" si="1"/>
        <v/>
      </c>
    </row>
    <row r="112" spans="1:4" x14ac:dyDescent="0.2">
      <c r="A112" t="str">
        <f>IF(COUNTBLANK(B112:F112)&lt;&gt;COLUMNS(B112:F112),111,"")</f>
        <v/>
      </c>
      <c r="D112" s="1" t="str">
        <f t="shared" si="1"/>
        <v/>
      </c>
    </row>
    <row r="113" spans="1:4" x14ac:dyDescent="0.2">
      <c r="A113" t="str">
        <f>IF(COUNTBLANK(B113:F113)&lt;&gt;COLUMNS(B113:F113),112,"")</f>
        <v/>
      </c>
      <c r="D113" s="1" t="str">
        <f t="shared" si="1"/>
        <v/>
      </c>
    </row>
    <row r="114" spans="1:4" x14ac:dyDescent="0.2">
      <c r="A114" t="str">
        <f>IF(COUNTBLANK(B114:F114)&lt;&gt;COLUMNS(B114:F114),113,"")</f>
        <v/>
      </c>
      <c r="D114" s="1" t="str">
        <f t="shared" si="1"/>
        <v/>
      </c>
    </row>
    <row r="115" spans="1:4" x14ac:dyDescent="0.2">
      <c r="A115" t="str">
        <f>IF(COUNTBLANK(B115:F115)&lt;&gt;COLUMNS(B115:F115),114,"")</f>
        <v/>
      </c>
      <c r="D115" s="1" t="str">
        <f t="shared" si="1"/>
        <v/>
      </c>
    </row>
    <row r="116" spans="1:4" x14ac:dyDescent="0.2">
      <c r="A116" t="str">
        <f>IF(COUNTBLANK(B116:F116)&lt;&gt;COLUMNS(B116:F116),115,"")</f>
        <v/>
      </c>
      <c r="D116" s="1" t="str">
        <f t="shared" si="1"/>
        <v/>
      </c>
    </row>
    <row r="117" spans="1:4" x14ac:dyDescent="0.2">
      <c r="A117" t="str">
        <f>IF(COUNTBLANK(B117:F117)&lt;&gt;COLUMNS(B117:F117),116,"")</f>
        <v/>
      </c>
      <c r="D117" s="1" t="str">
        <f t="shared" si="1"/>
        <v/>
      </c>
    </row>
    <row r="118" spans="1:4" x14ac:dyDescent="0.2">
      <c r="A118" t="str">
        <f>IF(COUNTBLANK(B118:F118)&lt;&gt;COLUMNS(B118:F118),117,"")</f>
        <v/>
      </c>
      <c r="D118" s="1" t="str">
        <f t="shared" si="1"/>
        <v/>
      </c>
    </row>
    <row r="119" spans="1:4" x14ac:dyDescent="0.2">
      <c r="A119" t="str">
        <f>IF(COUNTBLANK(B119:F119)&lt;&gt;COLUMNS(B119:F119),118,"")</f>
        <v/>
      </c>
      <c r="D119" s="1" t="str">
        <f t="shared" si="1"/>
        <v/>
      </c>
    </row>
    <row r="120" spans="1:4" x14ac:dyDescent="0.2">
      <c r="A120" t="str">
        <f>IF(COUNTBLANK(B120:F120)&lt;&gt;COLUMNS(B120:F120),119,"")</f>
        <v/>
      </c>
      <c r="D120" s="1" t="str">
        <f t="shared" si="1"/>
        <v/>
      </c>
    </row>
    <row r="121" spans="1:4" x14ac:dyDescent="0.2">
      <c r="A121" t="str">
        <f>IF(COUNTBLANK(B121:F121)&lt;&gt;COLUMNS(B121:F121),120,"")</f>
        <v/>
      </c>
      <c r="D121" s="1" t="str">
        <f t="shared" si="1"/>
        <v/>
      </c>
    </row>
    <row r="122" spans="1:4" x14ac:dyDescent="0.2">
      <c r="A122" t="str">
        <f>IF(COUNTBLANK(B122:F122)&lt;&gt;COLUMNS(B122:F122),121,"")</f>
        <v/>
      </c>
      <c r="D122" s="1" t="str">
        <f t="shared" si="1"/>
        <v/>
      </c>
    </row>
    <row r="123" spans="1:4" x14ac:dyDescent="0.2">
      <c r="A123" t="str">
        <f>IF(COUNTBLANK(B123:F123)&lt;&gt;COLUMNS(B123:F123),122,"")</f>
        <v/>
      </c>
      <c r="D123" s="1" t="str">
        <f t="shared" si="1"/>
        <v/>
      </c>
    </row>
    <row r="124" spans="1:4" x14ac:dyDescent="0.2">
      <c r="A124" t="str">
        <f>IF(COUNTBLANK(B124:F124)&lt;&gt;COLUMNS(B124:F124),123,"")</f>
        <v/>
      </c>
      <c r="D124" s="1" t="str">
        <f t="shared" si="1"/>
        <v/>
      </c>
    </row>
    <row r="125" spans="1:4" x14ac:dyDescent="0.2">
      <c r="A125" t="str">
        <f>IF(COUNTBLANK(B125:F125)&lt;&gt;COLUMNS(B125:F125),124,"")</f>
        <v/>
      </c>
      <c r="D125" s="1" t="str">
        <f t="shared" si="1"/>
        <v/>
      </c>
    </row>
    <row r="126" spans="1:4" x14ac:dyDescent="0.2">
      <c r="A126" t="str">
        <f>IF(COUNTBLANK(B126:F126)&lt;&gt;COLUMNS(B126:F126),125,"")</f>
        <v/>
      </c>
      <c r="D126" s="1" t="str">
        <f t="shared" si="1"/>
        <v/>
      </c>
    </row>
    <row r="127" spans="1:4" x14ac:dyDescent="0.2">
      <c r="A127" t="str">
        <f>IF(COUNTBLANK(B127:F127)&lt;&gt;COLUMNS(B127:F127),126,"")</f>
        <v/>
      </c>
      <c r="D127" s="1" t="str">
        <f t="shared" si="1"/>
        <v/>
      </c>
    </row>
    <row r="128" spans="1:4" x14ac:dyDescent="0.2">
      <c r="A128" t="str">
        <f>IF(COUNTBLANK(B128:F128)&lt;&gt;COLUMNS(B128:F128),127,"")</f>
        <v/>
      </c>
      <c r="D128" s="1" t="str">
        <f t="shared" si="1"/>
        <v/>
      </c>
    </row>
    <row r="129" spans="1:4" x14ac:dyDescent="0.2">
      <c r="A129" t="str">
        <f>IF(COUNTBLANK(B129:F129)&lt;&gt;COLUMNS(B129:F129),128,"")</f>
        <v/>
      </c>
      <c r="D129" s="1" t="str">
        <f t="shared" si="1"/>
        <v/>
      </c>
    </row>
    <row r="130" spans="1:4" x14ac:dyDescent="0.2">
      <c r="A130" t="str">
        <f>IF(COUNTBLANK(B130:F130)&lt;&gt;COLUMNS(B130:F130),129,"")</f>
        <v/>
      </c>
      <c r="D130" s="1" t="str">
        <f t="shared" ref="D130:D193" si="2">IF(B130="", "", "f")</f>
        <v/>
      </c>
    </row>
    <row r="131" spans="1:4" x14ac:dyDescent="0.2">
      <c r="A131" t="str">
        <f>IF(COUNTBLANK(B131:F131)&lt;&gt;COLUMNS(B131:F131),130,"")</f>
        <v/>
      </c>
      <c r="D131" s="1" t="str">
        <f t="shared" si="2"/>
        <v/>
      </c>
    </row>
    <row r="132" spans="1:4" x14ac:dyDescent="0.2">
      <c r="A132" t="str">
        <f>IF(COUNTBLANK(B132:F132)&lt;&gt;COLUMNS(B132:F132),131,"")</f>
        <v/>
      </c>
      <c r="D132" s="1" t="str">
        <f t="shared" si="2"/>
        <v/>
      </c>
    </row>
    <row r="133" spans="1:4" x14ac:dyDescent="0.2">
      <c r="A133" t="str">
        <f>IF(COUNTBLANK(B133:F133)&lt;&gt;COLUMNS(B133:F133),132,"")</f>
        <v/>
      </c>
      <c r="D133" s="1" t="str">
        <f t="shared" si="2"/>
        <v/>
      </c>
    </row>
    <row r="134" spans="1:4" x14ac:dyDescent="0.2">
      <c r="A134" t="str">
        <f>IF(COUNTBLANK(B134:F134)&lt;&gt;COLUMNS(B134:F134),133,"")</f>
        <v/>
      </c>
      <c r="D134" s="1" t="str">
        <f t="shared" si="2"/>
        <v/>
      </c>
    </row>
    <row r="135" spans="1:4" x14ac:dyDescent="0.2">
      <c r="A135" t="str">
        <f>IF(COUNTBLANK(B135:F135)&lt;&gt;COLUMNS(B135:F135),134,"")</f>
        <v/>
      </c>
      <c r="D135" s="1" t="str">
        <f t="shared" si="2"/>
        <v/>
      </c>
    </row>
    <row r="136" spans="1:4" x14ac:dyDescent="0.2">
      <c r="A136" t="str">
        <f>IF(COUNTBLANK(B136:F136)&lt;&gt;COLUMNS(B136:F136),135,"")</f>
        <v/>
      </c>
      <c r="D136" s="1" t="str">
        <f t="shared" si="2"/>
        <v/>
      </c>
    </row>
    <row r="137" spans="1:4" x14ac:dyDescent="0.2">
      <c r="A137" t="str">
        <f>IF(COUNTBLANK(B137:F137)&lt;&gt;COLUMNS(B137:F137),136,"")</f>
        <v/>
      </c>
      <c r="D137" s="1" t="str">
        <f t="shared" si="2"/>
        <v/>
      </c>
    </row>
    <row r="138" spans="1:4" x14ac:dyDescent="0.2">
      <c r="A138" t="str">
        <f>IF(COUNTBLANK(B138:F138)&lt;&gt;COLUMNS(B138:F138),137,"")</f>
        <v/>
      </c>
      <c r="D138" s="1" t="str">
        <f t="shared" si="2"/>
        <v/>
      </c>
    </row>
    <row r="139" spans="1:4" x14ac:dyDescent="0.2">
      <c r="A139" t="str">
        <f>IF(COUNTBLANK(B139:F139)&lt;&gt;COLUMNS(B139:F139),138,"")</f>
        <v/>
      </c>
      <c r="D139" s="1" t="str">
        <f t="shared" si="2"/>
        <v/>
      </c>
    </row>
    <row r="140" spans="1:4" x14ac:dyDescent="0.2">
      <c r="A140" t="str">
        <f>IF(COUNTBLANK(B140:F140)&lt;&gt;COLUMNS(B140:F140),139,"")</f>
        <v/>
      </c>
      <c r="D140" s="1" t="str">
        <f t="shared" si="2"/>
        <v/>
      </c>
    </row>
    <row r="141" spans="1:4" x14ac:dyDescent="0.2">
      <c r="A141" t="str">
        <f>IF(COUNTBLANK(B141:F141)&lt;&gt;COLUMNS(B141:F141),140,"")</f>
        <v/>
      </c>
      <c r="D141" s="1" t="str">
        <f t="shared" si="2"/>
        <v/>
      </c>
    </row>
    <row r="142" spans="1:4" x14ac:dyDescent="0.2">
      <c r="A142" t="str">
        <f>IF(COUNTBLANK(B142:F142)&lt;&gt;COLUMNS(B142:F142),141,"")</f>
        <v/>
      </c>
      <c r="D142" s="1" t="str">
        <f t="shared" si="2"/>
        <v/>
      </c>
    </row>
    <row r="143" spans="1:4" x14ac:dyDescent="0.2">
      <c r="A143" t="str">
        <f>IF(COUNTBLANK(B143:F143)&lt;&gt;COLUMNS(B143:F143),142,"")</f>
        <v/>
      </c>
      <c r="D143" s="1" t="str">
        <f t="shared" si="2"/>
        <v/>
      </c>
    </row>
    <row r="144" spans="1:4" x14ac:dyDescent="0.2">
      <c r="A144" t="str">
        <f>IF(COUNTBLANK(B144:F144)&lt;&gt;COLUMNS(B144:F144),143,"")</f>
        <v/>
      </c>
      <c r="D144" s="1" t="str">
        <f t="shared" si="2"/>
        <v/>
      </c>
    </row>
    <row r="145" spans="1:4" x14ac:dyDescent="0.2">
      <c r="A145" t="str">
        <f>IF(COUNTBLANK(B145:F145)&lt;&gt;COLUMNS(B145:F145),144,"")</f>
        <v/>
      </c>
      <c r="D145" s="1" t="str">
        <f t="shared" si="2"/>
        <v/>
      </c>
    </row>
    <row r="146" spans="1:4" x14ac:dyDescent="0.2">
      <c r="A146" t="str">
        <f>IF(COUNTBLANK(B146:F146)&lt;&gt;COLUMNS(B146:F146),145,"")</f>
        <v/>
      </c>
      <c r="D146" s="1" t="str">
        <f t="shared" si="2"/>
        <v/>
      </c>
    </row>
    <row r="147" spans="1:4" x14ac:dyDescent="0.2">
      <c r="A147" t="str">
        <f>IF(COUNTBLANK(B147:F147)&lt;&gt;COLUMNS(B147:F147),146,"")</f>
        <v/>
      </c>
      <c r="D147" s="1" t="str">
        <f t="shared" si="2"/>
        <v/>
      </c>
    </row>
    <row r="148" spans="1:4" x14ac:dyDescent="0.2">
      <c r="A148" t="str">
        <f>IF(COUNTBLANK(B148:F148)&lt;&gt;COLUMNS(B148:F148),147,"")</f>
        <v/>
      </c>
      <c r="D148" s="1" t="str">
        <f t="shared" si="2"/>
        <v/>
      </c>
    </row>
    <row r="149" spans="1:4" x14ac:dyDescent="0.2">
      <c r="A149" t="str">
        <f>IF(COUNTBLANK(B149:F149)&lt;&gt;COLUMNS(B149:F149),148,"")</f>
        <v/>
      </c>
      <c r="D149" s="1" t="str">
        <f t="shared" si="2"/>
        <v/>
      </c>
    </row>
    <row r="150" spans="1:4" x14ac:dyDescent="0.2">
      <c r="A150" t="str">
        <f>IF(COUNTBLANK(B150:F150)&lt;&gt;COLUMNS(B150:F150),149,"")</f>
        <v/>
      </c>
      <c r="D150" s="1" t="str">
        <f t="shared" si="2"/>
        <v/>
      </c>
    </row>
    <row r="151" spans="1:4" x14ac:dyDescent="0.2">
      <c r="A151" t="str">
        <f>IF(COUNTBLANK(B151:F151)&lt;&gt;COLUMNS(B151:F151),150,"")</f>
        <v/>
      </c>
      <c r="D151" s="1" t="str">
        <f t="shared" si="2"/>
        <v/>
      </c>
    </row>
    <row r="152" spans="1:4" x14ac:dyDescent="0.2">
      <c r="A152" t="str">
        <f>IF(COUNTBLANK(B152:F152)&lt;&gt;COLUMNS(B152:F152),151,"")</f>
        <v/>
      </c>
      <c r="D152" s="1" t="str">
        <f t="shared" si="2"/>
        <v/>
      </c>
    </row>
    <row r="153" spans="1:4" x14ac:dyDescent="0.2">
      <c r="A153" t="str">
        <f>IF(COUNTBLANK(B153:F153)&lt;&gt;COLUMNS(B153:F153),152,"")</f>
        <v/>
      </c>
      <c r="D153" s="1" t="str">
        <f t="shared" si="2"/>
        <v/>
      </c>
    </row>
    <row r="154" spans="1:4" x14ac:dyDescent="0.2">
      <c r="A154" t="str">
        <f>IF(COUNTBLANK(B154:F154)&lt;&gt;COLUMNS(B154:F154),153,"")</f>
        <v/>
      </c>
      <c r="D154" s="1" t="str">
        <f t="shared" si="2"/>
        <v/>
      </c>
    </row>
    <row r="155" spans="1:4" x14ac:dyDescent="0.2">
      <c r="A155" t="str">
        <f>IF(COUNTBLANK(B155:F155)&lt;&gt;COLUMNS(B155:F155),154,"")</f>
        <v/>
      </c>
      <c r="D155" s="1" t="str">
        <f t="shared" si="2"/>
        <v/>
      </c>
    </row>
    <row r="156" spans="1:4" x14ac:dyDescent="0.2">
      <c r="A156" t="str">
        <f>IF(COUNTBLANK(B156:F156)&lt;&gt;COLUMNS(B156:F156),155,"")</f>
        <v/>
      </c>
      <c r="D156" s="1" t="str">
        <f t="shared" si="2"/>
        <v/>
      </c>
    </row>
    <row r="157" spans="1:4" x14ac:dyDescent="0.2">
      <c r="A157" t="str">
        <f>IF(COUNTBLANK(B157:F157)&lt;&gt;COLUMNS(B157:F157),156,"")</f>
        <v/>
      </c>
      <c r="D157" s="1" t="str">
        <f t="shared" si="2"/>
        <v/>
      </c>
    </row>
    <row r="158" spans="1:4" x14ac:dyDescent="0.2">
      <c r="A158" t="str">
        <f>IF(COUNTBLANK(B158:F158)&lt;&gt;COLUMNS(B158:F158),157,"")</f>
        <v/>
      </c>
      <c r="D158" s="1" t="str">
        <f t="shared" si="2"/>
        <v/>
      </c>
    </row>
    <row r="159" spans="1:4" x14ac:dyDescent="0.2">
      <c r="A159" t="str">
        <f>IF(COUNTBLANK(B159:F159)&lt;&gt;COLUMNS(B159:F159),158,"")</f>
        <v/>
      </c>
      <c r="D159" s="1" t="str">
        <f t="shared" si="2"/>
        <v/>
      </c>
    </row>
    <row r="160" spans="1:4" x14ac:dyDescent="0.2">
      <c r="A160" t="str">
        <f>IF(COUNTBLANK(B160:F160)&lt;&gt;COLUMNS(B160:F160),159,"")</f>
        <v/>
      </c>
      <c r="D160" s="1" t="str">
        <f t="shared" si="2"/>
        <v/>
      </c>
    </row>
    <row r="161" spans="1:4" x14ac:dyDescent="0.2">
      <c r="A161" t="str">
        <f>IF(COUNTBLANK(B161:F161)&lt;&gt;COLUMNS(B161:F161),160,"")</f>
        <v/>
      </c>
      <c r="D161" s="1" t="str">
        <f t="shared" si="2"/>
        <v/>
      </c>
    </row>
    <row r="162" spans="1:4" x14ac:dyDescent="0.2">
      <c r="A162" t="str">
        <f>IF(COUNTBLANK(B162:F162)&lt;&gt;COLUMNS(B162:F162),161,"")</f>
        <v/>
      </c>
      <c r="D162" s="1" t="str">
        <f t="shared" si="2"/>
        <v/>
      </c>
    </row>
    <row r="163" spans="1:4" x14ac:dyDescent="0.2">
      <c r="A163" t="str">
        <f>IF(COUNTBLANK(B163:F163)&lt;&gt;COLUMNS(B163:F163),162,"")</f>
        <v/>
      </c>
      <c r="D163" s="1" t="str">
        <f t="shared" si="2"/>
        <v/>
      </c>
    </row>
    <row r="164" spans="1:4" x14ac:dyDescent="0.2">
      <c r="A164" t="str">
        <f>IF(COUNTBLANK(B164:F164)&lt;&gt;COLUMNS(B164:F164),163,"")</f>
        <v/>
      </c>
      <c r="D164" s="1" t="str">
        <f t="shared" si="2"/>
        <v/>
      </c>
    </row>
    <row r="165" spans="1:4" x14ac:dyDescent="0.2">
      <c r="A165" t="str">
        <f>IF(COUNTBLANK(B165:F165)&lt;&gt;COLUMNS(B165:F165),164,"")</f>
        <v/>
      </c>
      <c r="D165" s="1" t="str">
        <f t="shared" si="2"/>
        <v/>
      </c>
    </row>
    <row r="166" spans="1:4" x14ac:dyDescent="0.2">
      <c r="A166" t="str">
        <f>IF(COUNTBLANK(B166:F166)&lt;&gt;COLUMNS(B166:F166),165,"")</f>
        <v/>
      </c>
      <c r="D166" s="1" t="str">
        <f t="shared" si="2"/>
        <v/>
      </c>
    </row>
    <row r="167" spans="1:4" x14ac:dyDescent="0.2">
      <c r="A167" t="str">
        <f>IF(COUNTBLANK(B167:F167)&lt;&gt;COLUMNS(B167:F167),166,"")</f>
        <v/>
      </c>
      <c r="D167" s="1" t="str">
        <f t="shared" si="2"/>
        <v/>
      </c>
    </row>
    <row r="168" spans="1:4" x14ac:dyDescent="0.2">
      <c r="A168" t="str">
        <f>IF(COUNTBLANK(B168:F168)&lt;&gt;COLUMNS(B168:F168),167,"")</f>
        <v/>
      </c>
      <c r="D168" s="1" t="str">
        <f t="shared" si="2"/>
        <v/>
      </c>
    </row>
    <row r="169" spans="1:4" x14ac:dyDescent="0.2">
      <c r="A169" t="str">
        <f>IF(COUNTBLANK(B169:F169)&lt;&gt;COLUMNS(B169:F169),168,"")</f>
        <v/>
      </c>
      <c r="D169" s="1" t="str">
        <f t="shared" si="2"/>
        <v/>
      </c>
    </row>
    <row r="170" spans="1:4" x14ac:dyDescent="0.2">
      <c r="A170" t="str">
        <f>IF(COUNTBLANK(B170:F170)&lt;&gt;COLUMNS(B170:F170),169,"")</f>
        <v/>
      </c>
      <c r="D170" s="1" t="str">
        <f t="shared" si="2"/>
        <v/>
      </c>
    </row>
    <row r="171" spans="1:4" x14ac:dyDescent="0.2">
      <c r="A171" t="str">
        <f>IF(COUNTBLANK(B171:F171)&lt;&gt;COLUMNS(B171:F171),170,"")</f>
        <v/>
      </c>
      <c r="D171" s="1" t="str">
        <f t="shared" si="2"/>
        <v/>
      </c>
    </row>
    <row r="172" spans="1:4" x14ac:dyDescent="0.2">
      <c r="A172" t="str">
        <f>IF(COUNTBLANK(B172:F172)&lt;&gt;COLUMNS(B172:F172),171,"")</f>
        <v/>
      </c>
      <c r="D172" s="1" t="str">
        <f t="shared" si="2"/>
        <v/>
      </c>
    </row>
    <row r="173" spans="1:4" x14ac:dyDescent="0.2">
      <c r="A173" t="str">
        <f>IF(COUNTBLANK(B173:F173)&lt;&gt;COLUMNS(B173:F173),172,"")</f>
        <v/>
      </c>
      <c r="D173" s="1" t="str">
        <f t="shared" si="2"/>
        <v/>
      </c>
    </row>
    <row r="174" spans="1:4" x14ac:dyDescent="0.2">
      <c r="A174" t="str">
        <f>IF(COUNTBLANK(B174:F174)&lt;&gt;COLUMNS(B174:F174),173,"")</f>
        <v/>
      </c>
      <c r="D174" s="1" t="str">
        <f t="shared" si="2"/>
        <v/>
      </c>
    </row>
    <row r="175" spans="1:4" x14ac:dyDescent="0.2">
      <c r="A175" t="str">
        <f>IF(COUNTBLANK(B175:F175)&lt;&gt;COLUMNS(B175:F175),174,"")</f>
        <v/>
      </c>
      <c r="D175" s="1" t="str">
        <f t="shared" si="2"/>
        <v/>
      </c>
    </row>
    <row r="176" spans="1:4" x14ac:dyDescent="0.2">
      <c r="A176" t="str">
        <f>IF(COUNTBLANK(B176:F176)&lt;&gt;COLUMNS(B176:F176),175,"")</f>
        <v/>
      </c>
      <c r="D176" s="1" t="str">
        <f t="shared" si="2"/>
        <v/>
      </c>
    </row>
    <row r="177" spans="1:4" x14ac:dyDescent="0.2">
      <c r="A177" t="str">
        <f>IF(COUNTBLANK(B177:F177)&lt;&gt;COLUMNS(B177:F177),176,"")</f>
        <v/>
      </c>
      <c r="D177" s="1" t="str">
        <f t="shared" si="2"/>
        <v/>
      </c>
    </row>
    <row r="178" spans="1:4" x14ac:dyDescent="0.2">
      <c r="A178" t="str">
        <f>IF(COUNTBLANK(B178:F178)&lt;&gt;COLUMNS(B178:F178),177,"")</f>
        <v/>
      </c>
      <c r="D178" s="1" t="str">
        <f t="shared" si="2"/>
        <v/>
      </c>
    </row>
    <row r="179" spans="1:4" x14ac:dyDescent="0.2">
      <c r="A179" t="str">
        <f>IF(COUNTBLANK(B179:F179)&lt;&gt;COLUMNS(B179:F179),178,"")</f>
        <v/>
      </c>
      <c r="D179" s="1" t="str">
        <f t="shared" si="2"/>
        <v/>
      </c>
    </row>
    <row r="180" spans="1:4" x14ac:dyDescent="0.2">
      <c r="A180" t="str">
        <f>IF(COUNTBLANK(B180:F180)&lt;&gt;COLUMNS(B180:F180),179,"")</f>
        <v/>
      </c>
      <c r="D180" s="1" t="str">
        <f t="shared" si="2"/>
        <v/>
      </c>
    </row>
    <row r="181" spans="1:4" x14ac:dyDescent="0.2">
      <c r="A181" t="str">
        <f>IF(COUNTBLANK(B181:F181)&lt;&gt;COLUMNS(B181:F181),180,"")</f>
        <v/>
      </c>
      <c r="D181" s="1" t="str">
        <f t="shared" si="2"/>
        <v/>
      </c>
    </row>
    <row r="182" spans="1:4" x14ac:dyDescent="0.2">
      <c r="A182" t="str">
        <f>IF(COUNTBLANK(B182:F182)&lt;&gt;COLUMNS(B182:F182),181,"")</f>
        <v/>
      </c>
      <c r="D182" s="1" t="str">
        <f t="shared" si="2"/>
        <v/>
      </c>
    </row>
    <row r="183" spans="1:4" x14ac:dyDescent="0.2">
      <c r="A183" t="str">
        <f>IF(COUNTBLANK(B183:F183)&lt;&gt;COLUMNS(B183:F183),182,"")</f>
        <v/>
      </c>
      <c r="D183" s="1" t="str">
        <f t="shared" si="2"/>
        <v/>
      </c>
    </row>
    <row r="184" spans="1:4" x14ac:dyDescent="0.2">
      <c r="A184" t="str">
        <f>IF(COUNTBLANK(B184:F184)&lt;&gt;COLUMNS(B184:F184),183,"")</f>
        <v/>
      </c>
      <c r="D184" s="1" t="str">
        <f t="shared" si="2"/>
        <v/>
      </c>
    </row>
    <row r="185" spans="1:4" x14ac:dyDescent="0.2">
      <c r="A185" t="str">
        <f>IF(COUNTBLANK(B185:F185)&lt;&gt;COLUMNS(B185:F185),184,"")</f>
        <v/>
      </c>
      <c r="D185" s="1" t="str">
        <f t="shared" si="2"/>
        <v/>
      </c>
    </row>
    <row r="186" spans="1:4" x14ac:dyDescent="0.2">
      <c r="A186" t="str">
        <f>IF(COUNTBLANK(B186:F186)&lt;&gt;COLUMNS(B186:F186),185,"")</f>
        <v/>
      </c>
      <c r="D186" s="1" t="str">
        <f t="shared" si="2"/>
        <v/>
      </c>
    </row>
    <row r="187" spans="1:4" x14ac:dyDescent="0.2">
      <c r="A187" t="str">
        <f>IF(COUNTBLANK(B187:F187)&lt;&gt;COLUMNS(B187:F187),186,"")</f>
        <v/>
      </c>
      <c r="D187" s="1" t="str">
        <f t="shared" si="2"/>
        <v/>
      </c>
    </row>
    <row r="188" spans="1:4" x14ac:dyDescent="0.2">
      <c r="A188" t="str">
        <f>IF(COUNTBLANK(B188:F188)&lt;&gt;COLUMNS(B188:F188),187,"")</f>
        <v/>
      </c>
      <c r="D188" s="1" t="str">
        <f t="shared" si="2"/>
        <v/>
      </c>
    </row>
    <row r="189" spans="1:4" x14ac:dyDescent="0.2">
      <c r="A189" t="str">
        <f>IF(COUNTBLANK(B189:F189)&lt;&gt;COLUMNS(B189:F189),188,"")</f>
        <v/>
      </c>
      <c r="D189" s="1" t="str">
        <f t="shared" si="2"/>
        <v/>
      </c>
    </row>
    <row r="190" spans="1:4" x14ac:dyDescent="0.2">
      <c r="A190" t="str">
        <f>IF(COUNTBLANK(B190:F190)&lt;&gt;COLUMNS(B190:F190),189,"")</f>
        <v/>
      </c>
      <c r="D190" s="1" t="str">
        <f t="shared" si="2"/>
        <v/>
      </c>
    </row>
    <row r="191" spans="1:4" x14ac:dyDescent="0.2">
      <c r="A191" t="str">
        <f>IF(COUNTBLANK(B191:F191)&lt;&gt;COLUMNS(B191:F191),190,"")</f>
        <v/>
      </c>
      <c r="D191" s="1" t="str">
        <f t="shared" si="2"/>
        <v/>
      </c>
    </row>
    <row r="192" spans="1:4" x14ac:dyDescent="0.2">
      <c r="A192" t="str">
        <f>IF(COUNTBLANK(B192:F192)&lt;&gt;COLUMNS(B192:F192),191,"")</f>
        <v/>
      </c>
      <c r="D192" s="1" t="str">
        <f t="shared" si="2"/>
        <v/>
      </c>
    </row>
    <row r="193" spans="1:4" x14ac:dyDescent="0.2">
      <c r="A193" t="str">
        <f>IF(COUNTBLANK(B193:F193)&lt;&gt;COLUMNS(B193:F193),192,"")</f>
        <v/>
      </c>
      <c r="D193" s="1" t="str">
        <f t="shared" si="2"/>
        <v/>
      </c>
    </row>
    <row r="194" spans="1:4" x14ac:dyDescent="0.2">
      <c r="A194" t="str">
        <f>IF(COUNTBLANK(B194:F194)&lt;&gt;COLUMNS(B194:F194),193,"")</f>
        <v/>
      </c>
      <c r="D194" s="1" t="str">
        <f t="shared" ref="D194:D257" si="3">IF(B194="", "", "f")</f>
        <v/>
      </c>
    </row>
    <row r="195" spans="1:4" x14ac:dyDescent="0.2">
      <c r="A195" t="str">
        <f>IF(COUNTBLANK(B195:F195)&lt;&gt;COLUMNS(B195:F195),194,"")</f>
        <v/>
      </c>
      <c r="D195" s="1" t="str">
        <f t="shared" si="3"/>
        <v/>
      </c>
    </row>
    <row r="196" spans="1:4" x14ac:dyDescent="0.2">
      <c r="A196" t="str">
        <f>IF(COUNTBLANK(B196:F196)&lt;&gt;COLUMNS(B196:F196),195,"")</f>
        <v/>
      </c>
      <c r="D196" s="1" t="str">
        <f t="shared" si="3"/>
        <v/>
      </c>
    </row>
    <row r="197" spans="1:4" x14ac:dyDescent="0.2">
      <c r="A197" t="str">
        <f>IF(COUNTBLANK(B197:F197)&lt;&gt;COLUMNS(B197:F197),196,"")</f>
        <v/>
      </c>
      <c r="D197" s="1" t="str">
        <f t="shared" si="3"/>
        <v/>
      </c>
    </row>
    <row r="198" spans="1:4" x14ac:dyDescent="0.2">
      <c r="A198" t="str">
        <f>IF(COUNTBLANK(B198:F198)&lt;&gt;COLUMNS(B198:F198),197,"")</f>
        <v/>
      </c>
      <c r="D198" s="1" t="str">
        <f t="shared" si="3"/>
        <v/>
      </c>
    </row>
    <row r="199" spans="1:4" x14ac:dyDescent="0.2">
      <c r="A199" t="str">
        <f>IF(COUNTBLANK(B199:F199)&lt;&gt;COLUMNS(B199:F199),198,"")</f>
        <v/>
      </c>
      <c r="D199" s="1" t="str">
        <f t="shared" si="3"/>
        <v/>
      </c>
    </row>
    <row r="200" spans="1:4" x14ac:dyDescent="0.2">
      <c r="A200" t="str">
        <f>IF(COUNTBLANK(B200:F200)&lt;&gt;COLUMNS(B200:F200),199,"")</f>
        <v/>
      </c>
      <c r="D200" s="1" t="str">
        <f t="shared" si="3"/>
        <v/>
      </c>
    </row>
    <row r="201" spans="1:4" x14ac:dyDescent="0.2">
      <c r="A201" t="str">
        <f>IF(COUNTBLANK(B201:F201)&lt;&gt;COLUMNS(B201:F201),200,"")</f>
        <v/>
      </c>
      <c r="D201" s="1" t="str">
        <f t="shared" si="3"/>
        <v/>
      </c>
    </row>
    <row r="202" spans="1:4" x14ac:dyDescent="0.2">
      <c r="A202" t="str">
        <f>IF(COUNTBLANK(B202:F202)&lt;&gt;COLUMNS(B202:F202),201,"")</f>
        <v/>
      </c>
      <c r="D202" s="1" t="str">
        <f t="shared" si="3"/>
        <v/>
      </c>
    </row>
    <row r="203" spans="1:4" x14ac:dyDescent="0.2">
      <c r="A203" t="str">
        <f>IF(COUNTBLANK(B203:F203)&lt;&gt;COLUMNS(B203:F203),202,"")</f>
        <v/>
      </c>
      <c r="D203" s="1" t="str">
        <f t="shared" si="3"/>
        <v/>
      </c>
    </row>
    <row r="204" spans="1:4" x14ac:dyDescent="0.2">
      <c r="A204" t="str">
        <f>IF(COUNTBLANK(B204:F204)&lt;&gt;COLUMNS(B204:F204),203,"")</f>
        <v/>
      </c>
      <c r="D204" s="1" t="str">
        <f t="shared" si="3"/>
        <v/>
      </c>
    </row>
    <row r="205" spans="1:4" x14ac:dyDescent="0.2">
      <c r="A205" t="str">
        <f>IF(COUNTBLANK(B205:F205)&lt;&gt;COLUMNS(B205:F205),204,"")</f>
        <v/>
      </c>
      <c r="D205" s="1" t="str">
        <f t="shared" si="3"/>
        <v/>
      </c>
    </row>
    <row r="206" spans="1:4" x14ac:dyDescent="0.2">
      <c r="A206" t="str">
        <f>IF(COUNTBLANK(B206:F206)&lt;&gt;COLUMNS(B206:F206),205,"")</f>
        <v/>
      </c>
      <c r="D206" s="1" t="str">
        <f t="shared" si="3"/>
        <v/>
      </c>
    </row>
    <row r="207" spans="1:4" x14ac:dyDescent="0.2">
      <c r="A207" t="str">
        <f>IF(COUNTBLANK(B207:F207)&lt;&gt;COLUMNS(B207:F207),206,"")</f>
        <v/>
      </c>
      <c r="D207" s="1" t="str">
        <f t="shared" si="3"/>
        <v/>
      </c>
    </row>
    <row r="208" spans="1:4" x14ac:dyDescent="0.2">
      <c r="A208" t="str">
        <f>IF(COUNTBLANK(B208:F208)&lt;&gt;COLUMNS(B208:F208),207,"")</f>
        <v/>
      </c>
      <c r="D208" s="1" t="str">
        <f t="shared" si="3"/>
        <v/>
      </c>
    </row>
    <row r="209" spans="1:4" x14ac:dyDescent="0.2">
      <c r="A209" t="str">
        <f>IF(COUNTBLANK(B209:F209)&lt;&gt;COLUMNS(B209:F209),208,"")</f>
        <v/>
      </c>
      <c r="D209" s="1" t="str">
        <f t="shared" si="3"/>
        <v/>
      </c>
    </row>
    <row r="210" spans="1:4" x14ac:dyDescent="0.2">
      <c r="A210" t="str">
        <f>IF(COUNTBLANK(B210:F210)&lt;&gt;COLUMNS(B210:F210),209,"")</f>
        <v/>
      </c>
      <c r="D210" s="1" t="str">
        <f t="shared" si="3"/>
        <v/>
      </c>
    </row>
    <row r="211" spans="1:4" x14ac:dyDescent="0.2">
      <c r="A211" t="str">
        <f>IF(COUNTBLANK(B211:F211)&lt;&gt;COLUMNS(B211:F211),210,"")</f>
        <v/>
      </c>
      <c r="D211" s="1" t="str">
        <f t="shared" si="3"/>
        <v/>
      </c>
    </row>
    <row r="212" spans="1:4" x14ac:dyDescent="0.2">
      <c r="A212" t="str">
        <f>IF(COUNTBLANK(B212:F212)&lt;&gt;COLUMNS(B212:F212),211,"")</f>
        <v/>
      </c>
      <c r="D212" s="1" t="str">
        <f t="shared" si="3"/>
        <v/>
      </c>
    </row>
    <row r="213" spans="1:4" x14ac:dyDescent="0.2">
      <c r="A213" t="str">
        <f>IF(COUNTBLANK(B213:F213)&lt;&gt;COLUMNS(B213:F213),212,"")</f>
        <v/>
      </c>
      <c r="D213" s="1" t="str">
        <f t="shared" si="3"/>
        <v/>
      </c>
    </row>
    <row r="214" spans="1:4" x14ac:dyDescent="0.2">
      <c r="A214" t="str">
        <f>IF(COUNTBLANK(B214:F214)&lt;&gt;COLUMNS(B214:F214),213,"")</f>
        <v/>
      </c>
      <c r="D214" s="1" t="str">
        <f t="shared" si="3"/>
        <v/>
      </c>
    </row>
    <row r="215" spans="1:4" x14ac:dyDescent="0.2">
      <c r="A215" t="str">
        <f>IF(COUNTBLANK(B215:F215)&lt;&gt;COLUMNS(B215:F215),214,"")</f>
        <v/>
      </c>
      <c r="D215" s="1" t="str">
        <f t="shared" si="3"/>
        <v/>
      </c>
    </row>
    <row r="216" spans="1:4" x14ac:dyDescent="0.2">
      <c r="A216" t="str">
        <f>IF(COUNTBLANK(B216:F216)&lt;&gt;COLUMNS(B216:F216),215,"")</f>
        <v/>
      </c>
      <c r="D216" s="1" t="str">
        <f t="shared" si="3"/>
        <v/>
      </c>
    </row>
    <row r="217" spans="1:4" x14ac:dyDescent="0.2">
      <c r="A217" t="str">
        <f>IF(COUNTBLANK(B217:F217)&lt;&gt;COLUMNS(B217:F217),216,"")</f>
        <v/>
      </c>
      <c r="D217" s="1" t="str">
        <f t="shared" si="3"/>
        <v/>
      </c>
    </row>
    <row r="218" spans="1:4" x14ac:dyDescent="0.2">
      <c r="A218" t="str">
        <f>IF(COUNTBLANK(B218:F218)&lt;&gt;COLUMNS(B218:F218),217,"")</f>
        <v/>
      </c>
      <c r="D218" s="1" t="str">
        <f t="shared" si="3"/>
        <v/>
      </c>
    </row>
    <row r="219" spans="1:4" x14ac:dyDescent="0.2">
      <c r="A219" t="str">
        <f>IF(COUNTBLANK(B219:F219)&lt;&gt;COLUMNS(B219:F219),218,"")</f>
        <v/>
      </c>
      <c r="D219" s="1" t="str">
        <f t="shared" si="3"/>
        <v/>
      </c>
    </row>
    <row r="220" spans="1:4" x14ac:dyDescent="0.2">
      <c r="A220" t="str">
        <f>IF(COUNTBLANK(B220:F220)&lt;&gt;COLUMNS(B220:F220),219,"")</f>
        <v/>
      </c>
      <c r="D220" s="1" t="str">
        <f t="shared" si="3"/>
        <v/>
      </c>
    </row>
    <row r="221" spans="1:4" x14ac:dyDescent="0.2">
      <c r="A221" t="str">
        <f>IF(COUNTBLANK(B221:F221)&lt;&gt;COLUMNS(B221:F221),220,"")</f>
        <v/>
      </c>
      <c r="D221" s="1" t="str">
        <f t="shared" si="3"/>
        <v/>
      </c>
    </row>
    <row r="222" spans="1:4" x14ac:dyDescent="0.2">
      <c r="A222" t="str">
        <f>IF(COUNTBLANK(B222:F222)&lt;&gt;COLUMNS(B222:F222),221,"")</f>
        <v/>
      </c>
      <c r="D222" s="1" t="str">
        <f t="shared" si="3"/>
        <v/>
      </c>
    </row>
    <row r="223" spans="1:4" x14ac:dyDescent="0.2">
      <c r="A223" t="str">
        <f>IF(COUNTBLANK(B223:F223)&lt;&gt;COLUMNS(B223:F223),222,"")</f>
        <v/>
      </c>
      <c r="D223" s="1" t="str">
        <f t="shared" si="3"/>
        <v/>
      </c>
    </row>
    <row r="224" spans="1:4" x14ac:dyDescent="0.2">
      <c r="A224" t="str">
        <f>IF(COUNTBLANK(B224:F224)&lt;&gt;COLUMNS(B224:F224),223,"")</f>
        <v/>
      </c>
      <c r="D224" s="1" t="str">
        <f t="shared" si="3"/>
        <v/>
      </c>
    </row>
    <row r="225" spans="1:4" x14ac:dyDescent="0.2">
      <c r="A225" t="str">
        <f>IF(COUNTBLANK(B225:F225)&lt;&gt;COLUMNS(B225:F225),224,"")</f>
        <v/>
      </c>
      <c r="D225" s="1" t="str">
        <f t="shared" si="3"/>
        <v/>
      </c>
    </row>
    <row r="226" spans="1:4" x14ac:dyDescent="0.2">
      <c r="A226" t="str">
        <f>IF(COUNTBLANK(B226:F226)&lt;&gt;COLUMNS(B226:F226),225,"")</f>
        <v/>
      </c>
      <c r="D226" s="1" t="str">
        <f t="shared" si="3"/>
        <v/>
      </c>
    </row>
    <row r="227" spans="1:4" x14ac:dyDescent="0.2">
      <c r="A227" t="str">
        <f>IF(COUNTBLANK(B227:F227)&lt;&gt;COLUMNS(B227:F227),226,"")</f>
        <v/>
      </c>
      <c r="D227" s="1" t="str">
        <f t="shared" si="3"/>
        <v/>
      </c>
    </row>
    <row r="228" spans="1:4" x14ac:dyDescent="0.2">
      <c r="A228" t="str">
        <f>IF(COUNTBLANK(B228:F228)&lt;&gt;COLUMNS(B228:F228),227,"")</f>
        <v/>
      </c>
      <c r="D228" s="1" t="str">
        <f t="shared" si="3"/>
        <v/>
      </c>
    </row>
    <row r="229" spans="1:4" x14ac:dyDescent="0.2">
      <c r="A229" t="str">
        <f>IF(COUNTBLANK(B229:F229)&lt;&gt;COLUMNS(B229:F229),228,"")</f>
        <v/>
      </c>
      <c r="D229" s="1" t="str">
        <f t="shared" si="3"/>
        <v/>
      </c>
    </row>
    <row r="230" spans="1:4" x14ac:dyDescent="0.2">
      <c r="A230" t="str">
        <f>IF(COUNTBLANK(B230:F230)&lt;&gt;COLUMNS(B230:F230),229,"")</f>
        <v/>
      </c>
      <c r="D230" s="1" t="str">
        <f t="shared" si="3"/>
        <v/>
      </c>
    </row>
    <row r="231" spans="1:4" x14ac:dyDescent="0.2">
      <c r="A231" t="str">
        <f>IF(COUNTBLANK(B231:F231)&lt;&gt;COLUMNS(B231:F231),230,"")</f>
        <v/>
      </c>
      <c r="D231" s="1" t="str">
        <f t="shared" si="3"/>
        <v/>
      </c>
    </row>
    <row r="232" spans="1:4" x14ac:dyDescent="0.2">
      <c r="A232" t="str">
        <f>IF(COUNTBLANK(B232:F232)&lt;&gt;COLUMNS(B232:F232),231,"")</f>
        <v/>
      </c>
      <c r="D232" s="1" t="str">
        <f t="shared" si="3"/>
        <v/>
      </c>
    </row>
    <row r="233" spans="1:4" x14ac:dyDescent="0.2">
      <c r="A233" t="str">
        <f>IF(COUNTBLANK(B233:F233)&lt;&gt;COLUMNS(B233:F233),232,"")</f>
        <v/>
      </c>
      <c r="D233" s="1" t="str">
        <f t="shared" si="3"/>
        <v/>
      </c>
    </row>
    <row r="234" spans="1:4" x14ac:dyDescent="0.2">
      <c r="A234" t="str">
        <f>IF(COUNTBLANK(B234:F234)&lt;&gt;COLUMNS(B234:F234),233,"")</f>
        <v/>
      </c>
      <c r="D234" s="1" t="str">
        <f t="shared" si="3"/>
        <v/>
      </c>
    </row>
    <row r="235" spans="1:4" x14ac:dyDescent="0.2">
      <c r="A235" t="str">
        <f>IF(COUNTBLANK(B235:F235)&lt;&gt;COLUMNS(B235:F235),234,"")</f>
        <v/>
      </c>
      <c r="D235" s="1" t="str">
        <f t="shared" si="3"/>
        <v/>
      </c>
    </row>
    <row r="236" spans="1:4" x14ac:dyDescent="0.2">
      <c r="A236" t="str">
        <f>IF(COUNTBLANK(B236:F236)&lt;&gt;COLUMNS(B236:F236),235,"")</f>
        <v/>
      </c>
      <c r="D236" s="1" t="str">
        <f t="shared" si="3"/>
        <v/>
      </c>
    </row>
    <row r="237" spans="1:4" x14ac:dyDescent="0.2">
      <c r="A237" t="str">
        <f>IF(COUNTBLANK(B237:F237)&lt;&gt;COLUMNS(B237:F237),236,"")</f>
        <v/>
      </c>
      <c r="D237" s="1" t="str">
        <f t="shared" si="3"/>
        <v/>
      </c>
    </row>
    <row r="238" spans="1:4" x14ac:dyDescent="0.2">
      <c r="A238" t="str">
        <f>IF(COUNTBLANK(B238:F238)&lt;&gt;COLUMNS(B238:F238),237,"")</f>
        <v/>
      </c>
      <c r="D238" s="1" t="str">
        <f t="shared" si="3"/>
        <v/>
      </c>
    </row>
    <row r="239" spans="1:4" x14ac:dyDescent="0.2">
      <c r="A239" t="str">
        <f>IF(COUNTBLANK(B239:F239)&lt;&gt;COLUMNS(B239:F239),238,"")</f>
        <v/>
      </c>
      <c r="D239" s="1" t="str">
        <f t="shared" si="3"/>
        <v/>
      </c>
    </row>
    <row r="240" spans="1:4" x14ac:dyDescent="0.2">
      <c r="A240" t="str">
        <f>IF(COUNTBLANK(B240:F240)&lt;&gt;COLUMNS(B240:F240),239,"")</f>
        <v/>
      </c>
      <c r="D240" s="1" t="str">
        <f t="shared" si="3"/>
        <v/>
      </c>
    </row>
    <row r="241" spans="1:4" x14ac:dyDescent="0.2">
      <c r="A241" t="str">
        <f>IF(COUNTBLANK(B241:F241)&lt;&gt;COLUMNS(B241:F241),240,"")</f>
        <v/>
      </c>
      <c r="D241" s="1" t="str">
        <f t="shared" si="3"/>
        <v/>
      </c>
    </row>
    <row r="242" spans="1:4" x14ac:dyDescent="0.2">
      <c r="A242" t="str">
        <f>IF(COUNTBLANK(B242:F242)&lt;&gt;COLUMNS(B242:F242),241,"")</f>
        <v/>
      </c>
      <c r="D242" s="1" t="str">
        <f t="shared" si="3"/>
        <v/>
      </c>
    </row>
    <row r="243" spans="1:4" x14ac:dyDescent="0.2">
      <c r="A243" t="str">
        <f>IF(COUNTBLANK(B243:F243)&lt;&gt;COLUMNS(B243:F243),242,"")</f>
        <v/>
      </c>
      <c r="D243" s="1" t="str">
        <f t="shared" si="3"/>
        <v/>
      </c>
    </row>
    <row r="244" spans="1:4" x14ac:dyDescent="0.2">
      <c r="A244" t="str">
        <f>IF(COUNTBLANK(B244:F244)&lt;&gt;COLUMNS(B244:F244),243,"")</f>
        <v/>
      </c>
      <c r="D244" s="1" t="str">
        <f t="shared" si="3"/>
        <v/>
      </c>
    </row>
    <row r="245" spans="1:4" x14ac:dyDescent="0.2">
      <c r="A245" t="str">
        <f>IF(COUNTBLANK(B245:F245)&lt;&gt;COLUMNS(B245:F245),244,"")</f>
        <v/>
      </c>
      <c r="D245" s="1" t="str">
        <f t="shared" si="3"/>
        <v/>
      </c>
    </row>
    <row r="246" spans="1:4" x14ac:dyDescent="0.2">
      <c r="A246" t="str">
        <f>IF(COUNTBLANK(B246:F246)&lt;&gt;COLUMNS(B246:F246),245,"")</f>
        <v/>
      </c>
      <c r="D246" s="1" t="str">
        <f t="shared" si="3"/>
        <v/>
      </c>
    </row>
    <row r="247" spans="1:4" x14ac:dyDescent="0.2">
      <c r="A247" t="str">
        <f>IF(COUNTBLANK(B247:F247)&lt;&gt;COLUMNS(B247:F247),246,"")</f>
        <v/>
      </c>
      <c r="D247" s="1" t="str">
        <f t="shared" si="3"/>
        <v/>
      </c>
    </row>
    <row r="248" spans="1:4" x14ac:dyDescent="0.2">
      <c r="A248" t="str">
        <f>IF(COUNTBLANK(B248:F248)&lt;&gt;COLUMNS(B248:F248),247,"")</f>
        <v/>
      </c>
      <c r="D248" s="1" t="str">
        <f t="shared" si="3"/>
        <v/>
      </c>
    </row>
    <row r="249" spans="1:4" x14ac:dyDescent="0.2">
      <c r="A249" t="str">
        <f>IF(COUNTBLANK(B249:F249)&lt;&gt;COLUMNS(B249:F249),248,"")</f>
        <v/>
      </c>
      <c r="D249" s="1" t="str">
        <f t="shared" si="3"/>
        <v/>
      </c>
    </row>
    <row r="250" spans="1:4" x14ac:dyDescent="0.2">
      <c r="A250" t="str">
        <f>IF(COUNTBLANK(B250:F250)&lt;&gt;COLUMNS(B250:F250),249,"")</f>
        <v/>
      </c>
      <c r="D250" s="1" t="str">
        <f t="shared" si="3"/>
        <v/>
      </c>
    </row>
    <row r="251" spans="1:4" x14ac:dyDescent="0.2">
      <c r="A251" t="str">
        <f>IF(COUNTBLANK(B251:F251)&lt;&gt;COLUMNS(B251:F251),250,"")</f>
        <v/>
      </c>
      <c r="D251" s="1" t="str">
        <f t="shared" si="3"/>
        <v/>
      </c>
    </row>
    <row r="252" spans="1:4" x14ac:dyDescent="0.2">
      <c r="A252" t="str">
        <f>IF(COUNTBLANK(B252:F252)&lt;&gt;COLUMNS(B252:F252),251,"")</f>
        <v/>
      </c>
      <c r="D252" s="1" t="str">
        <f t="shared" si="3"/>
        <v/>
      </c>
    </row>
    <row r="253" spans="1:4" x14ac:dyDescent="0.2">
      <c r="A253" t="str">
        <f>IF(COUNTBLANK(B253:F253)&lt;&gt;COLUMNS(B253:F253),252,"")</f>
        <v/>
      </c>
      <c r="D253" s="1" t="str">
        <f t="shared" si="3"/>
        <v/>
      </c>
    </row>
    <row r="254" spans="1:4" x14ac:dyDescent="0.2">
      <c r="A254" t="str">
        <f>IF(COUNTBLANK(B254:F254)&lt;&gt;COLUMNS(B254:F254),253,"")</f>
        <v/>
      </c>
      <c r="D254" s="1" t="str">
        <f t="shared" si="3"/>
        <v/>
      </c>
    </row>
    <row r="255" spans="1:4" x14ac:dyDescent="0.2">
      <c r="A255" t="str">
        <f>IF(COUNTBLANK(B255:F255)&lt;&gt;COLUMNS(B255:F255),254,"")</f>
        <v/>
      </c>
      <c r="D255" s="1" t="str">
        <f t="shared" si="3"/>
        <v/>
      </c>
    </row>
    <row r="256" spans="1:4" x14ac:dyDescent="0.2">
      <c r="A256" t="str">
        <f>IF(COUNTBLANK(B256:F256)&lt;&gt;COLUMNS(B256:F256),255,"")</f>
        <v/>
      </c>
      <c r="D256" s="1" t="str">
        <f t="shared" si="3"/>
        <v/>
      </c>
    </row>
    <row r="257" spans="1:4" x14ac:dyDescent="0.2">
      <c r="A257" t="str">
        <f>IF(COUNTBLANK(B257:F257)&lt;&gt;COLUMNS(B257:F257),256,"")</f>
        <v/>
      </c>
      <c r="D257" s="1" t="str">
        <f t="shared" si="3"/>
        <v/>
      </c>
    </row>
    <row r="258" spans="1:4" x14ac:dyDescent="0.2">
      <c r="A258" t="str">
        <f>IF(COUNTBLANK(B258:F258)&lt;&gt;COLUMNS(B258:F258),257,"")</f>
        <v/>
      </c>
      <c r="D258" s="1" t="str">
        <f t="shared" ref="D258:D321" si="4">IF(B258="", "", "f")</f>
        <v/>
      </c>
    </row>
    <row r="259" spans="1:4" x14ac:dyDescent="0.2">
      <c r="A259" t="str">
        <f>IF(COUNTBLANK(B259:F259)&lt;&gt;COLUMNS(B259:F259),258,"")</f>
        <v/>
      </c>
      <c r="D259" s="1" t="str">
        <f t="shared" si="4"/>
        <v/>
      </c>
    </row>
    <row r="260" spans="1:4" x14ac:dyDescent="0.2">
      <c r="A260" t="str">
        <f>IF(COUNTBLANK(B260:F260)&lt;&gt;COLUMNS(B260:F260),259,"")</f>
        <v/>
      </c>
      <c r="D260" s="1" t="str">
        <f t="shared" si="4"/>
        <v/>
      </c>
    </row>
    <row r="261" spans="1:4" x14ac:dyDescent="0.2">
      <c r="A261" t="str">
        <f>IF(COUNTBLANK(B261:F261)&lt;&gt;COLUMNS(B261:F261),260,"")</f>
        <v/>
      </c>
      <c r="D261" s="1" t="str">
        <f t="shared" si="4"/>
        <v/>
      </c>
    </row>
    <row r="262" spans="1:4" x14ac:dyDescent="0.2">
      <c r="A262" t="str">
        <f>IF(COUNTBLANK(B262:F262)&lt;&gt;COLUMNS(B262:F262),261,"")</f>
        <v/>
      </c>
      <c r="D262" s="1" t="str">
        <f t="shared" si="4"/>
        <v/>
      </c>
    </row>
    <row r="263" spans="1:4" x14ac:dyDescent="0.2">
      <c r="A263" t="str">
        <f>IF(COUNTBLANK(B263:F263)&lt;&gt;COLUMNS(B263:F263),262,"")</f>
        <v/>
      </c>
      <c r="D263" s="1" t="str">
        <f t="shared" si="4"/>
        <v/>
      </c>
    </row>
    <row r="264" spans="1:4" x14ac:dyDescent="0.2">
      <c r="A264" t="str">
        <f>IF(COUNTBLANK(B264:F264)&lt;&gt;COLUMNS(B264:F264),263,"")</f>
        <v/>
      </c>
      <c r="D264" s="1" t="str">
        <f t="shared" si="4"/>
        <v/>
      </c>
    </row>
    <row r="265" spans="1:4" x14ac:dyDescent="0.2">
      <c r="A265" t="str">
        <f>IF(COUNTBLANK(B265:F265)&lt;&gt;COLUMNS(B265:F265),264,"")</f>
        <v/>
      </c>
      <c r="D265" s="1" t="str">
        <f t="shared" si="4"/>
        <v/>
      </c>
    </row>
    <row r="266" spans="1:4" x14ac:dyDescent="0.2">
      <c r="A266" t="str">
        <f>IF(COUNTBLANK(B266:F266)&lt;&gt;COLUMNS(B266:F266),265,"")</f>
        <v/>
      </c>
      <c r="D266" s="1" t="str">
        <f t="shared" si="4"/>
        <v/>
      </c>
    </row>
    <row r="267" spans="1:4" x14ac:dyDescent="0.2">
      <c r="A267" t="str">
        <f>IF(COUNTBLANK(B267:F267)&lt;&gt;COLUMNS(B267:F267),266,"")</f>
        <v/>
      </c>
      <c r="D267" s="1" t="str">
        <f t="shared" si="4"/>
        <v/>
      </c>
    </row>
    <row r="268" spans="1:4" x14ac:dyDescent="0.2">
      <c r="A268" t="str">
        <f>IF(COUNTBLANK(B268:F268)&lt;&gt;COLUMNS(B268:F268),267,"")</f>
        <v/>
      </c>
      <c r="D268" s="1" t="str">
        <f t="shared" si="4"/>
        <v/>
      </c>
    </row>
    <row r="269" spans="1:4" x14ac:dyDescent="0.2">
      <c r="A269" t="str">
        <f>IF(COUNTBLANK(B269:F269)&lt;&gt;COLUMNS(B269:F269),268,"")</f>
        <v/>
      </c>
      <c r="D269" s="1" t="str">
        <f t="shared" si="4"/>
        <v/>
      </c>
    </row>
    <row r="270" spans="1:4" x14ac:dyDescent="0.2">
      <c r="A270" t="str">
        <f>IF(COUNTBLANK(B270:F270)&lt;&gt;COLUMNS(B270:F270),269,"")</f>
        <v/>
      </c>
      <c r="D270" s="1" t="str">
        <f t="shared" si="4"/>
        <v/>
      </c>
    </row>
    <row r="271" spans="1:4" x14ac:dyDescent="0.2">
      <c r="A271" t="str">
        <f>IF(COUNTBLANK(B271:F271)&lt;&gt;COLUMNS(B271:F271),270,"")</f>
        <v/>
      </c>
      <c r="D271" s="1" t="str">
        <f t="shared" si="4"/>
        <v/>
      </c>
    </row>
    <row r="272" spans="1:4" x14ac:dyDescent="0.2">
      <c r="A272" t="str">
        <f>IF(COUNTBLANK(B272:F272)&lt;&gt;COLUMNS(B272:F272),271,"")</f>
        <v/>
      </c>
      <c r="D272" s="1" t="str">
        <f t="shared" si="4"/>
        <v/>
      </c>
    </row>
    <row r="273" spans="1:4" x14ac:dyDescent="0.2">
      <c r="A273" t="str">
        <f>IF(COUNTBLANK(B273:F273)&lt;&gt;COLUMNS(B273:F273),272,"")</f>
        <v/>
      </c>
      <c r="D273" s="1" t="str">
        <f t="shared" si="4"/>
        <v/>
      </c>
    </row>
    <row r="274" spans="1:4" x14ac:dyDescent="0.2">
      <c r="A274" t="str">
        <f>IF(COUNTBLANK(B274:F274)&lt;&gt;COLUMNS(B274:F274),273,"")</f>
        <v/>
      </c>
      <c r="D274" s="1" t="str">
        <f t="shared" si="4"/>
        <v/>
      </c>
    </row>
    <row r="275" spans="1:4" x14ac:dyDescent="0.2">
      <c r="A275" t="str">
        <f>IF(COUNTBLANK(B275:F275)&lt;&gt;COLUMNS(B275:F275),274,"")</f>
        <v/>
      </c>
      <c r="D275" s="1" t="str">
        <f t="shared" si="4"/>
        <v/>
      </c>
    </row>
    <row r="276" spans="1:4" x14ac:dyDescent="0.2">
      <c r="A276" t="str">
        <f>IF(COUNTBLANK(B276:F276)&lt;&gt;COLUMNS(B276:F276),275,"")</f>
        <v/>
      </c>
      <c r="D276" s="1" t="str">
        <f t="shared" si="4"/>
        <v/>
      </c>
    </row>
    <row r="277" spans="1:4" x14ac:dyDescent="0.2">
      <c r="A277" t="str">
        <f>IF(COUNTBLANK(B277:F277)&lt;&gt;COLUMNS(B277:F277),276,"")</f>
        <v/>
      </c>
      <c r="D277" s="1" t="str">
        <f t="shared" si="4"/>
        <v/>
      </c>
    </row>
    <row r="278" spans="1:4" x14ac:dyDescent="0.2">
      <c r="A278" t="str">
        <f>IF(COUNTBLANK(B278:F278)&lt;&gt;COLUMNS(B278:F278),277,"")</f>
        <v/>
      </c>
      <c r="D278" s="1" t="str">
        <f t="shared" si="4"/>
        <v/>
      </c>
    </row>
    <row r="279" spans="1:4" x14ac:dyDescent="0.2">
      <c r="A279" t="str">
        <f>IF(COUNTBLANK(B279:F279)&lt;&gt;COLUMNS(B279:F279),278,"")</f>
        <v/>
      </c>
      <c r="D279" s="1" t="str">
        <f t="shared" si="4"/>
        <v/>
      </c>
    </row>
    <row r="280" spans="1:4" x14ac:dyDescent="0.2">
      <c r="A280" t="str">
        <f>IF(COUNTBLANK(B280:F280)&lt;&gt;COLUMNS(B280:F280),279,"")</f>
        <v/>
      </c>
      <c r="D280" s="1" t="str">
        <f t="shared" si="4"/>
        <v/>
      </c>
    </row>
    <row r="281" spans="1:4" x14ac:dyDescent="0.2">
      <c r="A281" t="str">
        <f>IF(COUNTBLANK(B281:F281)&lt;&gt;COLUMNS(B281:F281),280,"")</f>
        <v/>
      </c>
      <c r="D281" s="1" t="str">
        <f t="shared" si="4"/>
        <v/>
      </c>
    </row>
    <row r="282" spans="1:4" x14ac:dyDescent="0.2">
      <c r="A282" t="str">
        <f>IF(COUNTBLANK(B282:F282)&lt;&gt;COLUMNS(B282:F282),281,"")</f>
        <v/>
      </c>
      <c r="D282" s="1" t="str">
        <f t="shared" si="4"/>
        <v/>
      </c>
    </row>
    <row r="283" spans="1:4" x14ac:dyDescent="0.2">
      <c r="A283" t="str">
        <f>IF(COUNTBLANK(B283:F283)&lt;&gt;COLUMNS(B283:F283),282,"")</f>
        <v/>
      </c>
      <c r="D283" s="1" t="str">
        <f t="shared" si="4"/>
        <v/>
      </c>
    </row>
    <row r="284" spans="1:4" x14ac:dyDescent="0.2">
      <c r="A284" t="str">
        <f>IF(COUNTBLANK(B284:F284)&lt;&gt;COLUMNS(B284:F284),283,"")</f>
        <v/>
      </c>
      <c r="D284" s="1" t="str">
        <f t="shared" si="4"/>
        <v/>
      </c>
    </row>
    <row r="285" spans="1:4" x14ac:dyDescent="0.2">
      <c r="A285" t="str">
        <f>IF(COUNTBLANK(B285:F285)&lt;&gt;COLUMNS(B285:F285),284,"")</f>
        <v/>
      </c>
      <c r="D285" s="1" t="str">
        <f t="shared" si="4"/>
        <v/>
      </c>
    </row>
    <row r="286" spans="1:4" x14ac:dyDescent="0.2">
      <c r="A286" t="str">
        <f>IF(COUNTBLANK(B286:F286)&lt;&gt;COLUMNS(B286:F286),285,"")</f>
        <v/>
      </c>
      <c r="D286" s="1" t="str">
        <f t="shared" si="4"/>
        <v/>
      </c>
    </row>
    <row r="287" spans="1:4" x14ac:dyDescent="0.2">
      <c r="A287" t="str">
        <f>IF(COUNTBLANK(B287:F287)&lt;&gt;COLUMNS(B287:F287),286,"")</f>
        <v/>
      </c>
      <c r="D287" s="1" t="str">
        <f t="shared" si="4"/>
        <v/>
      </c>
    </row>
    <row r="288" spans="1:4" x14ac:dyDescent="0.2">
      <c r="A288" t="str">
        <f>IF(COUNTBLANK(B288:F288)&lt;&gt;COLUMNS(B288:F288),287,"")</f>
        <v/>
      </c>
      <c r="D288" s="1" t="str">
        <f t="shared" si="4"/>
        <v/>
      </c>
    </row>
    <row r="289" spans="1:4" x14ac:dyDescent="0.2">
      <c r="A289" t="str">
        <f>IF(COUNTBLANK(B289:F289)&lt;&gt;COLUMNS(B289:F289),288,"")</f>
        <v/>
      </c>
      <c r="D289" s="1" t="str">
        <f t="shared" si="4"/>
        <v/>
      </c>
    </row>
    <row r="290" spans="1:4" x14ac:dyDescent="0.2">
      <c r="A290" t="str">
        <f>IF(COUNTBLANK(B290:F290)&lt;&gt;COLUMNS(B290:F290),289,"")</f>
        <v/>
      </c>
      <c r="D290" s="1" t="str">
        <f t="shared" si="4"/>
        <v/>
      </c>
    </row>
    <row r="291" spans="1:4" x14ac:dyDescent="0.2">
      <c r="A291" t="str">
        <f>IF(COUNTBLANK(B291:F291)&lt;&gt;COLUMNS(B291:F291),290,"")</f>
        <v/>
      </c>
      <c r="D291" s="1" t="str">
        <f t="shared" si="4"/>
        <v/>
      </c>
    </row>
    <row r="292" spans="1:4" x14ac:dyDescent="0.2">
      <c r="A292" t="str">
        <f>IF(COUNTBLANK(B292:F292)&lt;&gt;COLUMNS(B292:F292),291,"")</f>
        <v/>
      </c>
      <c r="D292" s="1" t="str">
        <f t="shared" si="4"/>
        <v/>
      </c>
    </row>
    <row r="293" spans="1:4" x14ac:dyDescent="0.2">
      <c r="A293" t="str">
        <f>IF(COUNTBLANK(B293:F293)&lt;&gt;COLUMNS(B293:F293),292,"")</f>
        <v/>
      </c>
      <c r="D293" s="1" t="str">
        <f t="shared" si="4"/>
        <v/>
      </c>
    </row>
    <row r="294" spans="1:4" x14ac:dyDescent="0.2">
      <c r="A294" t="str">
        <f>IF(COUNTBLANK(B294:F294)&lt;&gt;COLUMNS(B294:F294),293,"")</f>
        <v/>
      </c>
      <c r="D294" s="1" t="str">
        <f t="shared" si="4"/>
        <v/>
      </c>
    </row>
    <row r="295" spans="1:4" x14ac:dyDescent="0.2">
      <c r="A295" t="str">
        <f>IF(COUNTBLANK(B295:F295)&lt;&gt;COLUMNS(B295:F295),294,"")</f>
        <v/>
      </c>
      <c r="D295" s="1" t="str">
        <f t="shared" si="4"/>
        <v/>
      </c>
    </row>
    <row r="296" spans="1:4" x14ac:dyDescent="0.2">
      <c r="A296" t="str">
        <f>IF(COUNTBLANK(B296:F296)&lt;&gt;COLUMNS(B296:F296),295,"")</f>
        <v/>
      </c>
      <c r="D296" s="1" t="str">
        <f t="shared" si="4"/>
        <v/>
      </c>
    </row>
    <row r="297" spans="1:4" x14ac:dyDescent="0.2">
      <c r="A297" t="str">
        <f>IF(COUNTBLANK(B297:F297)&lt;&gt;COLUMNS(B297:F297),296,"")</f>
        <v/>
      </c>
      <c r="D297" s="1" t="str">
        <f t="shared" si="4"/>
        <v/>
      </c>
    </row>
    <row r="298" spans="1:4" x14ac:dyDescent="0.2">
      <c r="A298" t="str">
        <f>IF(COUNTBLANK(B298:F298)&lt;&gt;COLUMNS(B298:F298),297,"")</f>
        <v/>
      </c>
      <c r="D298" s="1" t="str">
        <f t="shared" si="4"/>
        <v/>
      </c>
    </row>
    <row r="299" spans="1:4" x14ac:dyDescent="0.2">
      <c r="A299" t="str">
        <f>IF(COUNTBLANK(B299:F299)&lt;&gt;COLUMNS(B299:F299),298,"")</f>
        <v/>
      </c>
      <c r="D299" s="1" t="str">
        <f t="shared" si="4"/>
        <v/>
      </c>
    </row>
    <row r="300" spans="1:4" x14ac:dyDescent="0.2">
      <c r="A300" t="str">
        <f>IF(COUNTBLANK(B300:F300)&lt;&gt;COLUMNS(B300:F300),299,"")</f>
        <v/>
      </c>
      <c r="D300" s="1" t="str">
        <f t="shared" si="4"/>
        <v/>
      </c>
    </row>
    <row r="301" spans="1:4" x14ac:dyDescent="0.2">
      <c r="A301" t="str">
        <f>IF(COUNTBLANK(B301:F301)&lt;&gt;COLUMNS(B301:F301),300,"")</f>
        <v/>
      </c>
      <c r="D301" s="1" t="str">
        <f t="shared" si="4"/>
        <v/>
      </c>
    </row>
    <row r="302" spans="1:4" x14ac:dyDescent="0.2">
      <c r="A302" t="str">
        <f>IF(COUNTBLANK(B302:F302)&lt;&gt;COLUMNS(B302:F302),301,"")</f>
        <v/>
      </c>
      <c r="D302" s="1" t="str">
        <f t="shared" si="4"/>
        <v/>
      </c>
    </row>
    <row r="303" spans="1:4" x14ac:dyDescent="0.2">
      <c r="A303" t="str">
        <f>IF(COUNTBLANK(B303:F303)&lt;&gt;COLUMNS(B303:F303),302,"")</f>
        <v/>
      </c>
      <c r="D303" s="1" t="str">
        <f t="shared" si="4"/>
        <v/>
      </c>
    </row>
    <row r="304" spans="1:4" x14ac:dyDescent="0.2">
      <c r="A304" t="str">
        <f>IF(COUNTBLANK(B304:F304)&lt;&gt;COLUMNS(B304:F304),303,"")</f>
        <v/>
      </c>
      <c r="D304" s="1" t="str">
        <f t="shared" si="4"/>
        <v/>
      </c>
    </row>
    <row r="305" spans="1:4" x14ac:dyDescent="0.2">
      <c r="A305" t="str">
        <f>IF(COUNTBLANK(B305:F305)&lt;&gt;COLUMNS(B305:F305),304,"")</f>
        <v/>
      </c>
      <c r="D305" s="1" t="str">
        <f t="shared" si="4"/>
        <v/>
      </c>
    </row>
    <row r="306" spans="1:4" x14ac:dyDescent="0.2">
      <c r="A306" t="str">
        <f>IF(COUNTBLANK(B306:F306)&lt;&gt;COLUMNS(B306:F306),305,"")</f>
        <v/>
      </c>
      <c r="D306" s="1" t="str">
        <f t="shared" si="4"/>
        <v/>
      </c>
    </row>
    <row r="307" spans="1:4" x14ac:dyDescent="0.2">
      <c r="A307" t="str">
        <f>IF(COUNTBLANK(B307:F307)&lt;&gt;COLUMNS(B307:F307),306,"")</f>
        <v/>
      </c>
      <c r="D307" s="1" t="str">
        <f t="shared" si="4"/>
        <v/>
      </c>
    </row>
    <row r="308" spans="1:4" x14ac:dyDescent="0.2">
      <c r="A308" t="str">
        <f>IF(COUNTBLANK(B308:F308)&lt;&gt;COLUMNS(B308:F308),307,"")</f>
        <v/>
      </c>
      <c r="D308" s="1" t="str">
        <f t="shared" si="4"/>
        <v/>
      </c>
    </row>
    <row r="309" spans="1:4" x14ac:dyDescent="0.2">
      <c r="A309" t="str">
        <f>IF(COUNTBLANK(B309:F309)&lt;&gt;COLUMNS(B309:F309),308,"")</f>
        <v/>
      </c>
      <c r="D309" s="1" t="str">
        <f t="shared" si="4"/>
        <v/>
      </c>
    </row>
    <row r="310" spans="1:4" x14ac:dyDescent="0.2">
      <c r="A310" t="str">
        <f>IF(COUNTBLANK(B310:F310)&lt;&gt;COLUMNS(B310:F310),309,"")</f>
        <v/>
      </c>
      <c r="D310" s="1" t="str">
        <f t="shared" si="4"/>
        <v/>
      </c>
    </row>
    <row r="311" spans="1:4" x14ac:dyDescent="0.2">
      <c r="A311" t="str">
        <f>IF(COUNTBLANK(B311:F311)&lt;&gt;COLUMNS(B311:F311),310,"")</f>
        <v/>
      </c>
      <c r="D311" s="1" t="str">
        <f t="shared" si="4"/>
        <v/>
      </c>
    </row>
    <row r="312" spans="1:4" x14ac:dyDescent="0.2">
      <c r="A312" t="str">
        <f>IF(COUNTBLANK(B312:F312)&lt;&gt;COLUMNS(B312:F312),311,"")</f>
        <v/>
      </c>
      <c r="D312" s="1" t="str">
        <f t="shared" si="4"/>
        <v/>
      </c>
    </row>
    <row r="313" spans="1:4" x14ac:dyDescent="0.2">
      <c r="A313" t="str">
        <f>IF(COUNTBLANK(B313:F313)&lt;&gt;COLUMNS(B313:F313),312,"")</f>
        <v/>
      </c>
      <c r="D313" s="1" t="str">
        <f t="shared" si="4"/>
        <v/>
      </c>
    </row>
    <row r="314" spans="1:4" x14ac:dyDescent="0.2">
      <c r="A314" t="str">
        <f>IF(COUNTBLANK(B314:F314)&lt;&gt;COLUMNS(B314:F314),313,"")</f>
        <v/>
      </c>
      <c r="D314" s="1" t="str">
        <f t="shared" si="4"/>
        <v/>
      </c>
    </row>
    <row r="315" spans="1:4" x14ac:dyDescent="0.2">
      <c r="A315" t="str">
        <f>IF(COUNTBLANK(B315:F315)&lt;&gt;COLUMNS(B315:F315),314,"")</f>
        <v/>
      </c>
      <c r="D315" s="1" t="str">
        <f t="shared" si="4"/>
        <v/>
      </c>
    </row>
    <row r="316" spans="1:4" x14ac:dyDescent="0.2">
      <c r="A316" t="str">
        <f>IF(COUNTBLANK(B316:F316)&lt;&gt;COLUMNS(B316:F316),315,"")</f>
        <v/>
      </c>
      <c r="D316" s="1" t="str">
        <f t="shared" si="4"/>
        <v/>
      </c>
    </row>
    <row r="317" spans="1:4" x14ac:dyDescent="0.2">
      <c r="A317" t="str">
        <f>IF(COUNTBLANK(B317:F317)&lt;&gt;COLUMNS(B317:F317),316,"")</f>
        <v/>
      </c>
      <c r="D317" s="1" t="str">
        <f t="shared" si="4"/>
        <v/>
      </c>
    </row>
    <row r="318" spans="1:4" x14ac:dyDescent="0.2">
      <c r="A318" t="str">
        <f>IF(COUNTBLANK(B318:F318)&lt;&gt;COLUMNS(B318:F318),317,"")</f>
        <v/>
      </c>
      <c r="D318" s="1" t="str">
        <f t="shared" si="4"/>
        <v/>
      </c>
    </row>
    <row r="319" spans="1:4" x14ac:dyDescent="0.2">
      <c r="A319" t="str">
        <f>IF(COUNTBLANK(B319:F319)&lt;&gt;COLUMNS(B319:F319),318,"")</f>
        <v/>
      </c>
      <c r="D319" s="1" t="str">
        <f t="shared" si="4"/>
        <v/>
      </c>
    </row>
    <row r="320" spans="1:4" x14ac:dyDescent="0.2">
      <c r="A320" t="str">
        <f>IF(COUNTBLANK(B320:F320)&lt;&gt;COLUMNS(B320:F320),319,"")</f>
        <v/>
      </c>
      <c r="D320" s="1" t="str">
        <f t="shared" si="4"/>
        <v/>
      </c>
    </row>
    <row r="321" spans="1:4" x14ac:dyDescent="0.2">
      <c r="A321" t="str">
        <f>IF(COUNTBLANK(B321:F321)&lt;&gt;COLUMNS(B321:F321),320,"")</f>
        <v/>
      </c>
      <c r="D321" s="1" t="str">
        <f t="shared" si="4"/>
        <v/>
      </c>
    </row>
    <row r="322" spans="1:4" x14ac:dyDescent="0.2">
      <c r="A322" t="str">
        <f>IF(COUNTBLANK(B322:F322)&lt;&gt;COLUMNS(B322:F322),321,"")</f>
        <v/>
      </c>
      <c r="D322" s="1" t="str">
        <f t="shared" ref="D322:D385" si="5">IF(B322="", "", "f")</f>
        <v/>
      </c>
    </row>
    <row r="323" spans="1:4" x14ac:dyDescent="0.2">
      <c r="A323" t="str">
        <f>IF(COUNTBLANK(B323:F323)&lt;&gt;COLUMNS(B323:F323),322,"")</f>
        <v/>
      </c>
      <c r="D323" s="1" t="str">
        <f t="shared" si="5"/>
        <v/>
      </c>
    </row>
    <row r="324" spans="1:4" x14ac:dyDescent="0.2">
      <c r="A324" t="str">
        <f>IF(COUNTBLANK(B324:F324)&lt;&gt;COLUMNS(B324:F324),323,"")</f>
        <v/>
      </c>
      <c r="D324" s="1" t="str">
        <f t="shared" si="5"/>
        <v/>
      </c>
    </row>
    <row r="325" spans="1:4" x14ac:dyDescent="0.2">
      <c r="A325" t="str">
        <f>IF(COUNTBLANK(B325:F325)&lt;&gt;COLUMNS(B325:F325),324,"")</f>
        <v/>
      </c>
      <c r="D325" s="1" t="str">
        <f t="shared" si="5"/>
        <v/>
      </c>
    </row>
    <row r="326" spans="1:4" x14ac:dyDescent="0.2">
      <c r="A326" t="str">
        <f>IF(COUNTBLANK(B326:F326)&lt;&gt;COLUMNS(B326:F326),325,"")</f>
        <v/>
      </c>
      <c r="D326" s="1" t="str">
        <f t="shared" si="5"/>
        <v/>
      </c>
    </row>
    <row r="327" spans="1:4" x14ac:dyDescent="0.2">
      <c r="A327" t="str">
        <f>IF(COUNTBLANK(B327:F327)&lt;&gt;COLUMNS(B327:F327),326,"")</f>
        <v/>
      </c>
      <c r="D327" s="1" t="str">
        <f t="shared" si="5"/>
        <v/>
      </c>
    </row>
    <row r="328" spans="1:4" x14ac:dyDescent="0.2">
      <c r="A328" t="str">
        <f>IF(COUNTBLANK(B328:F328)&lt;&gt;COLUMNS(B328:F328),327,"")</f>
        <v/>
      </c>
      <c r="D328" s="1" t="str">
        <f t="shared" si="5"/>
        <v/>
      </c>
    </row>
    <row r="329" spans="1:4" x14ac:dyDescent="0.2">
      <c r="A329" t="str">
        <f>IF(COUNTBLANK(B329:F329)&lt;&gt;COLUMNS(B329:F329),328,"")</f>
        <v/>
      </c>
      <c r="D329" s="1" t="str">
        <f t="shared" si="5"/>
        <v/>
      </c>
    </row>
    <row r="330" spans="1:4" x14ac:dyDescent="0.2">
      <c r="A330" t="str">
        <f>IF(COUNTBLANK(B330:F330)&lt;&gt;COLUMNS(B330:F330),329,"")</f>
        <v/>
      </c>
      <c r="D330" s="1" t="str">
        <f t="shared" si="5"/>
        <v/>
      </c>
    </row>
    <row r="331" spans="1:4" x14ac:dyDescent="0.2">
      <c r="A331" t="str">
        <f>IF(COUNTBLANK(B331:F331)&lt;&gt;COLUMNS(B331:F331),330,"")</f>
        <v/>
      </c>
      <c r="D331" s="1" t="str">
        <f t="shared" si="5"/>
        <v/>
      </c>
    </row>
    <row r="332" spans="1:4" x14ac:dyDescent="0.2">
      <c r="A332" t="str">
        <f>IF(COUNTBLANK(B332:F332)&lt;&gt;COLUMNS(B332:F332),331,"")</f>
        <v/>
      </c>
      <c r="D332" s="1" t="str">
        <f t="shared" si="5"/>
        <v/>
      </c>
    </row>
    <row r="333" spans="1:4" x14ac:dyDescent="0.2">
      <c r="A333" t="str">
        <f>IF(COUNTBLANK(B333:F333)&lt;&gt;COLUMNS(B333:F333),332,"")</f>
        <v/>
      </c>
      <c r="D333" s="1" t="str">
        <f t="shared" si="5"/>
        <v/>
      </c>
    </row>
    <row r="334" spans="1:4" x14ac:dyDescent="0.2">
      <c r="A334" t="str">
        <f>IF(COUNTBLANK(B334:F334)&lt;&gt;COLUMNS(B334:F334),333,"")</f>
        <v/>
      </c>
      <c r="D334" s="1" t="str">
        <f t="shared" si="5"/>
        <v/>
      </c>
    </row>
    <row r="335" spans="1:4" x14ac:dyDescent="0.2">
      <c r="A335" t="str">
        <f>IF(COUNTBLANK(B335:F335)&lt;&gt;COLUMNS(B335:F335),334,"")</f>
        <v/>
      </c>
      <c r="D335" s="1" t="str">
        <f t="shared" si="5"/>
        <v/>
      </c>
    </row>
    <row r="336" spans="1:4" x14ac:dyDescent="0.2">
      <c r="A336" t="str">
        <f>IF(COUNTBLANK(B336:F336)&lt;&gt;COLUMNS(B336:F336),335,"")</f>
        <v/>
      </c>
      <c r="D336" s="1" t="str">
        <f t="shared" si="5"/>
        <v/>
      </c>
    </row>
    <row r="337" spans="1:4" x14ac:dyDescent="0.2">
      <c r="A337" t="str">
        <f>IF(COUNTBLANK(B337:F337)&lt;&gt;COLUMNS(B337:F337),336,"")</f>
        <v/>
      </c>
      <c r="D337" s="1" t="str">
        <f t="shared" si="5"/>
        <v/>
      </c>
    </row>
    <row r="338" spans="1:4" x14ac:dyDescent="0.2">
      <c r="A338" t="str">
        <f>IF(COUNTBLANK(B338:F338)&lt;&gt;COLUMNS(B338:F338),337,"")</f>
        <v/>
      </c>
      <c r="D338" s="1" t="str">
        <f t="shared" si="5"/>
        <v/>
      </c>
    </row>
    <row r="339" spans="1:4" x14ac:dyDescent="0.2">
      <c r="A339" t="str">
        <f>IF(COUNTBLANK(B339:F339)&lt;&gt;COLUMNS(B339:F339),338,"")</f>
        <v/>
      </c>
      <c r="D339" s="1" t="str">
        <f t="shared" si="5"/>
        <v/>
      </c>
    </row>
    <row r="340" spans="1:4" x14ac:dyDescent="0.2">
      <c r="A340" t="str">
        <f>IF(COUNTBLANK(B340:F340)&lt;&gt;COLUMNS(B340:F340),339,"")</f>
        <v/>
      </c>
      <c r="D340" s="1" t="str">
        <f t="shared" si="5"/>
        <v/>
      </c>
    </row>
    <row r="341" spans="1:4" x14ac:dyDescent="0.2">
      <c r="A341" t="str">
        <f>IF(COUNTBLANK(B341:F341)&lt;&gt;COLUMNS(B341:F341),340,"")</f>
        <v/>
      </c>
      <c r="D341" s="1" t="str">
        <f t="shared" si="5"/>
        <v/>
      </c>
    </row>
    <row r="342" spans="1:4" x14ac:dyDescent="0.2">
      <c r="A342" t="str">
        <f>IF(COUNTBLANK(B342:F342)&lt;&gt;COLUMNS(B342:F342),341,"")</f>
        <v/>
      </c>
      <c r="D342" s="1" t="str">
        <f t="shared" si="5"/>
        <v/>
      </c>
    </row>
    <row r="343" spans="1:4" x14ac:dyDescent="0.2">
      <c r="A343" t="str">
        <f>IF(COUNTBLANK(B343:F343)&lt;&gt;COLUMNS(B343:F343),342,"")</f>
        <v/>
      </c>
      <c r="D343" s="1" t="str">
        <f t="shared" si="5"/>
        <v/>
      </c>
    </row>
    <row r="344" spans="1:4" x14ac:dyDescent="0.2">
      <c r="A344" t="str">
        <f>IF(COUNTBLANK(B344:F344)&lt;&gt;COLUMNS(B344:F344),343,"")</f>
        <v/>
      </c>
      <c r="D344" s="1" t="str">
        <f t="shared" si="5"/>
        <v/>
      </c>
    </row>
    <row r="345" spans="1:4" x14ac:dyDescent="0.2">
      <c r="A345" t="str">
        <f>IF(COUNTBLANK(B345:F345)&lt;&gt;COLUMNS(B345:F345),344,"")</f>
        <v/>
      </c>
      <c r="D345" s="1" t="str">
        <f t="shared" si="5"/>
        <v/>
      </c>
    </row>
    <row r="346" spans="1:4" x14ac:dyDescent="0.2">
      <c r="A346" t="str">
        <f>IF(COUNTBLANK(B346:F346)&lt;&gt;COLUMNS(B346:F346),345,"")</f>
        <v/>
      </c>
      <c r="D346" s="1" t="str">
        <f t="shared" si="5"/>
        <v/>
      </c>
    </row>
    <row r="347" spans="1:4" x14ac:dyDescent="0.2">
      <c r="A347" t="str">
        <f>IF(COUNTBLANK(B347:F347)&lt;&gt;COLUMNS(B347:F347),346,"")</f>
        <v/>
      </c>
      <c r="D347" s="1" t="str">
        <f t="shared" si="5"/>
        <v/>
      </c>
    </row>
    <row r="348" spans="1:4" x14ac:dyDescent="0.2">
      <c r="A348" t="str">
        <f>IF(COUNTBLANK(B348:F348)&lt;&gt;COLUMNS(B348:F348),347,"")</f>
        <v/>
      </c>
      <c r="D348" s="1" t="str">
        <f t="shared" si="5"/>
        <v/>
      </c>
    </row>
    <row r="349" spans="1:4" x14ac:dyDescent="0.2">
      <c r="A349" t="str">
        <f>IF(COUNTBLANK(B349:F349)&lt;&gt;COLUMNS(B349:F349),348,"")</f>
        <v/>
      </c>
      <c r="D349" s="1" t="str">
        <f t="shared" si="5"/>
        <v/>
      </c>
    </row>
    <row r="350" spans="1:4" x14ac:dyDescent="0.2">
      <c r="A350" t="str">
        <f>IF(COUNTBLANK(B350:F350)&lt;&gt;COLUMNS(B350:F350),349,"")</f>
        <v/>
      </c>
      <c r="D350" s="1" t="str">
        <f t="shared" si="5"/>
        <v/>
      </c>
    </row>
    <row r="351" spans="1:4" x14ac:dyDescent="0.2">
      <c r="A351" t="str">
        <f>IF(COUNTBLANK(B351:F351)&lt;&gt;COLUMNS(B351:F351),350,"")</f>
        <v/>
      </c>
      <c r="D351" s="1" t="str">
        <f t="shared" si="5"/>
        <v/>
      </c>
    </row>
    <row r="352" spans="1:4" x14ac:dyDescent="0.2">
      <c r="A352" t="str">
        <f>IF(COUNTBLANK(B352:F352)&lt;&gt;COLUMNS(B352:F352),351,"")</f>
        <v/>
      </c>
      <c r="D352" s="1" t="str">
        <f t="shared" si="5"/>
        <v/>
      </c>
    </row>
    <row r="353" spans="1:4" x14ac:dyDescent="0.2">
      <c r="A353" t="str">
        <f>IF(COUNTBLANK(B353:F353)&lt;&gt;COLUMNS(B353:F353),352,"")</f>
        <v/>
      </c>
      <c r="D353" s="1" t="str">
        <f t="shared" si="5"/>
        <v/>
      </c>
    </row>
    <row r="354" spans="1:4" x14ac:dyDescent="0.2">
      <c r="A354" t="str">
        <f>IF(COUNTBLANK(B354:F354)&lt;&gt;COLUMNS(B354:F354),353,"")</f>
        <v/>
      </c>
      <c r="D354" s="1" t="str">
        <f t="shared" si="5"/>
        <v/>
      </c>
    </row>
    <row r="355" spans="1:4" x14ac:dyDescent="0.2">
      <c r="A355" t="str">
        <f>IF(COUNTBLANK(B355:F355)&lt;&gt;COLUMNS(B355:F355),354,"")</f>
        <v/>
      </c>
      <c r="D355" s="1" t="str">
        <f t="shared" si="5"/>
        <v/>
      </c>
    </row>
    <row r="356" spans="1:4" x14ac:dyDescent="0.2">
      <c r="A356" t="str">
        <f>IF(COUNTBLANK(B356:F356)&lt;&gt;COLUMNS(B356:F356),355,"")</f>
        <v/>
      </c>
      <c r="D356" s="1" t="str">
        <f t="shared" si="5"/>
        <v/>
      </c>
    </row>
    <row r="357" spans="1:4" x14ac:dyDescent="0.2">
      <c r="A357" t="str">
        <f>IF(COUNTBLANK(B357:F357)&lt;&gt;COLUMNS(B357:F357),356,"")</f>
        <v/>
      </c>
      <c r="D357" s="1" t="str">
        <f t="shared" si="5"/>
        <v/>
      </c>
    </row>
    <row r="358" spans="1:4" x14ac:dyDescent="0.2">
      <c r="A358" t="str">
        <f>IF(COUNTBLANK(B358:F358)&lt;&gt;COLUMNS(B358:F358),357,"")</f>
        <v/>
      </c>
      <c r="D358" s="1" t="str">
        <f t="shared" si="5"/>
        <v/>
      </c>
    </row>
    <row r="359" spans="1:4" x14ac:dyDescent="0.2">
      <c r="A359" t="str">
        <f>IF(COUNTBLANK(B359:F359)&lt;&gt;COLUMNS(B359:F359),358,"")</f>
        <v/>
      </c>
      <c r="D359" s="1" t="str">
        <f t="shared" si="5"/>
        <v/>
      </c>
    </row>
    <row r="360" spans="1:4" x14ac:dyDescent="0.2">
      <c r="A360" t="str">
        <f>IF(COUNTBLANK(B360:F360)&lt;&gt;COLUMNS(B360:F360),359,"")</f>
        <v/>
      </c>
      <c r="D360" s="1" t="str">
        <f t="shared" si="5"/>
        <v/>
      </c>
    </row>
    <row r="361" spans="1:4" x14ac:dyDescent="0.2">
      <c r="A361" t="str">
        <f>IF(COUNTBLANK(B361:F361)&lt;&gt;COLUMNS(B361:F361),360,"")</f>
        <v/>
      </c>
      <c r="D361" s="1" t="str">
        <f t="shared" si="5"/>
        <v/>
      </c>
    </row>
    <row r="362" spans="1:4" x14ac:dyDescent="0.2">
      <c r="A362" t="str">
        <f>IF(COUNTBLANK(B362:F362)&lt;&gt;COLUMNS(B362:F362),361,"")</f>
        <v/>
      </c>
      <c r="D362" s="1" t="str">
        <f t="shared" si="5"/>
        <v/>
      </c>
    </row>
    <row r="363" spans="1:4" x14ac:dyDescent="0.2">
      <c r="A363" t="str">
        <f>IF(COUNTBLANK(B363:F363)&lt;&gt;COLUMNS(B363:F363),362,"")</f>
        <v/>
      </c>
      <c r="D363" s="1" t="str">
        <f t="shared" si="5"/>
        <v/>
      </c>
    </row>
    <row r="364" spans="1:4" x14ac:dyDescent="0.2">
      <c r="A364" t="str">
        <f>IF(COUNTBLANK(B364:F364)&lt;&gt;COLUMNS(B364:F364),363,"")</f>
        <v/>
      </c>
      <c r="D364" s="1" t="str">
        <f t="shared" si="5"/>
        <v/>
      </c>
    </row>
    <row r="365" spans="1:4" x14ac:dyDescent="0.2">
      <c r="A365" t="str">
        <f>IF(COUNTBLANK(B365:F365)&lt;&gt;COLUMNS(B365:F365),364,"")</f>
        <v/>
      </c>
      <c r="D365" s="1" t="str">
        <f t="shared" si="5"/>
        <v/>
      </c>
    </row>
    <row r="366" spans="1:4" x14ac:dyDescent="0.2">
      <c r="A366" t="str">
        <f>IF(COUNTBLANK(B366:F366)&lt;&gt;COLUMNS(B366:F366),365,"")</f>
        <v/>
      </c>
      <c r="D366" s="1" t="str">
        <f t="shared" si="5"/>
        <v/>
      </c>
    </row>
    <row r="367" spans="1:4" x14ac:dyDescent="0.2">
      <c r="A367" t="str">
        <f>IF(COUNTBLANK(B367:F367)&lt;&gt;COLUMNS(B367:F367),366,"")</f>
        <v/>
      </c>
      <c r="D367" s="1" t="str">
        <f t="shared" si="5"/>
        <v/>
      </c>
    </row>
    <row r="368" spans="1:4" x14ac:dyDescent="0.2">
      <c r="A368" t="str">
        <f>IF(COUNTBLANK(B368:F368)&lt;&gt;COLUMNS(B368:F368),367,"")</f>
        <v/>
      </c>
      <c r="D368" s="1" t="str">
        <f t="shared" si="5"/>
        <v/>
      </c>
    </row>
    <row r="369" spans="1:4" x14ac:dyDescent="0.2">
      <c r="A369" t="str">
        <f>IF(COUNTBLANK(B369:F369)&lt;&gt;COLUMNS(B369:F369),368,"")</f>
        <v/>
      </c>
      <c r="D369" s="1" t="str">
        <f t="shared" si="5"/>
        <v/>
      </c>
    </row>
    <row r="370" spans="1:4" x14ac:dyDescent="0.2">
      <c r="A370" t="str">
        <f>IF(COUNTBLANK(B370:F370)&lt;&gt;COLUMNS(B370:F370),369,"")</f>
        <v/>
      </c>
      <c r="D370" s="1" t="str">
        <f t="shared" si="5"/>
        <v/>
      </c>
    </row>
    <row r="371" spans="1:4" x14ac:dyDescent="0.2">
      <c r="A371" t="str">
        <f>IF(COUNTBLANK(B371:F371)&lt;&gt;COLUMNS(B371:F371),370,"")</f>
        <v/>
      </c>
      <c r="D371" s="1" t="str">
        <f t="shared" si="5"/>
        <v/>
      </c>
    </row>
    <row r="372" spans="1:4" x14ac:dyDescent="0.2">
      <c r="A372" t="str">
        <f>IF(COUNTBLANK(B372:F372)&lt;&gt;COLUMNS(B372:F372),371,"")</f>
        <v/>
      </c>
      <c r="D372" s="1" t="str">
        <f t="shared" si="5"/>
        <v/>
      </c>
    </row>
    <row r="373" spans="1:4" x14ac:dyDescent="0.2">
      <c r="A373" t="str">
        <f>IF(COUNTBLANK(B373:F373)&lt;&gt;COLUMNS(B373:F373),372,"")</f>
        <v/>
      </c>
      <c r="D373" s="1" t="str">
        <f t="shared" si="5"/>
        <v/>
      </c>
    </row>
    <row r="374" spans="1:4" x14ac:dyDescent="0.2">
      <c r="A374" t="str">
        <f>IF(COUNTBLANK(B374:F374)&lt;&gt;COLUMNS(B374:F374),373,"")</f>
        <v/>
      </c>
      <c r="D374" s="1" t="str">
        <f t="shared" si="5"/>
        <v/>
      </c>
    </row>
    <row r="375" spans="1:4" x14ac:dyDescent="0.2">
      <c r="A375" t="str">
        <f>IF(COUNTBLANK(B375:F375)&lt;&gt;COLUMNS(B375:F375),374,"")</f>
        <v/>
      </c>
      <c r="D375" s="1" t="str">
        <f t="shared" si="5"/>
        <v/>
      </c>
    </row>
    <row r="376" spans="1:4" x14ac:dyDescent="0.2">
      <c r="A376" t="str">
        <f>IF(COUNTBLANK(B376:F376)&lt;&gt;COLUMNS(B376:F376),375,"")</f>
        <v/>
      </c>
      <c r="D376" s="1" t="str">
        <f t="shared" si="5"/>
        <v/>
      </c>
    </row>
    <row r="377" spans="1:4" x14ac:dyDescent="0.2">
      <c r="A377" t="str">
        <f>IF(COUNTBLANK(B377:F377)&lt;&gt;COLUMNS(B377:F377),376,"")</f>
        <v/>
      </c>
      <c r="D377" s="1" t="str">
        <f t="shared" si="5"/>
        <v/>
      </c>
    </row>
    <row r="378" spans="1:4" x14ac:dyDescent="0.2">
      <c r="A378" t="str">
        <f>IF(COUNTBLANK(B378:F378)&lt;&gt;COLUMNS(B378:F378),377,"")</f>
        <v/>
      </c>
      <c r="D378" s="1" t="str">
        <f t="shared" si="5"/>
        <v/>
      </c>
    </row>
    <row r="379" spans="1:4" x14ac:dyDescent="0.2">
      <c r="A379" t="str">
        <f>IF(COUNTBLANK(B379:F379)&lt;&gt;COLUMNS(B379:F379),378,"")</f>
        <v/>
      </c>
      <c r="D379" s="1" t="str">
        <f t="shared" si="5"/>
        <v/>
      </c>
    </row>
    <row r="380" spans="1:4" x14ac:dyDescent="0.2">
      <c r="A380" t="str">
        <f>IF(COUNTBLANK(B380:F380)&lt;&gt;COLUMNS(B380:F380),379,"")</f>
        <v/>
      </c>
      <c r="D380" s="1" t="str">
        <f t="shared" si="5"/>
        <v/>
      </c>
    </row>
    <row r="381" spans="1:4" x14ac:dyDescent="0.2">
      <c r="A381" t="str">
        <f>IF(COUNTBLANK(B381:F381)&lt;&gt;COLUMNS(B381:F381),380,"")</f>
        <v/>
      </c>
      <c r="D381" s="1" t="str">
        <f t="shared" si="5"/>
        <v/>
      </c>
    </row>
    <row r="382" spans="1:4" x14ac:dyDescent="0.2">
      <c r="A382" t="str">
        <f>IF(COUNTBLANK(B382:F382)&lt;&gt;COLUMNS(B382:F382),381,"")</f>
        <v/>
      </c>
      <c r="D382" s="1" t="str">
        <f t="shared" si="5"/>
        <v/>
      </c>
    </row>
    <row r="383" spans="1:4" x14ac:dyDescent="0.2">
      <c r="A383" t="str">
        <f>IF(COUNTBLANK(B383:F383)&lt;&gt;COLUMNS(B383:F383),382,"")</f>
        <v/>
      </c>
      <c r="D383" s="1" t="str">
        <f t="shared" si="5"/>
        <v/>
      </c>
    </row>
    <row r="384" spans="1:4" x14ac:dyDescent="0.2">
      <c r="A384" t="str">
        <f>IF(COUNTBLANK(B384:F384)&lt;&gt;COLUMNS(B384:F384),383,"")</f>
        <v/>
      </c>
      <c r="D384" s="1" t="str">
        <f t="shared" si="5"/>
        <v/>
      </c>
    </row>
    <row r="385" spans="1:4" x14ac:dyDescent="0.2">
      <c r="A385" t="str">
        <f>IF(COUNTBLANK(B385:F385)&lt;&gt;COLUMNS(B385:F385),384,"")</f>
        <v/>
      </c>
      <c r="D385" s="1" t="str">
        <f t="shared" si="5"/>
        <v/>
      </c>
    </row>
    <row r="386" spans="1:4" x14ac:dyDescent="0.2">
      <c r="A386" t="str">
        <f>IF(COUNTBLANK(B386:F386)&lt;&gt;COLUMNS(B386:F386),385,"")</f>
        <v/>
      </c>
      <c r="D386" s="1" t="str">
        <f t="shared" ref="D386:D449" si="6">IF(B386="", "", "f")</f>
        <v/>
      </c>
    </row>
    <row r="387" spans="1:4" x14ac:dyDescent="0.2">
      <c r="A387" t="str">
        <f>IF(COUNTBLANK(B387:F387)&lt;&gt;COLUMNS(B387:F387),386,"")</f>
        <v/>
      </c>
      <c r="D387" s="1" t="str">
        <f t="shared" si="6"/>
        <v/>
      </c>
    </row>
    <row r="388" spans="1:4" x14ac:dyDescent="0.2">
      <c r="A388" t="str">
        <f>IF(COUNTBLANK(B388:F388)&lt;&gt;COLUMNS(B388:F388),387,"")</f>
        <v/>
      </c>
      <c r="D388" s="1" t="str">
        <f t="shared" si="6"/>
        <v/>
      </c>
    </row>
    <row r="389" spans="1:4" x14ac:dyDescent="0.2">
      <c r="A389" t="str">
        <f>IF(COUNTBLANK(B389:F389)&lt;&gt;COLUMNS(B389:F389),388,"")</f>
        <v/>
      </c>
      <c r="D389" s="1" t="str">
        <f t="shared" si="6"/>
        <v/>
      </c>
    </row>
    <row r="390" spans="1:4" x14ac:dyDescent="0.2">
      <c r="A390" t="str">
        <f>IF(COUNTBLANK(B390:F390)&lt;&gt;COLUMNS(B390:F390),389,"")</f>
        <v/>
      </c>
      <c r="D390" s="1" t="str">
        <f t="shared" si="6"/>
        <v/>
      </c>
    </row>
    <row r="391" spans="1:4" x14ac:dyDescent="0.2">
      <c r="A391" t="str">
        <f>IF(COUNTBLANK(B391:F391)&lt;&gt;COLUMNS(B391:F391),390,"")</f>
        <v/>
      </c>
      <c r="D391" s="1" t="str">
        <f t="shared" si="6"/>
        <v/>
      </c>
    </row>
    <row r="392" spans="1:4" x14ac:dyDescent="0.2">
      <c r="A392" t="str">
        <f>IF(COUNTBLANK(B392:F392)&lt;&gt;COLUMNS(B392:F392),391,"")</f>
        <v/>
      </c>
      <c r="D392" s="1" t="str">
        <f t="shared" si="6"/>
        <v/>
      </c>
    </row>
    <row r="393" spans="1:4" x14ac:dyDescent="0.2">
      <c r="A393" t="str">
        <f>IF(COUNTBLANK(B393:F393)&lt;&gt;COLUMNS(B393:F393),392,"")</f>
        <v/>
      </c>
      <c r="D393" s="1" t="str">
        <f t="shared" si="6"/>
        <v/>
      </c>
    </row>
    <row r="394" spans="1:4" x14ac:dyDescent="0.2">
      <c r="A394" t="str">
        <f>IF(COUNTBLANK(B394:F394)&lt;&gt;COLUMNS(B394:F394),393,"")</f>
        <v/>
      </c>
      <c r="D394" s="1" t="str">
        <f t="shared" si="6"/>
        <v/>
      </c>
    </row>
    <row r="395" spans="1:4" x14ac:dyDescent="0.2">
      <c r="A395" t="str">
        <f>IF(COUNTBLANK(B395:F395)&lt;&gt;COLUMNS(B395:F395),394,"")</f>
        <v/>
      </c>
      <c r="D395" s="1" t="str">
        <f t="shared" si="6"/>
        <v/>
      </c>
    </row>
    <row r="396" spans="1:4" x14ac:dyDescent="0.2">
      <c r="A396" t="str">
        <f>IF(COUNTBLANK(B396:F396)&lt;&gt;COLUMNS(B396:F396),395,"")</f>
        <v/>
      </c>
      <c r="D396" s="1" t="str">
        <f t="shared" si="6"/>
        <v/>
      </c>
    </row>
    <row r="397" spans="1:4" x14ac:dyDescent="0.2">
      <c r="A397" t="str">
        <f>IF(COUNTBLANK(B397:F397)&lt;&gt;COLUMNS(B397:F397),396,"")</f>
        <v/>
      </c>
      <c r="D397" s="1" t="str">
        <f t="shared" si="6"/>
        <v/>
      </c>
    </row>
    <row r="398" spans="1:4" x14ac:dyDescent="0.2">
      <c r="A398" t="str">
        <f>IF(COUNTBLANK(B398:F398)&lt;&gt;COLUMNS(B398:F398),397,"")</f>
        <v/>
      </c>
      <c r="D398" s="1" t="str">
        <f t="shared" si="6"/>
        <v/>
      </c>
    </row>
    <row r="399" spans="1:4" x14ac:dyDescent="0.2">
      <c r="A399" t="str">
        <f>IF(COUNTBLANK(B399:F399)&lt;&gt;COLUMNS(B399:F399),398,"")</f>
        <v/>
      </c>
      <c r="D399" s="1" t="str">
        <f t="shared" si="6"/>
        <v/>
      </c>
    </row>
    <row r="400" spans="1:4" x14ac:dyDescent="0.2">
      <c r="A400" t="str">
        <f>IF(COUNTBLANK(B400:F400)&lt;&gt;COLUMNS(B400:F400),399,"")</f>
        <v/>
      </c>
      <c r="D400" s="1" t="str">
        <f t="shared" si="6"/>
        <v/>
      </c>
    </row>
    <row r="401" spans="1:4" x14ac:dyDescent="0.2">
      <c r="A401" t="str">
        <f>IF(COUNTBLANK(B401:F401)&lt;&gt;COLUMNS(B401:F401),400,"")</f>
        <v/>
      </c>
      <c r="D401" s="1" t="str">
        <f t="shared" si="6"/>
        <v/>
      </c>
    </row>
    <row r="402" spans="1:4" x14ac:dyDescent="0.2">
      <c r="A402" t="str">
        <f>IF(COUNTBLANK(B402:F402)&lt;&gt;COLUMNS(B402:F402),401,"")</f>
        <v/>
      </c>
      <c r="D402" s="1" t="str">
        <f t="shared" si="6"/>
        <v/>
      </c>
    </row>
    <row r="403" spans="1:4" x14ac:dyDescent="0.2">
      <c r="A403" t="str">
        <f>IF(COUNTBLANK(B403:F403)&lt;&gt;COLUMNS(B403:F403),402,"")</f>
        <v/>
      </c>
      <c r="D403" s="1" t="str">
        <f t="shared" si="6"/>
        <v/>
      </c>
    </row>
    <row r="404" spans="1:4" x14ac:dyDescent="0.2">
      <c r="A404" t="str">
        <f>IF(COUNTBLANK(B404:F404)&lt;&gt;COLUMNS(B404:F404),403,"")</f>
        <v/>
      </c>
      <c r="D404" s="1" t="str">
        <f t="shared" si="6"/>
        <v/>
      </c>
    </row>
    <row r="405" spans="1:4" x14ac:dyDescent="0.2">
      <c r="A405" t="str">
        <f>IF(COUNTBLANK(B405:F405)&lt;&gt;COLUMNS(B405:F405),404,"")</f>
        <v/>
      </c>
      <c r="D405" s="1" t="str">
        <f t="shared" si="6"/>
        <v/>
      </c>
    </row>
    <row r="406" spans="1:4" x14ac:dyDescent="0.2">
      <c r="A406" t="str">
        <f>IF(COUNTBLANK(B406:F406)&lt;&gt;COLUMNS(B406:F406),405,"")</f>
        <v/>
      </c>
      <c r="D406" s="1" t="str">
        <f t="shared" si="6"/>
        <v/>
      </c>
    </row>
    <row r="407" spans="1:4" x14ac:dyDescent="0.2">
      <c r="A407" t="str">
        <f>IF(COUNTBLANK(B407:F407)&lt;&gt;COLUMNS(B407:F407),406,"")</f>
        <v/>
      </c>
      <c r="D407" s="1" t="str">
        <f t="shared" si="6"/>
        <v/>
      </c>
    </row>
    <row r="408" spans="1:4" x14ac:dyDescent="0.2">
      <c r="A408" t="str">
        <f>IF(COUNTBLANK(B408:F408)&lt;&gt;COLUMNS(B408:F408),407,"")</f>
        <v/>
      </c>
      <c r="D408" s="1" t="str">
        <f t="shared" si="6"/>
        <v/>
      </c>
    </row>
    <row r="409" spans="1:4" x14ac:dyDescent="0.2">
      <c r="A409" t="str">
        <f>IF(COUNTBLANK(B409:F409)&lt;&gt;COLUMNS(B409:F409),408,"")</f>
        <v/>
      </c>
      <c r="D409" s="1" t="str">
        <f t="shared" si="6"/>
        <v/>
      </c>
    </row>
    <row r="410" spans="1:4" x14ac:dyDescent="0.2">
      <c r="A410" t="str">
        <f>IF(COUNTBLANK(B410:F410)&lt;&gt;COLUMNS(B410:F410),409,"")</f>
        <v/>
      </c>
      <c r="D410" s="1" t="str">
        <f t="shared" si="6"/>
        <v/>
      </c>
    </row>
    <row r="411" spans="1:4" x14ac:dyDescent="0.2">
      <c r="A411" t="str">
        <f>IF(COUNTBLANK(B411:F411)&lt;&gt;COLUMNS(B411:F411),410,"")</f>
        <v/>
      </c>
      <c r="D411" s="1" t="str">
        <f t="shared" si="6"/>
        <v/>
      </c>
    </row>
    <row r="412" spans="1:4" x14ac:dyDescent="0.2">
      <c r="A412" t="str">
        <f>IF(COUNTBLANK(B412:F412)&lt;&gt;COLUMNS(B412:F412),411,"")</f>
        <v/>
      </c>
      <c r="D412" s="1" t="str">
        <f t="shared" si="6"/>
        <v/>
      </c>
    </row>
    <row r="413" spans="1:4" x14ac:dyDescent="0.2">
      <c r="A413" t="str">
        <f>IF(COUNTBLANK(B413:F413)&lt;&gt;COLUMNS(B413:F413),412,"")</f>
        <v/>
      </c>
      <c r="D413" s="1" t="str">
        <f t="shared" si="6"/>
        <v/>
      </c>
    </row>
    <row r="414" spans="1:4" x14ac:dyDescent="0.2">
      <c r="A414" t="str">
        <f>IF(COUNTBLANK(B414:F414)&lt;&gt;COLUMNS(B414:F414),413,"")</f>
        <v/>
      </c>
      <c r="D414" s="1" t="str">
        <f t="shared" si="6"/>
        <v/>
      </c>
    </row>
    <row r="415" spans="1:4" x14ac:dyDescent="0.2">
      <c r="A415" t="str">
        <f>IF(COUNTBLANK(B415:F415)&lt;&gt;COLUMNS(B415:F415),414,"")</f>
        <v/>
      </c>
      <c r="D415" s="1" t="str">
        <f t="shared" si="6"/>
        <v/>
      </c>
    </row>
    <row r="416" spans="1:4" x14ac:dyDescent="0.2">
      <c r="A416" t="str">
        <f>IF(COUNTBLANK(B416:F416)&lt;&gt;COLUMNS(B416:F416),415,"")</f>
        <v/>
      </c>
      <c r="D416" s="1" t="str">
        <f t="shared" si="6"/>
        <v/>
      </c>
    </row>
    <row r="417" spans="1:4" x14ac:dyDescent="0.2">
      <c r="A417" t="str">
        <f>IF(COUNTBLANK(B417:F417)&lt;&gt;COLUMNS(B417:F417),416,"")</f>
        <v/>
      </c>
      <c r="D417" s="1" t="str">
        <f t="shared" si="6"/>
        <v/>
      </c>
    </row>
    <row r="418" spans="1:4" x14ac:dyDescent="0.2">
      <c r="A418" t="str">
        <f>IF(COUNTBLANK(B418:F418)&lt;&gt;COLUMNS(B418:F418),417,"")</f>
        <v/>
      </c>
      <c r="D418" s="1" t="str">
        <f t="shared" si="6"/>
        <v/>
      </c>
    </row>
    <row r="419" spans="1:4" x14ac:dyDescent="0.2">
      <c r="A419" t="str">
        <f>IF(COUNTBLANK(B419:F419)&lt;&gt;COLUMNS(B419:F419),418,"")</f>
        <v/>
      </c>
      <c r="D419" s="1" t="str">
        <f t="shared" si="6"/>
        <v/>
      </c>
    </row>
    <row r="420" spans="1:4" x14ac:dyDescent="0.2">
      <c r="A420" t="str">
        <f>IF(COUNTBLANK(B420:F420)&lt;&gt;COLUMNS(B420:F420),419,"")</f>
        <v/>
      </c>
      <c r="D420" s="1" t="str">
        <f t="shared" si="6"/>
        <v/>
      </c>
    </row>
    <row r="421" spans="1:4" x14ac:dyDescent="0.2">
      <c r="A421" t="str">
        <f>IF(COUNTBLANK(B421:F421)&lt;&gt;COLUMNS(B421:F421),420,"")</f>
        <v/>
      </c>
      <c r="D421" s="1" t="str">
        <f t="shared" si="6"/>
        <v/>
      </c>
    </row>
    <row r="422" spans="1:4" x14ac:dyDescent="0.2">
      <c r="A422" t="str">
        <f>IF(COUNTBLANK(B422:F422)&lt;&gt;COLUMNS(B422:F422),421,"")</f>
        <v/>
      </c>
      <c r="D422" s="1" t="str">
        <f t="shared" si="6"/>
        <v/>
      </c>
    </row>
    <row r="423" spans="1:4" x14ac:dyDescent="0.2">
      <c r="A423" t="str">
        <f>IF(COUNTBLANK(B423:F423)&lt;&gt;COLUMNS(B423:F423),422,"")</f>
        <v/>
      </c>
      <c r="D423" s="1" t="str">
        <f t="shared" si="6"/>
        <v/>
      </c>
    </row>
    <row r="424" spans="1:4" x14ac:dyDescent="0.2">
      <c r="A424" t="str">
        <f>IF(COUNTBLANK(B424:F424)&lt;&gt;COLUMNS(B424:F424),423,"")</f>
        <v/>
      </c>
      <c r="D424" s="1" t="str">
        <f t="shared" si="6"/>
        <v/>
      </c>
    </row>
    <row r="425" spans="1:4" x14ac:dyDescent="0.2">
      <c r="A425" t="str">
        <f>IF(COUNTBLANK(B425:F425)&lt;&gt;COLUMNS(B425:F425),424,"")</f>
        <v/>
      </c>
      <c r="D425" s="1" t="str">
        <f t="shared" si="6"/>
        <v/>
      </c>
    </row>
    <row r="426" spans="1:4" x14ac:dyDescent="0.2">
      <c r="A426" t="str">
        <f>IF(COUNTBLANK(B426:F426)&lt;&gt;COLUMNS(B426:F426),425,"")</f>
        <v/>
      </c>
      <c r="D426" s="1" t="str">
        <f t="shared" si="6"/>
        <v/>
      </c>
    </row>
    <row r="427" spans="1:4" x14ac:dyDescent="0.2">
      <c r="A427" t="str">
        <f>IF(COUNTBLANK(B427:F427)&lt;&gt;COLUMNS(B427:F427),426,"")</f>
        <v/>
      </c>
      <c r="D427" s="1" t="str">
        <f t="shared" si="6"/>
        <v/>
      </c>
    </row>
    <row r="428" spans="1:4" x14ac:dyDescent="0.2">
      <c r="A428" t="str">
        <f>IF(COUNTBLANK(B428:F428)&lt;&gt;COLUMNS(B428:F428),427,"")</f>
        <v/>
      </c>
      <c r="D428" s="1" t="str">
        <f t="shared" si="6"/>
        <v/>
      </c>
    </row>
    <row r="429" spans="1:4" x14ac:dyDescent="0.2">
      <c r="A429" t="str">
        <f>IF(COUNTBLANK(B429:F429)&lt;&gt;COLUMNS(B429:F429),428,"")</f>
        <v/>
      </c>
      <c r="D429" s="1" t="str">
        <f t="shared" si="6"/>
        <v/>
      </c>
    </row>
    <row r="430" spans="1:4" x14ac:dyDescent="0.2">
      <c r="A430" t="str">
        <f>IF(COUNTBLANK(B430:F430)&lt;&gt;COLUMNS(B430:F430),429,"")</f>
        <v/>
      </c>
      <c r="D430" s="1" t="str">
        <f t="shared" si="6"/>
        <v/>
      </c>
    </row>
    <row r="431" spans="1:4" x14ac:dyDescent="0.2">
      <c r="A431" t="str">
        <f>IF(COUNTBLANK(B431:F431)&lt;&gt;COLUMNS(B431:F431),430,"")</f>
        <v/>
      </c>
      <c r="D431" s="1" t="str">
        <f t="shared" si="6"/>
        <v/>
      </c>
    </row>
    <row r="432" spans="1:4" x14ac:dyDescent="0.2">
      <c r="A432" t="str">
        <f>IF(COUNTBLANK(B432:F432)&lt;&gt;COLUMNS(B432:F432),431,"")</f>
        <v/>
      </c>
      <c r="D432" s="1" t="str">
        <f t="shared" si="6"/>
        <v/>
      </c>
    </row>
    <row r="433" spans="1:4" x14ac:dyDescent="0.2">
      <c r="A433" t="str">
        <f>IF(COUNTBLANK(B433:F433)&lt;&gt;COLUMNS(B433:F433),432,"")</f>
        <v/>
      </c>
      <c r="D433" s="1" t="str">
        <f t="shared" si="6"/>
        <v/>
      </c>
    </row>
    <row r="434" spans="1:4" x14ac:dyDescent="0.2">
      <c r="A434" t="str">
        <f>IF(COUNTBLANK(B434:F434)&lt;&gt;COLUMNS(B434:F434),433,"")</f>
        <v/>
      </c>
      <c r="D434" s="1" t="str">
        <f t="shared" si="6"/>
        <v/>
      </c>
    </row>
    <row r="435" spans="1:4" x14ac:dyDescent="0.2">
      <c r="A435" t="str">
        <f>IF(COUNTBLANK(B435:F435)&lt;&gt;COLUMNS(B435:F435),434,"")</f>
        <v/>
      </c>
      <c r="D435" s="1" t="str">
        <f t="shared" si="6"/>
        <v/>
      </c>
    </row>
    <row r="436" spans="1:4" x14ac:dyDescent="0.2">
      <c r="A436" t="str">
        <f>IF(COUNTBLANK(B436:F436)&lt;&gt;COLUMNS(B436:F436),435,"")</f>
        <v/>
      </c>
      <c r="D436" s="1" t="str">
        <f t="shared" si="6"/>
        <v/>
      </c>
    </row>
    <row r="437" spans="1:4" x14ac:dyDescent="0.2">
      <c r="A437" t="str">
        <f>IF(COUNTBLANK(B437:F437)&lt;&gt;COLUMNS(B437:F437),436,"")</f>
        <v/>
      </c>
      <c r="D437" s="1" t="str">
        <f t="shared" si="6"/>
        <v/>
      </c>
    </row>
    <row r="438" spans="1:4" x14ac:dyDescent="0.2">
      <c r="A438" t="str">
        <f>IF(COUNTBLANK(B438:F438)&lt;&gt;COLUMNS(B438:F438),437,"")</f>
        <v/>
      </c>
      <c r="D438" s="1" t="str">
        <f t="shared" si="6"/>
        <v/>
      </c>
    </row>
    <row r="439" spans="1:4" x14ac:dyDescent="0.2">
      <c r="A439" t="str">
        <f>IF(COUNTBLANK(B439:F439)&lt;&gt;COLUMNS(B439:F439),438,"")</f>
        <v/>
      </c>
      <c r="D439" s="1" t="str">
        <f t="shared" si="6"/>
        <v/>
      </c>
    </row>
    <row r="440" spans="1:4" x14ac:dyDescent="0.2">
      <c r="A440" t="str">
        <f>IF(COUNTBLANK(B440:F440)&lt;&gt;COLUMNS(B440:F440),439,"")</f>
        <v/>
      </c>
      <c r="D440" s="1" t="str">
        <f t="shared" si="6"/>
        <v/>
      </c>
    </row>
    <row r="441" spans="1:4" x14ac:dyDescent="0.2">
      <c r="A441" t="str">
        <f>IF(COUNTBLANK(B441:F441)&lt;&gt;COLUMNS(B441:F441),440,"")</f>
        <v/>
      </c>
      <c r="D441" s="1" t="str">
        <f t="shared" si="6"/>
        <v/>
      </c>
    </row>
    <row r="442" spans="1:4" x14ac:dyDescent="0.2">
      <c r="A442" t="str">
        <f>IF(COUNTBLANK(B442:F442)&lt;&gt;COLUMNS(B442:F442),441,"")</f>
        <v/>
      </c>
      <c r="D442" s="1" t="str">
        <f t="shared" si="6"/>
        <v/>
      </c>
    </row>
    <row r="443" spans="1:4" x14ac:dyDescent="0.2">
      <c r="A443" t="str">
        <f>IF(COUNTBLANK(B443:F443)&lt;&gt;COLUMNS(B443:F443),442,"")</f>
        <v/>
      </c>
      <c r="D443" s="1" t="str">
        <f t="shared" si="6"/>
        <v/>
      </c>
    </row>
    <row r="444" spans="1:4" x14ac:dyDescent="0.2">
      <c r="A444" t="str">
        <f>IF(COUNTBLANK(B444:F444)&lt;&gt;COLUMNS(B444:F444),443,"")</f>
        <v/>
      </c>
      <c r="D444" s="1" t="str">
        <f t="shared" si="6"/>
        <v/>
      </c>
    </row>
    <row r="445" spans="1:4" x14ac:dyDescent="0.2">
      <c r="A445" t="str">
        <f>IF(COUNTBLANK(B445:F445)&lt;&gt;COLUMNS(B445:F445),444,"")</f>
        <v/>
      </c>
      <c r="D445" s="1" t="str">
        <f t="shared" si="6"/>
        <v/>
      </c>
    </row>
    <row r="446" spans="1:4" x14ac:dyDescent="0.2">
      <c r="A446" t="str">
        <f>IF(COUNTBLANK(B446:F446)&lt;&gt;COLUMNS(B446:F446),445,"")</f>
        <v/>
      </c>
      <c r="D446" s="1" t="str">
        <f t="shared" si="6"/>
        <v/>
      </c>
    </row>
    <row r="447" spans="1:4" x14ac:dyDescent="0.2">
      <c r="A447" t="str">
        <f>IF(COUNTBLANK(B447:F447)&lt;&gt;COLUMNS(B447:F447),446,"")</f>
        <v/>
      </c>
      <c r="D447" s="1" t="str">
        <f t="shared" si="6"/>
        <v/>
      </c>
    </row>
    <row r="448" spans="1:4" x14ac:dyDescent="0.2">
      <c r="A448" t="str">
        <f>IF(COUNTBLANK(B448:F448)&lt;&gt;COLUMNS(B448:F448),447,"")</f>
        <v/>
      </c>
      <c r="D448" s="1" t="str">
        <f t="shared" si="6"/>
        <v/>
      </c>
    </row>
    <row r="449" spans="1:4" x14ac:dyDescent="0.2">
      <c r="A449" t="str">
        <f>IF(COUNTBLANK(B449:F449)&lt;&gt;COLUMNS(B449:F449),448,"")</f>
        <v/>
      </c>
      <c r="D449" s="1" t="str">
        <f t="shared" si="6"/>
        <v/>
      </c>
    </row>
    <row r="450" spans="1:4" x14ac:dyDescent="0.2">
      <c r="A450" t="str">
        <f>IF(COUNTBLANK(B450:F450)&lt;&gt;COLUMNS(B450:F450),449,"")</f>
        <v/>
      </c>
      <c r="D450" s="1" t="str">
        <f t="shared" ref="D450:D513" si="7">IF(B450="", "", "f")</f>
        <v/>
      </c>
    </row>
    <row r="451" spans="1:4" x14ac:dyDescent="0.2">
      <c r="A451" t="str">
        <f>IF(COUNTBLANK(B451:F451)&lt;&gt;COLUMNS(B451:F451),450,"")</f>
        <v/>
      </c>
      <c r="D451" s="1" t="str">
        <f t="shared" si="7"/>
        <v/>
      </c>
    </row>
    <row r="452" spans="1:4" x14ac:dyDescent="0.2">
      <c r="A452" t="str">
        <f>IF(COUNTBLANK(B452:F452)&lt;&gt;COLUMNS(B452:F452),451,"")</f>
        <v/>
      </c>
      <c r="D452" s="1" t="str">
        <f t="shared" si="7"/>
        <v/>
      </c>
    </row>
    <row r="453" spans="1:4" x14ac:dyDescent="0.2">
      <c r="A453" t="str">
        <f>IF(COUNTBLANK(B453:F453)&lt;&gt;COLUMNS(B453:F453),452,"")</f>
        <v/>
      </c>
      <c r="D453" s="1" t="str">
        <f t="shared" si="7"/>
        <v/>
      </c>
    </row>
    <row r="454" spans="1:4" x14ac:dyDescent="0.2">
      <c r="A454" t="str">
        <f>IF(COUNTBLANK(B454:F454)&lt;&gt;COLUMNS(B454:F454),453,"")</f>
        <v/>
      </c>
      <c r="D454" s="1" t="str">
        <f t="shared" si="7"/>
        <v/>
      </c>
    </row>
    <row r="455" spans="1:4" x14ac:dyDescent="0.2">
      <c r="A455" t="str">
        <f>IF(COUNTBLANK(B455:F455)&lt;&gt;COLUMNS(B455:F455),454,"")</f>
        <v/>
      </c>
      <c r="D455" s="1" t="str">
        <f t="shared" si="7"/>
        <v/>
      </c>
    </row>
    <row r="456" spans="1:4" x14ac:dyDescent="0.2">
      <c r="A456" t="str">
        <f>IF(COUNTBLANK(B456:F456)&lt;&gt;COLUMNS(B456:F456),455,"")</f>
        <v/>
      </c>
      <c r="D456" s="1" t="str">
        <f t="shared" si="7"/>
        <v/>
      </c>
    </row>
    <row r="457" spans="1:4" x14ac:dyDescent="0.2">
      <c r="A457" t="str">
        <f>IF(COUNTBLANK(B457:F457)&lt;&gt;COLUMNS(B457:F457),456,"")</f>
        <v/>
      </c>
      <c r="D457" s="1" t="str">
        <f t="shared" si="7"/>
        <v/>
      </c>
    </row>
    <row r="458" spans="1:4" x14ac:dyDescent="0.2">
      <c r="A458" t="str">
        <f>IF(COUNTBLANK(B458:F458)&lt;&gt;COLUMNS(B458:F458),457,"")</f>
        <v/>
      </c>
      <c r="D458" s="1" t="str">
        <f t="shared" si="7"/>
        <v/>
      </c>
    </row>
    <row r="459" spans="1:4" x14ac:dyDescent="0.2">
      <c r="A459" t="str">
        <f>IF(COUNTBLANK(B459:F459)&lt;&gt;COLUMNS(B459:F459),458,"")</f>
        <v/>
      </c>
      <c r="D459" s="1" t="str">
        <f t="shared" si="7"/>
        <v/>
      </c>
    </row>
    <row r="460" spans="1:4" x14ac:dyDescent="0.2">
      <c r="A460" t="str">
        <f>IF(COUNTBLANK(B460:F460)&lt;&gt;COLUMNS(B460:F460),459,"")</f>
        <v/>
      </c>
      <c r="D460" s="1" t="str">
        <f t="shared" si="7"/>
        <v/>
      </c>
    </row>
    <row r="461" spans="1:4" x14ac:dyDescent="0.2">
      <c r="A461" t="str">
        <f>IF(COUNTBLANK(B461:F461)&lt;&gt;COLUMNS(B461:F461),460,"")</f>
        <v/>
      </c>
      <c r="D461" s="1" t="str">
        <f t="shared" si="7"/>
        <v/>
      </c>
    </row>
    <row r="462" spans="1:4" x14ac:dyDescent="0.2">
      <c r="A462" t="str">
        <f>IF(COUNTBLANK(B462:F462)&lt;&gt;COLUMNS(B462:F462),461,"")</f>
        <v/>
      </c>
      <c r="D462" s="1" t="str">
        <f t="shared" si="7"/>
        <v/>
      </c>
    </row>
    <row r="463" spans="1:4" x14ac:dyDescent="0.2">
      <c r="A463" t="str">
        <f>IF(COUNTBLANK(B463:F463)&lt;&gt;COLUMNS(B463:F463),462,"")</f>
        <v/>
      </c>
      <c r="D463" s="1" t="str">
        <f t="shared" si="7"/>
        <v/>
      </c>
    </row>
    <row r="464" spans="1:4" x14ac:dyDescent="0.2">
      <c r="A464" t="str">
        <f>IF(COUNTBLANK(B464:F464)&lt;&gt;COLUMNS(B464:F464),463,"")</f>
        <v/>
      </c>
      <c r="D464" s="1" t="str">
        <f t="shared" si="7"/>
        <v/>
      </c>
    </row>
    <row r="465" spans="1:4" x14ac:dyDescent="0.2">
      <c r="A465" t="str">
        <f>IF(COUNTBLANK(B465:F465)&lt;&gt;COLUMNS(B465:F465),464,"")</f>
        <v/>
      </c>
      <c r="D465" s="1" t="str">
        <f t="shared" si="7"/>
        <v/>
      </c>
    </row>
    <row r="466" spans="1:4" x14ac:dyDescent="0.2">
      <c r="A466" t="str">
        <f>IF(COUNTBLANK(B466:F466)&lt;&gt;COLUMNS(B466:F466),465,"")</f>
        <v/>
      </c>
      <c r="D466" s="1" t="str">
        <f t="shared" si="7"/>
        <v/>
      </c>
    </row>
    <row r="467" spans="1:4" x14ac:dyDescent="0.2">
      <c r="A467" t="str">
        <f>IF(COUNTBLANK(B467:F467)&lt;&gt;COLUMNS(B467:F467),466,"")</f>
        <v/>
      </c>
      <c r="D467" s="1" t="str">
        <f t="shared" si="7"/>
        <v/>
      </c>
    </row>
    <row r="468" spans="1:4" x14ac:dyDescent="0.2">
      <c r="A468" t="str">
        <f>IF(COUNTBLANK(B468:F468)&lt;&gt;COLUMNS(B468:F468),467,"")</f>
        <v/>
      </c>
      <c r="D468" s="1" t="str">
        <f t="shared" si="7"/>
        <v/>
      </c>
    </row>
    <row r="469" spans="1:4" x14ac:dyDescent="0.2">
      <c r="A469" t="str">
        <f>IF(COUNTBLANK(B469:F469)&lt;&gt;COLUMNS(B469:F469),468,"")</f>
        <v/>
      </c>
      <c r="D469" s="1" t="str">
        <f t="shared" si="7"/>
        <v/>
      </c>
    </row>
    <row r="470" spans="1:4" x14ac:dyDescent="0.2">
      <c r="A470" t="str">
        <f>IF(COUNTBLANK(B470:F470)&lt;&gt;COLUMNS(B470:F470),469,"")</f>
        <v/>
      </c>
      <c r="D470" s="1" t="str">
        <f t="shared" si="7"/>
        <v/>
      </c>
    </row>
    <row r="471" spans="1:4" x14ac:dyDescent="0.2">
      <c r="A471" t="str">
        <f>IF(COUNTBLANK(B471:F471)&lt;&gt;COLUMNS(B471:F471),470,"")</f>
        <v/>
      </c>
      <c r="D471" s="1" t="str">
        <f t="shared" si="7"/>
        <v/>
      </c>
    </row>
    <row r="472" spans="1:4" x14ac:dyDescent="0.2">
      <c r="A472" t="str">
        <f>IF(COUNTBLANK(B472:F472)&lt;&gt;COLUMNS(B472:F472),471,"")</f>
        <v/>
      </c>
      <c r="D472" s="1" t="str">
        <f t="shared" si="7"/>
        <v/>
      </c>
    </row>
    <row r="473" spans="1:4" x14ac:dyDescent="0.2">
      <c r="A473" t="str">
        <f>IF(COUNTBLANK(B473:F473)&lt;&gt;COLUMNS(B473:F473),472,"")</f>
        <v/>
      </c>
      <c r="D473" s="1" t="str">
        <f t="shared" si="7"/>
        <v/>
      </c>
    </row>
    <row r="474" spans="1:4" x14ac:dyDescent="0.2">
      <c r="A474" t="str">
        <f>IF(COUNTBLANK(B474:F474)&lt;&gt;COLUMNS(B474:F474),473,"")</f>
        <v/>
      </c>
      <c r="D474" s="1" t="str">
        <f t="shared" si="7"/>
        <v/>
      </c>
    </row>
    <row r="475" spans="1:4" x14ac:dyDescent="0.2">
      <c r="A475" t="str">
        <f>IF(COUNTBLANK(B475:F475)&lt;&gt;COLUMNS(B475:F475),474,"")</f>
        <v/>
      </c>
      <c r="D475" s="1" t="str">
        <f t="shared" si="7"/>
        <v/>
      </c>
    </row>
    <row r="476" spans="1:4" x14ac:dyDescent="0.2">
      <c r="A476" t="str">
        <f>IF(COUNTBLANK(B476:F476)&lt;&gt;COLUMNS(B476:F476),475,"")</f>
        <v/>
      </c>
      <c r="D476" s="1" t="str">
        <f t="shared" si="7"/>
        <v/>
      </c>
    </row>
    <row r="477" spans="1:4" x14ac:dyDescent="0.2">
      <c r="A477" t="str">
        <f>IF(COUNTBLANK(B477:F477)&lt;&gt;COLUMNS(B477:F477),476,"")</f>
        <v/>
      </c>
      <c r="D477" s="1" t="str">
        <f t="shared" si="7"/>
        <v/>
      </c>
    </row>
    <row r="478" spans="1:4" x14ac:dyDescent="0.2">
      <c r="A478" t="str">
        <f>IF(COUNTBLANK(B478:F478)&lt;&gt;COLUMNS(B478:F478),477,"")</f>
        <v/>
      </c>
      <c r="D478" s="1" t="str">
        <f t="shared" si="7"/>
        <v/>
      </c>
    </row>
    <row r="479" spans="1:4" x14ac:dyDescent="0.2">
      <c r="A479" t="str">
        <f>IF(COUNTBLANK(B479:F479)&lt;&gt;COLUMNS(B479:F479),478,"")</f>
        <v/>
      </c>
      <c r="D479" s="1" t="str">
        <f t="shared" si="7"/>
        <v/>
      </c>
    </row>
    <row r="480" spans="1:4" x14ac:dyDescent="0.2">
      <c r="A480" t="str">
        <f>IF(COUNTBLANK(B480:F480)&lt;&gt;COLUMNS(B480:F480),479,"")</f>
        <v/>
      </c>
      <c r="D480" s="1" t="str">
        <f t="shared" si="7"/>
        <v/>
      </c>
    </row>
    <row r="481" spans="1:4" x14ac:dyDescent="0.2">
      <c r="A481" t="str">
        <f>IF(COUNTBLANK(B481:F481)&lt;&gt;COLUMNS(B481:F481),480,"")</f>
        <v/>
      </c>
      <c r="D481" s="1" t="str">
        <f t="shared" si="7"/>
        <v/>
      </c>
    </row>
    <row r="482" spans="1:4" x14ac:dyDescent="0.2">
      <c r="A482" t="str">
        <f>IF(COUNTBLANK(B482:F482)&lt;&gt;COLUMNS(B482:F482),481,"")</f>
        <v/>
      </c>
      <c r="D482" s="1" t="str">
        <f t="shared" si="7"/>
        <v/>
      </c>
    </row>
    <row r="483" spans="1:4" x14ac:dyDescent="0.2">
      <c r="A483" t="str">
        <f>IF(COUNTBLANK(B483:F483)&lt;&gt;COLUMNS(B483:F483),482,"")</f>
        <v/>
      </c>
      <c r="D483" s="1" t="str">
        <f t="shared" si="7"/>
        <v/>
      </c>
    </row>
    <row r="484" spans="1:4" x14ac:dyDescent="0.2">
      <c r="A484" t="str">
        <f>IF(COUNTBLANK(B484:F484)&lt;&gt;COLUMNS(B484:F484),483,"")</f>
        <v/>
      </c>
      <c r="D484" s="1" t="str">
        <f t="shared" si="7"/>
        <v/>
      </c>
    </row>
    <row r="485" spans="1:4" x14ac:dyDescent="0.2">
      <c r="A485" t="str">
        <f>IF(COUNTBLANK(B485:F485)&lt;&gt;COLUMNS(B485:F485),484,"")</f>
        <v/>
      </c>
      <c r="D485" s="1" t="str">
        <f t="shared" si="7"/>
        <v/>
      </c>
    </row>
    <row r="486" spans="1:4" x14ac:dyDescent="0.2">
      <c r="A486" t="str">
        <f>IF(COUNTBLANK(B486:F486)&lt;&gt;COLUMNS(B486:F486),485,"")</f>
        <v/>
      </c>
      <c r="D486" s="1" t="str">
        <f t="shared" si="7"/>
        <v/>
      </c>
    </row>
    <row r="487" spans="1:4" x14ac:dyDescent="0.2">
      <c r="A487" t="str">
        <f>IF(COUNTBLANK(B487:F487)&lt;&gt;COLUMNS(B487:F487),486,"")</f>
        <v/>
      </c>
      <c r="D487" s="1" t="str">
        <f t="shared" si="7"/>
        <v/>
      </c>
    </row>
    <row r="488" spans="1:4" x14ac:dyDescent="0.2">
      <c r="A488" t="str">
        <f>IF(COUNTBLANK(B488:F488)&lt;&gt;COLUMNS(B488:F488),487,"")</f>
        <v/>
      </c>
      <c r="D488" s="1" t="str">
        <f t="shared" si="7"/>
        <v/>
      </c>
    </row>
    <row r="489" spans="1:4" x14ac:dyDescent="0.2">
      <c r="A489" t="str">
        <f>IF(COUNTBLANK(B489:F489)&lt;&gt;COLUMNS(B489:F489),488,"")</f>
        <v/>
      </c>
      <c r="D489" s="1" t="str">
        <f t="shared" si="7"/>
        <v/>
      </c>
    </row>
    <row r="490" spans="1:4" x14ac:dyDescent="0.2">
      <c r="A490" t="str">
        <f>IF(COUNTBLANK(B490:F490)&lt;&gt;COLUMNS(B490:F490),489,"")</f>
        <v/>
      </c>
      <c r="D490" s="1" t="str">
        <f t="shared" si="7"/>
        <v/>
      </c>
    </row>
    <row r="491" spans="1:4" x14ac:dyDescent="0.2">
      <c r="A491" t="str">
        <f>IF(COUNTBLANK(B491:F491)&lt;&gt;COLUMNS(B491:F491),490,"")</f>
        <v/>
      </c>
      <c r="D491" s="1" t="str">
        <f t="shared" si="7"/>
        <v/>
      </c>
    </row>
    <row r="492" spans="1:4" x14ac:dyDescent="0.2">
      <c r="A492" t="str">
        <f>IF(COUNTBLANK(B492:F492)&lt;&gt;COLUMNS(B492:F492),491,"")</f>
        <v/>
      </c>
      <c r="D492" s="1" t="str">
        <f t="shared" si="7"/>
        <v/>
      </c>
    </row>
    <row r="493" spans="1:4" x14ac:dyDescent="0.2">
      <c r="A493" t="str">
        <f>IF(COUNTBLANK(B493:F493)&lt;&gt;COLUMNS(B493:F493),492,"")</f>
        <v/>
      </c>
      <c r="D493" s="1" t="str">
        <f t="shared" si="7"/>
        <v/>
      </c>
    </row>
    <row r="494" spans="1:4" x14ac:dyDescent="0.2">
      <c r="A494" t="str">
        <f>IF(COUNTBLANK(B494:F494)&lt;&gt;COLUMNS(B494:F494),493,"")</f>
        <v/>
      </c>
      <c r="D494" s="1" t="str">
        <f t="shared" si="7"/>
        <v/>
      </c>
    </row>
    <row r="495" spans="1:4" x14ac:dyDescent="0.2">
      <c r="A495" t="str">
        <f>IF(COUNTBLANK(B495:F495)&lt;&gt;COLUMNS(B495:F495),494,"")</f>
        <v/>
      </c>
      <c r="D495" s="1" t="str">
        <f t="shared" si="7"/>
        <v/>
      </c>
    </row>
    <row r="496" spans="1:4" x14ac:dyDescent="0.2">
      <c r="A496" t="str">
        <f>IF(COUNTBLANK(B496:F496)&lt;&gt;COLUMNS(B496:F496),495,"")</f>
        <v/>
      </c>
      <c r="D496" s="1" t="str">
        <f t="shared" si="7"/>
        <v/>
      </c>
    </row>
    <row r="497" spans="1:4" x14ac:dyDescent="0.2">
      <c r="A497" t="str">
        <f>IF(COUNTBLANK(B497:F497)&lt;&gt;COLUMNS(B497:F497),496,"")</f>
        <v/>
      </c>
      <c r="D497" s="1" t="str">
        <f t="shared" si="7"/>
        <v/>
      </c>
    </row>
    <row r="498" spans="1:4" x14ac:dyDescent="0.2">
      <c r="A498" t="str">
        <f>IF(COUNTBLANK(B498:F498)&lt;&gt;COLUMNS(B498:F498),497,"")</f>
        <v/>
      </c>
      <c r="D498" s="1" t="str">
        <f t="shared" si="7"/>
        <v/>
      </c>
    </row>
    <row r="499" spans="1:4" x14ac:dyDescent="0.2">
      <c r="A499" t="str">
        <f>IF(COUNTBLANK(B499:F499)&lt;&gt;COLUMNS(B499:F499),498,"")</f>
        <v/>
      </c>
      <c r="D499" s="1" t="str">
        <f t="shared" si="7"/>
        <v/>
      </c>
    </row>
    <row r="500" spans="1:4" x14ac:dyDescent="0.2">
      <c r="A500" t="str">
        <f>IF(COUNTBLANK(B500:F500)&lt;&gt;COLUMNS(B500:F500),499,"")</f>
        <v/>
      </c>
      <c r="D500" s="1" t="str">
        <f t="shared" si="7"/>
        <v/>
      </c>
    </row>
    <row r="501" spans="1:4" x14ac:dyDescent="0.2">
      <c r="A501" t="str">
        <f>IF(COUNTBLANK(B501:F501)&lt;&gt;COLUMNS(B501:F501),500,"")</f>
        <v/>
      </c>
      <c r="D501" s="1" t="str">
        <f t="shared" si="7"/>
        <v/>
      </c>
    </row>
    <row r="502" spans="1:4" x14ac:dyDescent="0.2">
      <c r="A502" t="str">
        <f>IF(COUNTBLANK(B502:F502)&lt;&gt;COLUMNS(B502:F502),501,"")</f>
        <v/>
      </c>
      <c r="D502" s="1" t="str">
        <f t="shared" si="7"/>
        <v/>
      </c>
    </row>
    <row r="503" spans="1:4" x14ac:dyDescent="0.2">
      <c r="A503" t="str">
        <f>IF(COUNTBLANK(B503:F503)&lt;&gt;COLUMNS(B503:F503),502,"")</f>
        <v/>
      </c>
      <c r="D503" s="1" t="str">
        <f t="shared" si="7"/>
        <v/>
      </c>
    </row>
    <row r="504" spans="1:4" x14ac:dyDescent="0.2">
      <c r="A504" t="str">
        <f>IF(COUNTBLANK(B504:F504)&lt;&gt;COLUMNS(B504:F504),503,"")</f>
        <v/>
      </c>
      <c r="D504" s="1" t="str">
        <f t="shared" si="7"/>
        <v/>
      </c>
    </row>
    <row r="505" spans="1:4" x14ac:dyDescent="0.2">
      <c r="A505" t="str">
        <f>IF(COUNTBLANK(B505:F505)&lt;&gt;COLUMNS(B505:F505),504,"")</f>
        <v/>
      </c>
      <c r="D505" s="1" t="str">
        <f t="shared" si="7"/>
        <v/>
      </c>
    </row>
    <row r="506" spans="1:4" x14ac:dyDescent="0.2">
      <c r="A506" t="str">
        <f>IF(COUNTBLANK(B506:F506)&lt;&gt;COLUMNS(B506:F506),505,"")</f>
        <v/>
      </c>
      <c r="D506" s="1" t="str">
        <f t="shared" si="7"/>
        <v/>
      </c>
    </row>
    <row r="507" spans="1:4" x14ac:dyDescent="0.2">
      <c r="A507" t="str">
        <f>IF(COUNTBLANK(B507:F507)&lt;&gt;COLUMNS(B507:F507),506,"")</f>
        <v/>
      </c>
      <c r="D507" s="1" t="str">
        <f t="shared" si="7"/>
        <v/>
      </c>
    </row>
    <row r="508" spans="1:4" x14ac:dyDescent="0.2">
      <c r="A508" t="str">
        <f>IF(COUNTBLANK(B508:F508)&lt;&gt;COLUMNS(B508:F508),507,"")</f>
        <v/>
      </c>
      <c r="D508" s="1" t="str">
        <f t="shared" si="7"/>
        <v/>
      </c>
    </row>
    <row r="509" spans="1:4" x14ac:dyDescent="0.2">
      <c r="A509" t="str">
        <f>IF(COUNTBLANK(B509:F509)&lt;&gt;COLUMNS(B509:F509),508,"")</f>
        <v/>
      </c>
      <c r="D509" s="1" t="str">
        <f t="shared" si="7"/>
        <v/>
      </c>
    </row>
    <row r="510" spans="1:4" x14ac:dyDescent="0.2">
      <c r="A510" t="str">
        <f>IF(COUNTBLANK(B510:F510)&lt;&gt;COLUMNS(B510:F510),509,"")</f>
        <v/>
      </c>
      <c r="D510" s="1" t="str">
        <f t="shared" si="7"/>
        <v/>
      </c>
    </row>
    <row r="511" spans="1:4" x14ac:dyDescent="0.2">
      <c r="A511" t="str">
        <f>IF(COUNTBLANK(B511:F511)&lt;&gt;COLUMNS(B511:F511),510,"")</f>
        <v/>
      </c>
      <c r="D511" s="1" t="str">
        <f t="shared" si="7"/>
        <v/>
      </c>
    </row>
    <row r="512" spans="1:4" x14ac:dyDescent="0.2">
      <c r="A512" t="str">
        <f>IF(COUNTBLANK(B512:F512)&lt;&gt;COLUMNS(B512:F512),511,"")</f>
        <v/>
      </c>
      <c r="D512" s="1" t="str">
        <f t="shared" si="7"/>
        <v/>
      </c>
    </row>
    <row r="513" spans="1:4" x14ac:dyDescent="0.2">
      <c r="A513" t="str">
        <f>IF(COUNTBLANK(B513:F513)&lt;&gt;COLUMNS(B513:F513),512,"")</f>
        <v/>
      </c>
      <c r="D513" s="1" t="str">
        <f t="shared" si="7"/>
        <v/>
      </c>
    </row>
    <row r="514" spans="1:4" x14ac:dyDescent="0.2">
      <c r="A514" t="str">
        <f>IF(COUNTBLANK(B514:F514)&lt;&gt;COLUMNS(B514:F514),513,"")</f>
        <v/>
      </c>
      <c r="D514" s="1" t="str">
        <f t="shared" ref="D514:D577" si="8">IF(B514="", "", "f")</f>
        <v/>
      </c>
    </row>
    <row r="515" spans="1:4" x14ac:dyDescent="0.2">
      <c r="A515" t="str">
        <f>IF(COUNTBLANK(B515:F515)&lt;&gt;COLUMNS(B515:F515),514,"")</f>
        <v/>
      </c>
      <c r="D515" s="1" t="str">
        <f t="shared" si="8"/>
        <v/>
      </c>
    </row>
    <row r="516" spans="1:4" x14ac:dyDescent="0.2">
      <c r="A516" t="str">
        <f>IF(COUNTBLANK(B516:F516)&lt;&gt;COLUMNS(B516:F516),515,"")</f>
        <v/>
      </c>
      <c r="D516" s="1" t="str">
        <f t="shared" si="8"/>
        <v/>
      </c>
    </row>
    <row r="517" spans="1:4" x14ac:dyDescent="0.2">
      <c r="A517" t="str">
        <f>IF(COUNTBLANK(B517:F517)&lt;&gt;COLUMNS(B517:F517),516,"")</f>
        <v/>
      </c>
      <c r="D517" s="1" t="str">
        <f t="shared" si="8"/>
        <v/>
      </c>
    </row>
    <row r="518" spans="1:4" x14ac:dyDescent="0.2">
      <c r="A518" t="str">
        <f>IF(COUNTBLANK(B518:F518)&lt;&gt;COLUMNS(B518:F518),517,"")</f>
        <v/>
      </c>
      <c r="D518" s="1" t="str">
        <f t="shared" si="8"/>
        <v/>
      </c>
    </row>
    <row r="519" spans="1:4" x14ac:dyDescent="0.2">
      <c r="A519" t="str">
        <f>IF(COUNTBLANK(B519:F519)&lt;&gt;COLUMNS(B519:F519),518,"")</f>
        <v/>
      </c>
      <c r="D519" s="1" t="str">
        <f t="shared" si="8"/>
        <v/>
      </c>
    </row>
    <row r="520" spans="1:4" x14ac:dyDescent="0.2">
      <c r="A520" t="str">
        <f>IF(COUNTBLANK(B520:F520)&lt;&gt;COLUMNS(B520:F520),519,"")</f>
        <v/>
      </c>
      <c r="D520" s="1" t="str">
        <f t="shared" si="8"/>
        <v/>
      </c>
    </row>
    <row r="521" spans="1:4" x14ac:dyDescent="0.2">
      <c r="A521" t="str">
        <f>IF(COUNTBLANK(B521:F521)&lt;&gt;COLUMNS(B521:F521),520,"")</f>
        <v/>
      </c>
      <c r="D521" s="1" t="str">
        <f t="shared" si="8"/>
        <v/>
      </c>
    </row>
    <row r="522" spans="1:4" x14ac:dyDescent="0.2">
      <c r="A522" t="str">
        <f>IF(COUNTBLANK(B522:F522)&lt;&gt;COLUMNS(B522:F522),521,"")</f>
        <v/>
      </c>
      <c r="D522" s="1" t="str">
        <f t="shared" si="8"/>
        <v/>
      </c>
    </row>
    <row r="523" spans="1:4" x14ac:dyDescent="0.2">
      <c r="A523" t="str">
        <f>IF(COUNTBLANK(B523:F523)&lt;&gt;COLUMNS(B523:F523),522,"")</f>
        <v/>
      </c>
      <c r="D523" s="1" t="str">
        <f t="shared" si="8"/>
        <v/>
      </c>
    </row>
    <row r="524" spans="1:4" x14ac:dyDescent="0.2">
      <c r="A524" t="str">
        <f>IF(COUNTBLANK(B524:F524)&lt;&gt;COLUMNS(B524:F524),523,"")</f>
        <v/>
      </c>
      <c r="D524" s="1" t="str">
        <f t="shared" si="8"/>
        <v/>
      </c>
    </row>
    <row r="525" spans="1:4" x14ac:dyDescent="0.2">
      <c r="A525" t="str">
        <f>IF(COUNTBLANK(B525:F525)&lt;&gt;COLUMNS(B525:F525),524,"")</f>
        <v/>
      </c>
      <c r="D525" s="1" t="str">
        <f t="shared" si="8"/>
        <v/>
      </c>
    </row>
    <row r="526" spans="1:4" x14ac:dyDescent="0.2">
      <c r="A526" t="str">
        <f>IF(COUNTBLANK(B526:F526)&lt;&gt;COLUMNS(B526:F526),525,"")</f>
        <v/>
      </c>
      <c r="D526" s="1" t="str">
        <f t="shared" si="8"/>
        <v/>
      </c>
    </row>
    <row r="527" spans="1:4" x14ac:dyDescent="0.2">
      <c r="A527" t="str">
        <f>IF(COUNTBLANK(B527:F527)&lt;&gt;COLUMNS(B527:F527),526,"")</f>
        <v/>
      </c>
      <c r="D527" s="1" t="str">
        <f t="shared" si="8"/>
        <v/>
      </c>
    </row>
    <row r="528" spans="1:4" x14ac:dyDescent="0.2">
      <c r="A528" t="str">
        <f>IF(COUNTBLANK(B528:F528)&lt;&gt;COLUMNS(B528:F528),527,"")</f>
        <v/>
      </c>
      <c r="D528" s="1" t="str">
        <f t="shared" si="8"/>
        <v/>
      </c>
    </row>
    <row r="529" spans="1:4" x14ac:dyDescent="0.2">
      <c r="A529" t="str">
        <f>IF(COUNTBLANK(B529:F529)&lt;&gt;COLUMNS(B529:F529),528,"")</f>
        <v/>
      </c>
      <c r="D529" s="1" t="str">
        <f t="shared" si="8"/>
        <v/>
      </c>
    </row>
    <row r="530" spans="1:4" x14ac:dyDescent="0.2">
      <c r="A530" t="str">
        <f>IF(COUNTBLANK(B530:F530)&lt;&gt;COLUMNS(B530:F530),529,"")</f>
        <v/>
      </c>
      <c r="D530" s="1" t="str">
        <f t="shared" si="8"/>
        <v/>
      </c>
    </row>
    <row r="531" spans="1:4" x14ac:dyDescent="0.2">
      <c r="A531" t="str">
        <f>IF(COUNTBLANK(B531:F531)&lt;&gt;COLUMNS(B531:F531),530,"")</f>
        <v/>
      </c>
      <c r="D531" s="1" t="str">
        <f t="shared" si="8"/>
        <v/>
      </c>
    </row>
    <row r="532" spans="1:4" x14ac:dyDescent="0.2">
      <c r="A532" t="str">
        <f>IF(COUNTBLANK(B532:F532)&lt;&gt;COLUMNS(B532:F532),531,"")</f>
        <v/>
      </c>
      <c r="D532" s="1" t="str">
        <f t="shared" si="8"/>
        <v/>
      </c>
    </row>
    <row r="533" spans="1:4" x14ac:dyDescent="0.2">
      <c r="A533" t="str">
        <f>IF(COUNTBLANK(B533:F533)&lt;&gt;COLUMNS(B533:F533),532,"")</f>
        <v/>
      </c>
      <c r="D533" s="1" t="str">
        <f t="shared" si="8"/>
        <v/>
      </c>
    </row>
    <row r="534" spans="1:4" x14ac:dyDescent="0.2">
      <c r="A534" t="str">
        <f>IF(COUNTBLANK(B534:F534)&lt;&gt;COLUMNS(B534:F534),533,"")</f>
        <v/>
      </c>
      <c r="D534" s="1" t="str">
        <f t="shared" si="8"/>
        <v/>
      </c>
    </row>
    <row r="535" spans="1:4" x14ac:dyDescent="0.2">
      <c r="A535" t="str">
        <f>IF(COUNTBLANK(B535:F535)&lt;&gt;COLUMNS(B535:F535),534,"")</f>
        <v/>
      </c>
      <c r="D535" s="1" t="str">
        <f t="shared" si="8"/>
        <v/>
      </c>
    </row>
    <row r="536" spans="1:4" x14ac:dyDescent="0.2">
      <c r="A536" t="str">
        <f>IF(COUNTBLANK(B536:F536)&lt;&gt;COLUMNS(B536:F536),535,"")</f>
        <v/>
      </c>
      <c r="D536" s="1" t="str">
        <f t="shared" si="8"/>
        <v/>
      </c>
    </row>
    <row r="537" spans="1:4" x14ac:dyDescent="0.2">
      <c r="A537" t="str">
        <f>IF(COUNTBLANK(B537:F537)&lt;&gt;COLUMNS(B537:F537),536,"")</f>
        <v/>
      </c>
      <c r="D537" s="1" t="str">
        <f t="shared" si="8"/>
        <v/>
      </c>
    </row>
    <row r="538" spans="1:4" x14ac:dyDescent="0.2">
      <c r="A538" t="str">
        <f>IF(COUNTBLANK(B538:F538)&lt;&gt;COLUMNS(B538:F538),537,"")</f>
        <v/>
      </c>
      <c r="D538" s="1" t="str">
        <f t="shared" si="8"/>
        <v/>
      </c>
    </row>
    <row r="539" spans="1:4" x14ac:dyDescent="0.2">
      <c r="A539" t="str">
        <f>IF(COUNTBLANK(B539:F539)&lt;&gt;COLUMNS(B539:F539),538,"")</f>
        <v/>
      </c>
      <c r="D539" s="1" t="str">
        <f t="shared" si="8"/>
        <v/>
      </c>
    </row>
    <row r="540" spans="1:4" x14ac:dyDescent="0.2">
      <c r="A540" t="str">
        <f>IF(COUNTBLANK(B540:F540)&lt;&gt;COLUMNS(B540:F540),539,"")</f>
        <v/>
      </c>
      <c r="D540" s="1" t="str">
        <f t="shared" si="8"/>
        <v/>
      </c>
    </row>
    <row r="541" spans="1:4" x14ac:dyDescent="0.2">
      <c r="A541" t="str">
        <f>IF(COUNTBLANK(B541:F541)&lt;&gt;COLUMNS(B541:F541),540,"")</f>
        <v/>
      </c>
      <c r="D541" s="1" t="str">
        <f t="shared" si="8"/>
        <v/>
      </c>
    </row>
    <row r="542" spans="1:4" x14ac:dyDescent="0.2">
      <c r="A542" t="str">
        <f>IF(COUNTBLANK(B542:F542)&lt;&gt;COLUMNS(B542:F542),541,"")</f>
        <v/>
      </c>
      <c r="D542" s="1" t="str">
        <f t="shared" si="8"/>
        <v/>
      </c>
    </row>
    <row r="543" spans="1:4" x14ac:dyDescent="0.2">
      <c r="A543" t="str">
        <f>IF(COUNTBLANK(B543:F543)&lt;&gt;COLUMNS(B543:F543),542,"")</f>
        <v/>
      </c>
      <c r="D543" s="1" t="str">
        <f t="shared" si="8"/>
        <v/>
      </c>
    </row>
    <row r="544" spans="1:4" x14ac:dyDescent="0.2">
      <c r="A544" t="str">
        <f>IF(COUNTBLANK(B544:F544)&lt;&gt;COLUMNS(B544:F544),543,"")</f>
        <v/>
      </c>
      <c r="D544" s="1" t="str">
        <f t="shared" si="8"/>
        <v/>
      </c>
    </row>
    <row r="545" spans="1:4" x14ac:dyDescent="0.2">
      <c r="A545" t="str">
        <f>IF(COUNTBLANK(B545:F545)&lt;&gt;COLUMNS(B545:F545),544,"")</f>
        <v/>
      </c>
      <c r="D545" s="1" t="str">
        <f t="shared" si="8"/>
        <v/>
      </c>
    </row>
    <row r="546" spans="1:4" x14ac:dyDescent="0.2">
      <c r="A546" t="str">
        <f>IF(COUNTBLANK(B546:F546)&lt;&gt;COLUMNS(B546:F546),545,"")</f>
        <v/>
      </c>
      <c r="D546" s="1" t="str">
        <f t="shared" si="8"/>
        <v/>
      </c>
    </row>
    <row r="547" spans="1:4" x14ac:dyDescent="0.2">
      <c r="A547" t="str">
        <f>IF(COUNTBLANK(B547:F547)&lt;&gt;COLUMNS(B547:F547),546,"")</f>
        <v/>
      </c>
      <c r="D547" s="1" t="str">
        <f t="shared" si="8"/>
        <v/>
      </c>
    </row>
    <row r="548" spans="1:4" x14ac:dyDescent="0.2">
      <c r="A548" t="str">
        <f>IF(COUNTBLANK(B548:F548)&lt;&gt;COLUMNS(B548:F548),547,"")</f>
        <v/>
      </c>
      <c r="D548" s="1" t="str">
        <f t="shared" si="8"/>
        <v/>
      </c>
    </row>
    <row r="549" spans="1:4" x14ac:dyDescent="0.2">
      <c r="A549" t="str">
        <f>IF(COUNTBLANK(B549:F549)&lt;&gt;COLUMNS(B549:F549),548,"")</f>
        <v/>
      </c>
      <c r="D549" s="1" t="str">
        <f t="shared" si="8"/>
        <v/>
      </c>
    </row>
    <row r="550" spans="1:4" x14ac:dyDescent="0.2">
      <c r="A550" t="str">
        <f>IF(COUNTBLANK(B550:F550)&lt;&gt;COLUMNS(B550:F550),549,"")</f>
        <v/>
      </c>
      <c r="D550" s="1" t="str">
        <f t="shared" si="8"/>
        <v/>
      </c>
    </row>
    <row r="551" spans="1:4" x14ac:dyDescent="0.2">
      <c r="A551" t="str">
        <f>IF(COUNTBLANK(B551:F551)&lt;&gt;COLUMNS(B551:F551),550,"")</f>
        <v/>
      </c>
      <c r="D551" s="1" t="str">
        <f t="shared" si="8"/>
        <v/>
      </c>
    </row>
    <row r="552" spans="1:4" x14ac:dyDescent="0.2">
      <c r="A552" t="str">
        <f>IF(COUNTBLANK(B552:F552)&lt;&gt;COLUMNS(B552:F552),551,"")</f>
        <v/>
      </c>
      <c r="D552" s="1" t="str">
        <f t="shared" si="8"/>
        <v/>
      </c>
    </row>
    <row r="553" spans="1:4" x14ac:dyDescent="0.2">
      <c r="A553" t="str">
        <f>IF(COUNTBLANK(B553:F553)&lt;&gt;COLUMNS(B553:F553),552,"")</f>
        <v/>
      </c>
      <c r="D553" s="1" t="str">
        <f t="shared" si="8"/>
        <v/>
      </c>
    </row>
    <row r="554" spans="1:4" x14ac:dyDescent="0.2">
      <c r="A554" t="str">
        <f>IF(COUNTBLANK(B554:F554)&lt;&gt;COLUMNS(B554:F554),553,"")</f>
        <v/>
      </c>
      <c r="D554" s="1" t="str">
        <f t="shared" si="8"/>
        <v/>
      </c>
    </row>
    <row r="555" spans="1:4" x14ac:dyDescent="0.2">
      <c r="A555" t="str">
        <f>IF(COUNTBLANK(B555:F555)&lt;&gt;COLUMNS(B555:F555),554,"")</f>
        <v/>
      </c>
      <c r="D555" s="1" t="str">
        <f t="shared" si="8"/>
        <v/>
      </c>
    </row>
    <row r="556" spans="1:4" x14ac:dyDescent="0.2">
      <c r="A556" t="str">
        <f>IF(COUNTBLANK(B556:F556)&lt;&gt;COLUMNS(B556:F556),555,"")</f>
        <v/>
      </c>
      <c r="D556" s="1" t="str">
        <f t="shared" si="8"/>
        <v/>
      </c>
    </row>
    <row r="557" spans="1:4" x14ac:dyDescent="0.2">
      <c r="A557" t="str">
        <f>IF(COUNTBLANK(B557:F557)&lt;&gt;COLUMNS(B557:F557),556,"")</f>
        <v/>
      </c>
      <c r="D557" s="1" t="str">
        <f t="shared" si="8"/>
        <v/>
      </c>
    </row>
    <row r="558" spans="1:4" x14ac:dyDescent="0.2">
      <c r="A558" t="str">
        <f>IF(COUNTBLANK(B558:F558)&lt;&gt;COLUMNS(B558:F558),557,"")</f>
        <v/>
      </c>
      <c r="D558" s="1" t="str">
        <f t="shared" si="8"/>
        <v/>
      </c>
    </row>
    <row r="559" spans="1:4" x14ac:dyDescent="0.2">
      <c r="A559" t="str">
        <f>IF(COUNTBLANK(B559:F559)&lt;&gt;COLUMNS(B559:F559),558,"")</f>
        <v/>
      </c>
      <c r="D559" s="1" t="str">
        <f t="shared" si="8"/>
        <v/>
      </c>
    </row>
    <row r="560" spans="1:4" x14ac:dyDescent="0.2">
      <c r="A560" t="str">
        <f>IF(COUNTBLANK(B560:F560)&lt;&gt;COLUMNS(B560:F560),559,"")</f>
        <v/>
      </c>
      <c r="D560" s="1" t="str">
        <f t="shared" si="8"/>
        <v/>
      </c>
    </row>
    <row r="561" spans="1:4" x14ac:dyDescent="0.2">
      <c r="A561" t="str">
        <f>IF(COUNTBLANK(B561:F561)&lt;&gt;COLUMNS(B561:F561),560,"")</f>
        <v/>
      </c>
      <c r="D561" s="1" t="str">
        <f t="shared" si="8"/>
        <v/>
      </c>
    </row>
    <row r="562" spans="1:4" x14ac:dyDescent="0.2">
      <c r="A562" t="str">
        <f>IF(COUNTBLANK(B562:F562)&lt;&gt;COLUMNS(B562:F562),561,"")</f>
        <v/>
      </c>
      <c r="D562" s="1" t="str">
        <f t="shared" si="8"/>
        <v/>
      </c>
    </row>
    <row r="563" spans="1:4" x14ac:dyDescent="0.2">
      <c r="A563" t="str">
        <f>IF(COUNTBLANK(B563:F563)&lt;&gt;COLUMNS(B563:F563),562,"")</f>
        <v/>
      </c>
      <c r="D563" s="1" t="str">
        <f t="shared" si="8"/>
        <v/>
      </c>
    </row>
    <row r="564" spans="1:4" x14ac:dyDescent="0.2">
      <c r="A564" t="str">
        <f>IF(COUNTBLANK(B564:F564)&lt;&gt;COLUMNS(B564:F564),563,"")</f>
        <v/>
      </c>
      <c r="D564" s="1" t="str">
        <f t="shared" si="8"/>
        <v/>
      </c>
    </row>
    <row r="565" spans="1:4" x14ac:dyDescent="0.2">
      <c r="A565" t="str">
        <f>IF(COUNTBLANK(B565:F565)&lt;&gt;COLUMNS(B565:F565),564,"")</f>
        <v/>
      </c>
      <c r="D565" s="1" t="str">
        <f t="shared" si="8"/>
        <v/>
      </c>
    </row>
    <row r="566" spans="1:4" x14ac:dyDescent="0.2">
      <c r="A566" t="str">
        <f>IF(COUNTBLANK(B566:F566)&lt;&gt;COLUMNS(B566:F566),565,"")</f>
        <v/>
      </c>
      <c r="D566" s="1" t="str">
        <f t="shared" si="8"/>
        <v/>
      </c>
    </row>
    <row r="567" spans="1:4" x14ac:dyDescent="0.2">
      <c r="A567" t="str">
        <f>IF(COUNTBLANK(B567:F567)&lt;&gt;COLUMNS(B567:F567),566,"")</f>
        <v/>
      </c>
      <c r="D567" s="1" t="str">
        <f t="shared" si="8"/>
        <v/>
      </c>
    </row>
    <row r="568" spans="1:4" x14ac:dyDescent="0.2">
      <c r="A568" t="str">
        <f>IF(COUNTBLANK(B568:F568)&lt;&gt;COLUMNS(B568:F568),567,"")</f>
        <v/>
      </c>
      <c r="D568" s="1" t="str">
        <f t="shared" si="8"/>
        <v/>
      </c>
    </row>
    <row r="569" spans="1:4" x14ac:dyDescent="0.2">
      <c r="A569" t="str">
        <f>IF(COUNTBLANK(B569:F569)&lt;&gt;COLUMNS(B569:F569),568,"")</f>
        <v/>
      </c>
      <c r="D569" s="1" t="str">
        <f t="shared" si="8"/>
        <v/>
      </c>
    </row>
    <row r="570" spans="1:4" x14ac:dyDescent="0.2">
      <c r="A570" t="str">
        <f>IF(COUNTBLANK(B570:F570)&lt;&gt;COLUMNS(B570:F570),569,"")</f>
        <v/>
      </c>
      <c r="D570" s="1" t="str">
        <f t="shared" si="8"/>
        <v/>
      </c>
    </row>
    <row r="571" spans="1:4" x14ac:dyDescent="0.2">
      <c r="A571" t="str">
        <f>IF(COUNTBLANK(B571:F571)&lt;&gt;COLUMNS(B571:F571),570,"")</f>
        <v/>
      </c>
      <c r="D571" s="1" t="str">
        <f t="shared" si="8"/>
        <v/>
      </c>
    </row>
    <row r="572" spans="1:4" x14ac:dyDescent="0.2">
      <c r="A572" t="str">
        <f>IF(COUNTBLANK(B572:F572)&lt;&gt;COLUMNS(B572:F572),571,"")</f>
        <v/>
      </c>
      <c r="D572" s="1" t="str">
        <f t="shared" si="8"/>
        <v/>
      </c>
    </row>
    <row r="573" spans="1:4" x14ac:dyDescent="0.2">
      <c r="A573" t="str">
        <f>IF(COUNTBLANK(B573:F573)&lt;&gt;COLUMNS(B573:F573),572,"")</f>
        <v/>
      </c>
      <c r="D573" s="1" t="str">
        <f t="shared" si="8"/>
        <v/>
      </c>
    </row>
    <row r="574" spans="1:4" x14ac:dyDescent="0.2">
      <c r="A574" t="str">
        <f>IF(COUNTBLANK(B574:F574)&lt;&gt;COLUMNS(B574:F574),573,"")</f>
        <v/>
      </c>
      <c r="D574" s="1" t="str">
        <f t="shared" si="8"/>
        <v/>
      </c>
    </row>
    <row r="575" spans="1:4" x14ac:dyDescent="0.2">
      <c r="A575" t="str">
        <f>IF(COUNTBLANK(B575:F575)&lt;&gt;COLUMNS(B575:F575),574,"")</f>
        <v/>
      </c>
      <c r="D575" s="1" t="str">
        <f t="shared" si="8"/>
        <v/>
      </c>
    </row>
    <row r="576" spans="1:4" x14ac:dyDescent="0.2">
      <c r="A576" t="str">
        <f>IF(COUNTBLANK(B576:F576)&lt;&gt;COLUMNS(B576:F576),575,"")</f>
        <v/>
      </c>
      <c r="D576" s="1" t="str">
        <f t="shared" si="8"/>
        <v/>
      </c>
    </row>
    <row r="577" spans="1:4" x14ac:dyDescent="0.2">
      <c r="A577" t="str">
        <f>IF(COUNTBLANK(B577:F577)&lt;&gt;COLUMNS(B577:F577),576,"")</f>
        <v/>
      </c>
      <c r="D577" s="1" t="str">
        <f t="shared" si="8"/>
        <v/>
      </c>
    </row>
    <row r="578" spans="1:4" x14ac:dyDescent="0.2">
      <c r="A578" t="str">
        <f>IF(COUNTBLANK(B578:F578)&lt;&gt;COLUMNS(B578:F578),577,"")</f>
        <v/>
      </c>
      <c r="D578" s="1" t="str">
        <f t="shared" ref="D578:D641" si="9">IF(B578="", "", "f")</f>
        <v/>
      </c>
    </row>
    <row r="579" spans="1:4" x14ac:dyDescent="0.2">
      <c r="A579" t="str">
        <f>IF(COUNTBLANK(B579:F579)&lt;&gt;COLUMNS(B579:F579),578,"")</f>
        <v/>
      </c>
      <c r="D579" s="1" t="str">
        <f t="shared" si="9"/>
        <v/>
      </c>
    </row>
    <row r="580" spans="1:4" x14ac:dyDescent="0.2">
      <c r="A580" t="str">
        <f>IF(COUNTBLANK(B580:F580)&lt;&gt;COLUMNS(B580:F580),579,"")</f>
        <v/>
      </c>
      <c r="D580" s="1" t="str">
        <f t="shared" si="9"/>
        <v/>
      </c>
    </row>
    <row r="581" spans="1:4" x14ac:dyDescent="0.2">
      <c r="A581" t="str">
        <f>IF(COUNTBLANK(B581:F581)&lt;&gt;COLUMNS(B581:F581),580,"")</f>
        <v/>
      </c>
      <c r="D581" s="1" t="str">
        <f t="shared" si="9"/>
        <v/>
      </c>
    </row>
    <row r="582" spans="1:4" x14ac:dyDescent="0.2">
      <c r="A582" t="str">
        <f>IF(COUNTBLANK(B582:F582)&lt;&gt;COLUMNS(B582:F582),581,"")</f>
        <v/>
      </c>
      <c r="D582" s="1" t="str">
        <f t="shared" si="9"/>
        <v/>
      </c>
    </row>
    <row r="583" spans="1:4" x14ac:dyDescent="0.2">
      <c r="A583" t="str">
        <f>IF(COUNTBLANK(B583:F583)&lt;&gt;COLUMNS(B583:F583),582,"")</f>
        <v/>
      </c>
      <c r="D583" s="1" t="str">
        <f t="shared" si="9"/>
        <v/>
      </c>
    </row>
    <row r="584" spans="1:4" x14ac:dyDescent="0.2">
      <c r="A584" t="str">
        <f>IF(COUNTBLANK(B584:F584)&lt;&gt;COLUMNS(B584:F584),583,"")</f>
        <v/>
      </c>
      <c r="D584" s="1" t="str">
        <f t="shared" si="9"/>
        <v/>
      </c>
    </row>
    <row r="585" spans="1:4" x14ac:dyDescent="0.2">
      <c r="A585" t="str">
        <f>IF(COUNTBLANK(B585:F585)&lt;&gt;COLUMNS(B585:F585),584,"")</f>
        <v/>
      </c>
      <c r="D585" s="1" t="str">
        <f t="shared" si="9"/>
        <v/>
      </c>
    </row>
    <row r="586" spans="1:4" x14ac:dyDescent="0.2">
      <c r="A586" t="str">
        <f>IF(COUNTBLANK(B586:F586)&lt;&gt;COLUMNS(B586:F586),585,"")</f>
        <v/>
      </c>
      <c r="D586" s="1" t="str">
        <f t="shared" si="9"/>
        <v/>
      </c>
    </row>
    <row r="587" spans="1:4" x14ac:dyDescent="0.2">
      <c r="A587" t="str">
        <f>IF(COUNTBLANK(B587:F587)&lt;&gt;COLUMNS(B587:F587),586,"")</f>
        <v/>
      </c>
      <c r="D587" s="1" t="str">
        <f t="shared" si="9"/>
        <v/>
      </c>
    </row>
    <row r="588" spans="1:4" x14ac:dyDescent="0.2">
      <c r="A588" t="str">
        <f>IF(COUNTBLANK(B588:F588)&lt;&gt;COLUMNS(B588:F588),587,"")</f>
        <v/>
      </c>
      <c r="D588" s="1" t="str">
        <f t="shared" si="9"/>
        <v/>
      </c>
    </row>
    <row r="589" spans="1:4" x14ac:dyDescent="0.2">
      <c r="A589" t="str">
        <f>IF(COUNTBLANK(B589:F589)&lt;&gt;COLUMNS(B589:F589),588,"")</f>
        <v/>
      </c>
      <c r="D589" s="1" t="str">
        <f t="shared" si="9"/>
        <v/>
      </c>
    </row>
    <row r="590" spans="1:4" x14ac:dyDescent="0.2">
      <c r="A590" t="str">
        <f>IF(COUNTBLANK(B590:F590)&lt;&gt;COLUMNS(B590:F590),589,"")</f>
        <v/>
      </c>
      <c r="D590" s="1" t="str">
        <f t="shared" si="9"/>
        <v/>
      </c>
    </row>
    <row r="591" spans="1:4" x14ac:dyDescent="0.2">
      <c r="A591" t="str">
        <f>IF(COUNTBLANK(B591:F591)&lt;&gt;COLUMNS(B591:F591),590,"")</f>
        <v/>
      </c>
      <c r="D591" s="1" t="str">
        <f t="shared" si="9"/>
        <v/>
      </c>
    </row>
    <row r="592" spans="1:4" x14ac:dyDescent="0.2">
      <c r="A592" t="str">
        <f>IF(COUNTBLANK(B592:F592)&lt;&gt;COLUMNS(B592:F592),591,"")</f>
        <v/>
      </c>
      <c r="D592" s="1" t="str">
        <f t="shared" si="9"/>
        <v/>
      </c>
    </row>
    <row r="593" spans="1:4" x14ac:dyDescent="0.2">
      <c r="A593" t="str">
        <f>IF(COUNTBLANK(B593:F593)&lt;&gt;COLUMNS(B593:F593),592,"")</f>
        <v/>
      </c>
      <c r="D593" s="1" t="str">
        <f t="shared" si="9"/>
        <v/>
      </c>
    </row>
    <row r="594" spans="1:4" x14ac:dyDescent="0.2">
      <c r="A594" t="str">
        <f>IF(COUNTBLANK(B594:F594)&lt;&gt;COLUMNS(B594:F594),593,"")</f>
        <v/>
      </c>
      <c r="D594" s="1" t="str">
        <f t="shared" si="9"/>
        <v/>
      </c>
    </row>
    <row r="595" spans="1:4" x14ac:dyDescent="0.2">
      <c r="A595" t="str">
        <f>IF(COUNTBLANK(B595:F595)&lt;&gt;COLUMNS(B595:F595),594,"")</f>
        <v/>
      </c>
      <c r="D595" s="1" t="str">
        <f t="shared" si="9"/>
        <v/>
      </c>
    </row>
    <row r="596" spans="1:4" x14ac:dyDescent="0.2">
      <c r="A596" t="str">
        <f>IF(COUNTBLANK(B596:F596)&lt;&gt;COLUMNS(B596:F596),595,"")</f>
        <v/>
      </c>
      <c r="D596" s="1" t="str">
        <f t="shared" si="9"/>
        <v/>
      </c>
    </row>
    <row r="597" spans="1:4" x14ac:dyDescent="0.2">
      <c r="A597" t="str">
        <f>IF(COUNTBLANK(B597:F597)&lt;&gt;COLUMNS(B597:F597),596,"")</f>
        <v/>
      </c>
      <c r="D597" s="1" t="str">
        <f t="shared" si="9"/>
        <v/>
      </c>
    </row>
    <row r="598" spans="1:4" x14ac:dyDescent="0.2">
      <c r="A598" t="str">
        <f>IF(COUNTBLANK(B598:F598)&lt;&gt;COLUMNS(B598:F598),597,"")</f>
        <v/>
      </c>
      <c r="D598" s="1" t="str">
        <f t="shared" si="9"/>
        <v/>
      </c>
    </row>
    <row r="599" spans="1:4" x14ac:dyDescent="0.2">
      <c r="A599" t="str">
        <f>IF(COUNTBLANK(B599:F599)&lt;&gt;COLUMNS(B599:F599),598,"")</f>
        <v/>
      </c>
      <c r="D599" s="1" t="str">
        <f t="shared" si="9"/>
        <v/>
      </c>
    </row>
    <row r="600" spans="1:4" x14ac:dyDescent="0.2">
      <c r="A600" t="str">
        <f>IF(COUNTBLANK(B600:F600)&lt;&gt;COLUMNS(B600:F600),599,"")</f>
        <v/>
      </c>
      <c r="D600" s="1" t="str">
        <f t="shared" si="9"/>
        <v/>
      </c>
    </row>
    <row r="601" spans="1:4" x14ac:dyDescent="0.2">
      <c r="A601" t="str">
        <f>IF(COUNTBLANK(B601:F601)&lt;&gt;COLUMNS(B601:F601),600,"")</f>
        <v/>
      </c>
      <c r="D601" s="1" t="str">
        <f t="shared" si="9"/>
        <v/>
      </c>
    </row>
    <row r="602" spans="1:4" x14ac:dyDescent="0.2">
      <c r="A602" t="str">
        <f>IF(COUNTBLANK(B602:F602)&lt;&gt;COLUMNS(B602:F602),601,"")</f>
        <v/>
      </c>
      <c r="D602" s="1" t="str">
        <f t="shared" si="9"/>
        <v/>
      </c>
    </row>
    <row r="603" spans="1:4" x14ac:dyDescent="0.2">
      <c r="A603" t="str">
        <f>IF(COUNTBLANK(B603:F603)&lt;&gt;COLUMNS(B603:F603),602,"")</f>
        <v/>
      </c>
      <c r="D603" s="1" t="str">
        <f t="shared" si="9"/>
        <v/>
      </c>
    </row>
    <row r="604" spans="1:4" x14ac:dyDescent="0.2">
      <c r="A604" t="str">
        <f>IF(COUNTBLANK(B604:F604)&lt;&gt;COLUMNS(B604:F604),603,"")</f>
        <v/>
      </c>
      <c r="D604" s="1" t="str">
        <f t="shared" si="9"/>
        <v/>
      </c>
    </row>
    <row r="605" spans="1:4" x14ac:dyDescent="0.2">
      <c r="A605" t="str">
        <f>IF(COUNTBLANK(B605:F605)&lt;&gt;COLUMNS(B605:F605),604,"")</f>
        <v/>
      </c>
      <c r="D605" s="1" t="str">
        <f t="shared" si="9"/>
        <v/>
      </c>
    </row>
    <row r="606" spans="1:4" x14ac:dyDescent="0.2">
      <c r="A606" t="str">
        <f>IF(COUNTBLANK(B606:F606)&lt;&gt;COLUMNS(B606:F606),605,"")</f>
        <v/>
      </c>
      <c r="D606" s="1" t="str">
        <f t="shared" si="9"/>
        <v/>
      </c>
    </row>
    <row r="607" spans="1:4" x14ac:dyDescent="0.2">
      <c r="A607" t="str">
        <f>IF(COUNTBLANK(B607:F607)&lt;&gt;COLUMNS(B607:F607),606,"")</f>
        <v/>
      </c>
      <c r="D607" s="1" t="str">
        <f t="shared" si="9"/>
        <v/>
      </c>
    </row>
    <row r="608" spans="1:4" x14ac:dyDescent="0.2">
      <c r="A608" t="str">
        <f>IF(COUNTBLANK(B608:F608)&lt;&gt;COLUMNS(B608:F608),607,"")</f>
        <v/>
      </c>
      <c r="D608" s="1" t="str">
        <f t="shared" si="9"/>
        <v/>
      </c>
    </row>
    <row r="609" spans="1:4" x14ac:dyDescent="0.2">
      <c r="A609" t="str">
        <f>IF(COUNTBLANK(B609:F609)&lt;&gt;COLUMNS(B609:F609),608,"")</f>
        <v/>
      </c>
      <c r="D609" s="1" t="str">
        <f t="shared" si="9"/>
        <v/>
      </c>
    </row>
    <row r="610" spans="1:4" x14ac:dyDescent="0.2">
      <c r="A610" t="str">
        <f>IF(COUNTBLANK(B610:F610)&lt;&gt;COLUMNS(B610:F610),609,"")</f>
        <v/>
      </c>
      <c r="D610" s="1" t="str">
        <f t="shared" si="9"/>
        <v/>
      </c>
    </row>
    <row r="611" spans="1:4" x14ac:dyDescent="0.2">
      <c r="A611" t="str">
        <f>IF(COUNTBLANK(B611:F611)&lt;&gt;COLUMNS(B611:F611),610,"")</f>
        <v/>
      </c>
      <c r="D611" s="1" t="str">
        <f t="shared" si="9"/>
        <v/>
      </c>
    </row>
    <row r="612" spans="1:4" x14ac:dyDescent="0.2">
      <c r="A612" t="str">
        <f>IF(COUNTBLANK(B612:F612)&lt;&gt;COLUMNS(B612:F612),611,"")</f>
        <v/>
      </c>
      <c r="D612" s="1" t="str">
        <f t="shared" si="9"/>
        <v/>
      </c>
    </row>
    <row r="613" spans="1:4" x14ac:dyDescent="0.2">
      <c r="A613" t="str">
        <f>IF(COUNTBLANK(B613:F613)&lt;&gt;COLUMNS(B613:F613),612,"")</f>
        <v/>
      </c>
      <c r="D613" s="1" t="str">
        <f t="shared" si="9"/>
        <v/>
      </c>
    </row>
    <row r="614" spans="1:4" x14ac:dyDescent="0.2">
      <c r="A614" t="str">
        <f>IF(COUNTBLANK(B614:F614)&lt;&gt;COLUMNS(B614:F614),613,"")</f>
        <v/>
      </c>
      <c r="D614" s="1" t="str">
        <f t="shared" si="9"/>
        <v/>
      </c>
    </row>
    <row r="615" spans="1:4" x14ac:dyDescent="0.2">
      <c r="A615" t="str">
        <f>IF(COUNTBLANK(B615:F615)&lt;&gt;COLUMNS(B615:F615),614,"")</f>
        <v/>
      </c>
      <c r="D615" s="1" t="str">
        <f t="shared" si="9"/>
        <v/>
      </c>
    </row>
    <row r="616" spans="1:4" x14ac:dyDescent="0.2">
      <c r="A616" t="str">
        <f>IF(COUNTBLANK(B616:F616)&lt;&gt;COLUMNS(B616:F616),615,"")</f>
        <v/>
      </c>
      <c r="D616" s="1" t="str">
        <f t="shared" si="9"/>
        <v/>
      </c>
    </row>
    <row r="617" spans="1:4" x14ac:dyDescent="0.2">
      <c r="A617" t="str">
        <f>IF(COUNTBLANK(B617:F617)&lt;&gt;COLUMNS(B617:F617),616,"")</f>
        <v/>
      </c>
      <c r="D617" s="1" t="str">
        <f t="shared" si="9"/>
        <v/>
      </c>
    </row>
    <row r="618" spans="1:4" x14ac:dyDescent="0.2">
      <c r="A618" t="str">
        <f>IF(COUNTBLANK(B618:F618)&lt;&gt;COLUMNS(B618:F618),617,"")</f>
        <v/>
      </c>
      <c r="D618" s="1" t="str">
        <f t="shared" si="9"/>
        <v/>
      </c>
    </row>
    <row r="619" spans="1:4" x14ac:dyDescent="0.2">
      <c r="A619" t="str">
        <f>IF(COUNTBLANK(B619:F619)&lt;&gt;COLUMNS(B619:F619),618,"")</f>
        <v/>
      </c>
      <c r="D619" s="1" t="str">
        <f t="shared" si="9"/>
        <v/>
      </c>
    </row>
    <row r="620" spans="1:4" x14ac:dyDescent="0.2">
      <c r="A620" t="str">
        <f>IF(COUNTBLANK(B620:F620)&lt;&gt;COLUMNS(B620:F620),619,"")</f>
        <v/>
      </c>
      <c r="D620" s="1" t="str">
        <f t="shared" si="9"/>
        <v/>
      </c>
    </row>
    <row r="621" spans="1:4" x14ac:dyDescent="0.2">
      <c r="A621" t="str">
        <f>IF(COUNTBLANK(B621:F621)&lt;&gt;COLUMNS(B621:F621),620,"")</f>
        <v/>
      </c>
      <c r="D621" s="1" t="str">
        <f t="shared" si="9"/>
        <v/>
      </c>
    </row>
    <row r="622" spans="1:4" x14ac:dyDescent="0.2">
      <c r="A622" t="str">
        <f>IF(COUNTBLANK(B622:F622)&lt;&gt;COLUMNS(B622:F622),621,"")</f>
        <v/>
      </c>
      <c r="D622" s="1" t="str">
        <f t="shared" si="9"/>
        <v/>
      </c>
    </row>
    <row r="623" spans="1:4" x14ac:dyDescent="0.2">
      <c r="A623" t="str">
        <f>IF(COUNTBLANK(B623:F623)&lt;&gt;COLUMNS(B623:F623),622,"")</f>
        <v/>
      </c>
      <c r="D623" s="1" t="str">
        <f t="shared" si="9"/>
        <v/>
      </c>
    </row>
    <row r="624" spans="1:4" x14ac:dyDescent="0.2">
      <c r="A624" t="str">
        <f>IF(COUNTBLANK(B624:F624)&lt;&gt;COLUMNS(B624:F624),623,"")</f>
        <v/>
      </c>
      <c r="D624" s="1" t="str">
        <f t="shared" si="9"/>
        <v/>
      </c>
    </row>
    <row r="625" spans="1:4" x14ac:dyDescent="0.2">
      <c r="A625" t="str">
        <f>IF(COUNTBLANK(B625:F625)&lt;&gt;COLUMNS(B625:F625),624,"")</f>
        <v/>
      </c>
      <c r="D625" s="1" t="str">
        <f t="shared" si="9"/>
        <v/>
      </c>
    </row>
    <row r="626" spans="1:4" x14ac:dyDescent="0.2">
      <c r="A626" t="str">
        <f>IF(COUNTBLANK(B626:F626)&lt;&gt;COLUMNS(B626:F626),625,"")</f>
        <v/>
      </c>
      <c r="D626" s="1" t="str">
        <f t="shared" si="9"/>
        <v/>
      </c>
    </row>
    <row r="627" spans="1:4" x14ac:dyDescent="0.2">
      <c r="A627" t="str">
        <f>IF(COUNTBLANK(B627:F627)&lt;&gt;COLUMNS(B627:F627),626,"")</f>
        <v/>
      </c>
      <c r="D627" s="1" t="str">
        <f t="shared" si="9"/>
        <v/>
      </c>
    </row>
    <row r="628" spans="1:4" x14ac:dyDescent="0.2">
      <c r="A628" t="str">
        <f>IF(COUNTBLANK(B628:F628)&lt;&gt;COLUMNS(B628:F628),627,"")</f>
        <v/>
      </c>
      <c r="D628" s="1" t="str">
        <f t="shared" si="9"/>
        <v/>
      </c>
    </row>
    <row r="629" spans="1:4" x14ac:dyDescent="0.2">
      <c r="A629" t="str">
        <f>IF(COUNTBLANK(B629:F629)&lt;&gt;COLUMNS(B629:F629),628,"")</f>
        <v/>
      </c>
      <c r="D629" s="1" t="str">
        <f t="shared" si="9"/>
        <v/>
      </c>
    </row>
    <row r="630" spans="1:4" x14ac:dyDescent="0.2">
      <c r="A630" t="str">
        <f>IF(COUNTBLANK(B630:F630)&lt;&gt;COLUMNS(B630:F630),629,"")</f>
        <v/>
      </c>
      <c r="D630" s="1" t="str">
        <f t="shared" si="9"/>
        <v/>
      </c>
    </row>
    <row r="631" spans="1:4" x14ac:dyDescent="0.2">
      <c r="A631" t="str">
        <f>IF(COUNTBLANK(B631:F631)&lt;&gt;COLUMNS(B631:F631),630,"")</f>
        <v/>
      </c>
      <c r="D631" s="1" t="str">
        <f t="shared" si="9"/>
        <v/>
      </c>
    </row>
    <row r="632" spans="1:4" x14ac:dyDescent="0.2">
      <c r="A632" t="str">
        <f>IF(COUNTBLANK(B632:F632)&lt;&gt;COLUMNS(B632:F632),631,"")</f>
        <v/>
      </c>
      <c r="D632" s="1" t="str">
        <f t="shared" si="9"/>
        <v/>
      </c>
    </row>
    <row r="633" spans="1:4" x14ac:dyDescent="0.2">
      <c r="A633" t="str">
        <f>IF(COUNTBLANK(B633:F633)&lt;&gt;COLUMNS(B633:F633),632,"")</f>
        <v/>
      </c>
      <c r="D633" s="1" t="str">
        <f t="shared" si="9"/>
        <v/>
      </c>
    </row>
    <row r="634" spans="1:4" x14ac:dyDescent="0.2">
      <c r="A634" t="str">
        <f>IF(COUNTBLANK(B634:F634)&lt;&gt;COLUMNS(B634:F634),633,"")</f>
        <v/>
      </c>
      <c r="D634" s="1" t="str">
        <f t="shared" si="9"/>
        <v/>
      </c>
    </row>
    <row r="635" spans="1:4" x14ac:dyDescent="0.2">
      <c r="A635" t="str">
        <f>IF(COUNTBLANK(B635:F635)&lt;&gt;COLUMNS(B635:F635),634,"")</f>
        <v/>
      </c>
      <c r="D635" s="1" t="str">
        <f t="shared" si="9"/>
        <v/>
      </c>
    </row>
    <row r="636" spans="1:4" x14ac:dyDescent="0.2">
      <c r="A636" t="str">
        <f>IF(COUNTBLANK(B636:F636)&lt;&gt;COLUMNS(B636:F636),635,"")</f>
        <v/>
      </c>
      <c r="D636" s="1" t="str">
        <f t="shared" si="9"/>
        <v/>
      </c>
    </row>
    <row r="637" spans="1:4" x14ac:dyDescent="0.2">
      <c r="A637" t="str">
        <f>IF(COUNTBLANK(B637:F637)&lt;&gt;COLUMNS(B637:F637),636,"")</f>
        <v/>
      </c>
      <c r="D637" s="1" t="str">
        <f t="shared" si="9"/>
        <v/>
      </c>
    </row>
    <row r="638" spans="1:4" x14ac:dyDescent="0.2">
      <c r="A638" t="str">
        <f>IF(COUNTBLANK(B638:F638)&lt;&gt;COLUMNS(B638:F638),637,"")</f>
        <v/>
      </c>
      <c r="D638" s="1" t="str">
        <f t="shared" si="9"/>
        <v/>
      </c>
    </row>
    <row r="639" spans="1:4" x14ac:dyDescent="0.2">
      <c r="A639" t="str">
        <f>IF(COUNTBLANK(B639:F639)&lt;&gt;COLUMNS(B639:F639),638,"")</f>
        <v/>
      </c>
      <c r="D639" s="1" t="str">
        <f t="shared" si="9"/>
        <v/>
      </c>
    </row>
    <row r="640" spans="1:4" x14ac:dyDescent="0.2">
      <c r="A640" t="str">
        <f>IF(COUNTBLANK(B640:F640)&lt;&gt;COLUMNS(B640:F640),639,"")</f>
        <v/>
      </c>
      <c r="D640" s="1" t="str">
        <f t="shared" si="9"/>
        <v/>
      </c>
    </row>
    <row r="641" spans="1:4" x14ac:dyDescent="0.2">
      <c r="A641" t="str">
        <f>IF(COUNTBLANK(B641:F641)&lt;&gt;COLUMNS(B641:F641),640,"")</f>
        <v/>
      </c>
      <c r="D641" s="1" t="str">
        <f t="shared" si="9"/>
        <v/>
      </c>
    </row>
    <row r="642" spans="1:4" x14ac:dyDescent="0.2">
      <c r="A642" t="str">
        <f>IF(COUNTBLANK(B642:F642)&lt;&gt;COLUMNS(B642:F642),641,"")</f>
        <v/>
      </c>
      <c r="D642" s="1" t="str">
        <f t="shared" ref="D642:D705" si="10">IF(B642="", "", "f")</f>
        <v/>
      </c>
    </row>
    <row r="643" spans="1:4" x14ac:dyDescent="0.2">
      <c r="A643" t="str">
        <f>IF(COUNTBLANK(B643:F643)&lt;&gt;COLUMNS(B643:F643),642,"")</f>
        <v/>
      </c>
      <c r="D643" s="1" t="str">
        <f t="shared" si="10"/>
        <v/>
      </c>
    </row>
    <row r="644" spans="1:4" x14ac:dyDescent="0.2">
      <c r="A644" t="str">
        <f>IF(COUNTBLANK(B644:F644)&lt;&gt;COLUMNS(B644:F644),643,"")</f>
        <v/>
      </c>
      <c r="D644" s="1" t="str">
        <f t="shared" si="10"/>
        <v/>
      </c>
    </row>
    <row r="645" spans="1:4" x14ac:dyDescent="0.2">
      <c r="A645" t="str">
        <f>IF(COUNTBLANK(B645:F645)&lt;&gt;COLUMNS(B645:F645),644,"")</f>
        <v/>
      </c>
      <c r="D645" s="1" t="str">
        <f t="shared" si="10"/>
        <v/>
      </c>
    </row>
    <row r="646" spans="1:4" x14ac:dyDescent="0.2">
      <c r="A646" t="str">
        <f>IF(COUNTBLANK(B646:F646)&lt;&gt;COLUMNS(B646:F646),645,"")</f>
        <v/>
      </c>
      <c r="D646" s="1" t="str">
        <f t="shared" si="10"/>
        <v/>
      </c>
    </row>
    <row r="647" spans="1:4" x14ac:dyDescent="0.2">
      <c r="A647" t="str">
        <f>IF(COUNTBLANK(B647:F647)&lt;&gt;COLUMNS(B647:F647),646,"")</f>
        <v/>
      </c>
      <c r="D647" s="1" t="str">
        <f t="shared" si="10"/>
        <v/>
      </c>
    </row>
    <row r="648" spans="1:4" x14ac:dyDescent="0.2">
      <c r="A648" t="str">
        <f>IF(COUNTBLANK(B648:F648)&lt;&gt;COLUMNS(B648:F648),647,"")</f>
        <v/>
      </c>
      <c r="D648" s="1" t="str">
        <f t="shared" si="10"/>
        <v/>
      </c>
    </row>
    <row r="649" spans="1:4" x14ac:dyDescent="0.2">
      <c r="A649" t="str">
        <f>IF(COUNTBLANK(B649:F649)&lt;&gt;COLUMNS(B649:F649),648,"")</f>
        <v/>
      </c>
      <c r="D649" s="1" t="str">
        <f t="shared" si="10"/>
        <v/>
      </c>
    </row>
    <row r="650" spans="1:4" x14ac:dyDescent="0.2">
      <c r="A650" t="str">
        <f>IF(COUNTBLANK(B650:F650)&lt;&gt;COLUMNS(B650:F650),649,"")</f>
        <v/>
      </c>
      <c r="D650" s="1" t="str">
        <f t="shared" si="10"/>
        <v/>
      </c>
    </row>
    <row r="651" spans="1:4" x14ac:dyDescent="0.2">
      <c r="A651" t="str">
        <f>IF(COUNTBLANK(B651:F651)&lt;&gt;COLUMNS(B651:F651),650,"")</f>
        <v/>
      </c>
      <c r="D651" s="1" t="str">
        <f t="shared" si="10"/>
        <v/>
      </c>
    </row>
    <row r="652" spans="1:4" x14ac:dyDescent="0.2">
      <c r="A652" t="str">
        <f>IF(COUNTBLANK(B652:F652)&lt;&gt;COLUMNS(B652:F652),651,"")</f>
        <v/>
      </c>
      <c r="D652" s="1" t="str">
        <f t="shared" si="10"/>
        <v/>
      </c>
    </row>
    <row r="653" spans="1:4" x14ac:dyDescent="0.2">
      <c r="A653" t="str">
        <f>IF(COUNTBLANK(B653:F653)&lt;&gt;COLUMNS(B653:F653),652,"")</f>
        <v/>
      </c>
      <c r="D653" s="1" t="str">
        <f t="shared" si="10"/>
        <v/>
      </c>
    </row>
    <row r="654" spans="1:4" x14ac:dyDescent="0.2">
      <c r="A654" t="str">
        <f>IF(COUNTBLANK(B654:F654)&lt;&gt;COLUMNS(B654:F654),653,"")</f>
        <v/>
      </c>
      <c r="D654" s="1" t="str">
        <f t="shared" si="10"/>
        <v/>
      </c>
    </row>
    <row r="655" spans="1:4" x14ac:dyDescent="0.2">
      <c r="A655" t="str">
        <f>IF(COUNTBLANK(B655:F655)&lt;&gt;COLUMNS(B655:F655),654,"")</f>
        <v/>
      </c>
      <c r="D655" s="1" t="str">
        <f t="shared" si="10"/>
        <v/>
      </c>
    </row>
    <row r="656" spans="1:4" x14ac:dyDescent="0.2">
      <c r="A656" t="str">
        <f>IF(COUNTBLANK(B656:F656)&lt;&gt;COLUMNS(B656:F656),655,"")</f>
        <v/>
      </c>
      <c r="D656" s="1" t="str">
        <f t="shared" si="10"/>
        <v/>
      </c>
    </row>
    <row r="657" spans="1:4" x14ac:dyDescent="0.2">
      <c r="A657" t="str">
        <f>IF(COUNTBLANK(B657:F657)&lt;&gt;COLUMNS(B657:F657),656,"")</f>
        <v/>
      </c>
      <c r="D657" s="1" t="str">
        <f t="shared" si="10"/>
        <v/>
      </c>
    </row>
    <row r="658" spans="1:4" x14ac:dyDescent="0.2">
      <c r="A658" t="str">
        <f>IF(COUNTBLANK(B658:F658)&lt;&gt;COLUMNS(B658:F658),657,"")</f>
        <v/>
      </c>
      <c r="D658" s="1" t="str">
        <f t="shared" si="10"/>
        <v/>
      </c>
    </row>
    <row r="659" spans="1:4" x14ac:dyDescent="0.2">
      <c r="A659" t="str">
        <f>IF(COUNTBLANK(B659:F659)&lt;&gt;COLUMNS(B659:F659),658,"")</f>
        <v/>
      </c>
      <c r="D659" s="1" t="str">
        <f t="shared" si="10"/>
        <v/>
      </c>
    </row>
    <row r="660" spans="1:4" x14ac:dyDescent="0.2">
      <c r="A660" t="str">
        <f>IF(COUNTBLANK(B660:F660)&lt;&gt;COLUMNS(B660:F660),659,"")</f>
        <v/>
      </c>
      <c r="D660" s="1" t="str">
        <f t="shared" si="10"/>
        <v/>
      </c>
    </row>
    <row r="661" spans="1:4" x14ac:dyDescent="0.2">
      <c r="A661" t="str">
        <f>IF(COUNTBLANK(B661:F661)&lt;&gt;COLUMNS(B661:F661),660,"")</f>
        <v/>
      </c>
      <c r="D661" s="1" t="str">
        <f t="shared" si="10"/>
        <v/>
      </c>
    </row>
    <row r="662" spans="1:4" x14ac:dyDescent="0.2">
      <c r="A662" t="str">
        <f>IF(COUNTBLANK(B662:F662)&lt;&gt;COLUMNS(B662:F662),661,"")</f>
        <v/>
      </c>
      <c r="D662" s="1" t="str">
        <f t="shared" si="10"/>
        <v/>
      </c>
    </row>
    <row r="663" spans="1:4" x14ac:dyDescent="0.2">
      <c r="A663" t="str">
        <f>IF(COUNTBLANK(B663:F663)&lt;&gt;COLUMNS(B663:F663),662,"")</f>
        <v/>
      </c>
      <c r="D663" s="1" t="str">
        <f t="shared" si="10"/>
        <v/>
      </c>
    </row>
    <row r="664" spans="1:4" x14ac:dyDescent="0.2">
      <c r="A664" t="str">
        <f>IF(COUNTBLANK(B664:F664)&lt;&gt;COLUMNS(B664:F664),663,"")</f>
        <v/>
      </c>
      <c r="D664" s="1" t="str">
        <f t="shared" si="10"/>
        <v/>
      </c>
    </row>
    <row r="665" spans="1:4" x14ac:dyDescent="0.2">
      <c r="A665" t="str">
        <f>IF(COUNTBLANK(B665:F665)&lt;&gt;COLUMNS(B665:F665),664,"")</f>
        <v/>
      </c>
      <c r="D665" s="1" t="str">
        <f t="shared" si="10"/>
        <v/>
      </c>
    </row>
    <row r="666" spans="1:4" x14ac:dyDescent="0.2">
      <c r="A666" t="str">
        <f>IF(COUNTBLANK(B666:F666)&lt;&gt;COLUMNS(B666:F666),665,"")</f>
        <v/>
      </c>
      <c r="D666" s="1" t="str">
        <f t="shared" si="10"/>
        <v/>
      </c>
    </row>
    <row r="667" spans="1:4" x14ac:dyDescent="0.2">
      <c r="A667" t="str">
        <f>IF(COUNTBLANK(B667:F667)&lt;&gt;COLUMNS(B667:F667),666,"")</f>
        <v/>
      </c>
      <c r="D667" s="1" t="str">
        <f t="shared" si="10"/>
        <v/>
      </c>
    </row>
    <row r="668" spans="1:4" x14ac:dyDescent="0.2">
      <c r="A668" t="str">
        <f>IF(COUNTBLANK(B668:F668)&lt;&gt;COLUMNS(B668:F668),667,"")</f>
        <v/>
      </c>
      <c r="D668" s="1" t="str">
        <f t="shared" si="10"/>
        <v/>
      </c>
    </row>
    <row r="669" spans="1:4" x14ac:dyDescent="0.2">
      <c r="A669" t="str">
        <f>IF(COUNTBLANK(B669:F669)&lt;&gt;COLUMNS(B669:F669),668,"")</f>
        <v/>
      </c>
      <c r="D669" s="1" t="str">
        <f t="shared" si="10"/>
        <v/>
      </c>
    </row>
    <row r="670" spans="1:4" x14ac:dyDescent="0.2">
      <c r="A670" t="str">
        <f>IF(COUNTBLANK(B670:F670)&lt;&gt;COLUMNS(B670:F670),669,"")</f>
        <v/>
      </c>
      <c r="D670" s="1" t="str">
        <f t="shared" si="10"/>
        <v/>
      </c>
    </row>
    <row r="671" spans="1:4" x14ac:dyDescent="0.2">
      <c r="A671" t="str">
        <f>IF(COUNTBLANK(B671:F671)&lt;&gt;COLUMNS(B671:F671),670,"")</f>
        <v/>
      </c>
      <c r="D671" s="1" t="str">
        <f t="shared" si="10"/>
        <v/>
      </c>
    </row>
    <row r="672" spans="1:4" x14ac:dyDescent="0.2">
      <c r="A672" t="str">
        <f>IF(COUNTBLANK(B672:F672)&lt;&gt;COLUMNS(B672:F672),671,"")</f>
        <v/>
      </c>
      <c r="D672" s="1" t="str">
        <f t="shared" si="10"/>
        <v/>
      </c>
    </row>
    <row r="673" spans="1:4" x14ac:dyDescent="0.2">
      <c r="A673" t="str">
        <f>IF(COUNTBLANK(B673:F673)&lt;&gt;COLUMNS(B673:F673),672,"")</f>
        <v/>
      </c>
      <c r="D673" s="1" t="str">
        <f t="shared" si="10"/>
        <v/>
      </c>
    </row>
    <row r="674" spans="1:4" x14ac:dyDescent="0.2">
      <c r="A674" t="str">
        <f>IF(COUNTBLANK(B674:F674)&lt;&gt;COLUMNS(B674:F674),673,"")</f>
        <v/>
      </c>
      <c r="D674" s="1" t="str">
        <f t="shared" si="10"/>
        <v/>
      </c>
    </row>
    <row r="675" spans="1:4" x14ac:dyDescent="0.2">
      <c r="A675" t="str">
        <f>IF(COUNTBLANK(B675:F675)&lt;&gt;COLUMNS(B675:F675),674,"")</f>
        <v/>
      </c>
      <c r="D675" s="1" t="str">
        <f t="shared" si="10"/>
        <v/>
      </c>
    </row>
    <row r="676" spans="1:4" x14ac:dyDescent="0.2">
      <c r="A676" t="str">
        <f>IF(COUNTBLANK(B676:F676)&lt;&gt;COLUMNS(B676:F676),675,"")</f>
        <v/>
      </c>
      <c r="D676" s="1" t="str">
        <f t="shared" si="10"/>
        <v/>
      </c>
    </row>
    <row r="677" spans="1:4" x14ac:dyDescent="0.2">
      <c r="A677" t="str">
        <f>IF(COUNTBLANK(B677:F677)&lt;&gt;COLUMNS(B677:F677),676,"")</f>
        <v/>
      </c>
      <c r="D677" s="1" t="str">
        <f t="shared" si="10"/>
        <v/>
      </c>
    </row>
    <row r="678" spans="1:4" x14ac:dyDescent="0.2">
      <c r="A678" t="str">
        <f>IF(COUNTBLANK(B678:F678)&lt;&gt;COLUMNS(B678:F678),677,"")</f>
        <v/>
      </c>
      <c r="D678" s="1" t="str">
        <f t="shared" si="10"/>
        <v/>
      </c>
    </row>
    <row r="679" spans="1:4" x14ac:dyDescent="0.2">
      <c r="A679" t="str">
        <f>IF(COUNTBLANK(B679:F679)&lt;&gt;COLUMNS(B679:F679),678,"")</f>
        <v/>
      </c>
      <c r="D679" s="1" t="str">
        <f t="shared" si="10"/>
        <v/>
      </c>
    </row>
    <row r="680" spans="1:4" x14ac:dyDescent="0.2">
      <c r="A680" t="str">
        <f>IF(COUNTBLANK(B680:F680)&lt;&gt;COLUMNS(B680:F680),679,"")</f>
        <v/>
      </c>
      <c r="D680" s="1" t="str">
        <f t="shared" si="10"/>
        <v/>
      </c>
    </row>
    <row r="681" spans="1:4" x14ac:dyDescent="0.2">
      <c r="A681" t="str">
        <f>IF(COUNTBLANK(B681:F681)&lt;&gt;COLUMNS(B681:F681),680,"")</f>
        <v/>
      </c>
      <c r="D681" s="1" t="str">
        <f t="shared" si="10"/>
        <v/>
      </c>
    </row>
    <row r="682" spans="1:4" x14ac:dyDescent="0.2">
      <c r="A682" t="str">
        <f>IF(COUNTBLANK(B682:F682)&lt;&gt;COLUMNS(B682:F682),681,"")</f>
        <v/>
      </c>
      <c r="D682" s="1" t="str">
        <f t="shared" si="10"/>
        <v/>
      </c>
    </row>
    <row r="683" spans="1:4" x14ac:dyDescent="0.2">
      <c r="A683" t="str">
        <f>IF(COUNTBLANK(B683:F683)&lt;&gt;COLUMNS(B683:F683),682,"")</f>
        <v/>
      </c>
      <c r="D683" s="1" t="str">
        <f t="shared" si="10"/>
        <v/>
      </c>
    </row>
    <row r="684" spans="1:4" x14ac:dyDescent="0.2">
      <c r="A684" t="str">
        <f>IF(COUNTBLANK(B684:F684)&lt;&gt;COLUMNS(B684:F684),683,"")</f>
        <v/>
      </c>
      <c r="D684" s="1" t="str">
        <f t="shared" si="10"/>
        <v/>
      </c>
    </row>
    <row r="685" spans="1:4" x14ac:dyDescent="0.2">
      <c r="A685" t="str">
        <f>IF(COUNTBLANK(B685:F685)&lt;&gt;COLUMNS(B685:F685),684,"")</f>
        <v/>
      </c>
      <c r="D685" s="1" t="str">
        <f t="shared" si="10"/>
        <v/>
      </c>
    </row>
    <row r="686" spans="1:4" x14ac:dyDescent="0.2">
      <c r="A686" t="str">
        <f>IF(COUNTBLANK(B686:F686)&lt;&gt;COLUMNS(B686:F686),685,"")</f>
        <v/>
      </c>
      <c r="D686" s="1" t="str">
        <f t="shared" si="10"/>
        <v/>
      </c>
    </row>
    <row r="687" spans="1:4" x14ac:dyDescent="0.2">
      <c r="A687" t="str">
        <f>IF(COUNTBLANK(B687:F687)&lt;&gt;COLUMNS(B687:F687),686,"")</f>
        <v/>
      </c>
      <c r="D687" s="1" t="str">
        <f t="shared" si="10"/>
        <v/>
      </c>
    </row>
    <row r="688" spans="1:4" x14ac:dyDescent="0.2">
      <c r="A688" t="str">
        <f>IF(COUNTBLANK(B688:F688)&lt;&gt;COLUMNS(B688:F688),687,"")</f>
        <v/>
      </c>
      <c r="D688" s="1" t="str">
        <f t="shared" si="10"/>
        <v/>
      </c>
    </row>
    <row r="689" spans="1:4" x14ac:dyDescent="0.2">
      <c r="A689" t="str">
        <f>IF(COUNTBLANK(B689:F689)&lt;&gt;COLUMNS(B689:F689),688,"")</f>
        <v/>
      </c>
      <c r="D689" s="1" t="str">
        <f t="shared" si="10"/>
        <v/>
      </c>
    </row>
    <row r="690" spans="1:4" x14ac:dyDescent="0.2">
      <c r="A690" t="str">
        <f>IF(COUNTBLANK(B690:F690)&lt;&gt;COLUMNS(B690:F690),689,"")</f>
        <v/>
      </c>
      <c r="D690" s="1" t="str">
        <f t="shared" si="10"/>
        <v/>
      </c>
    </row>
    <row r="691" spans="1:4" x14ac:dyDescent="0.2">
      <c r="A691" t="str">
        <f>IF(COUNTBLANK(B691:F691)&lt;&gt;COLUMNS(B691:F691),690,"")</f>
        <v/>
      </c>
      <c r="D691" s="1" t="str">
        <f t="shared" si="10"/>
        <v/>
      </c>
    </row>
    <row r="692" spans="1:4" x14ac:dyDescent="0.2">
      <c r="A692" t="str">
        <f>IF(COUNTBLANK(B692:F692)&lt;&gt;COLUMNS(B692:F692),691,"")</f>
        <v/>
      </c>
      <c r="D692" s="1" t="str">
        <f t="shared" si="10"/>
        <v/>
      </c>
    </row>
    <row r="693" spans="1:4" x14ac:dyDescent="0.2">
      <c r="A693" t="str">
        <f>IF(COUNTBLANK(B693:F693)&lt;&gt;COLUMNS(B693:F693),692,"")</f>
        <v/>
      </c>
      <c r="D693" s="1" t="str">
        <f t="shared" si="10"/>
        <v/>
      </c>
    </row>
    <row r="694" spans="1:4" x14ac:dyDescent="0.2">
      <c r="A694" t="str">
        <f>IF(COUNTBLANK(B694:F694)&lt;&gt;COLUMNS(B694:F694),693,"")</f>
        <v/>
      </c>
      <c r="D694" s="1" t="str">
        <f t="shared" si="10"/>
        <v/>
      </c>
    </row>
    <row r="695" spans="1:4" x14ac:dyDescent="0.2">
      <c r="A695" t="str">
        <f>IF(COUNTBLANK(B695:F695)&lt;&gt;COLUMNS(B695:F695),694,"")</f>
        <v/>
      </c>
      <c r="D695" s="1" t="str">
        <f t="shared" si="10"/>
        <v/>
      </c>
    </row>
    <row r="696" spans="1:4" x14ac:dyDescent="0.2">
      <c r="A696" t="str">
        <f>IF(COUNTBLANK(B696:F696)&lt;&gt;COLUMNS(B696:F696),695,"")</f>
        <v/>
      </c>
      <c r="D696" s="1" t="str">
        <f t="shared" si="10"/>
        <v/>
      </c>
    </row>
    <row r="697" spans="1:4" x14ac:dyDescent="0.2">
      <c r="A697" t="str">
        <f>IF(COUNTBLANK(B697:F697)&lt;&gt;COLUMNS(B697:F697),696,"")</f>
        <v/>
      </c>
      <c r="D697" s="1" t="str">
        <f t="shared" si="10"/>
        <v/>
      </c>
    </row>
    <row r="698" spans="1:4" x14ac:dyDescent="0.2">
      <c r="A698" t="str">
        <f>IF(COUNTBLANK(B698:F698)&lt;&gt;COLUMNS(B698:F698),697,"")</f>
        <v/>
      </c>
      <c r="D698" s="1" t="str">
        <f t="shared" si="10"/>
        <v/>
      </c>
    </row>
    <row r="699" spans="1:4" x14ac:dyDescent="0.2">
      <c r="A699" t="str">
        <f>IF(COUNTBLANK(B699:F699)&lt;&gt;COLUMNS(B699:F699),698,"")</f>
        <v/>
      </c>
      <c r="D699" s="1" t="str">
        <f t="shared" si="10"/>
        <v/>
      </c>
    </row>
    <row r="700" spans="1:4" x14ac:dyDescent="0.2">
      <c r="A700" t="str">
        <f>IF(COUNTBLANK(B700:F700)&lt;&gt;COLUMNS(B700:F700),699,"")</f>
        <v/>
      </c>
      <c r="D700" s="1" t="str">
        <f t="shared" si="10"/>
        <v/>
      </c>
    </row>
    <row r="701" spans="1:4" x14ac:dyDescent="0.2">
      <c r="A701" t="str">
        <f>IF(COUNTBLANK(B701:F701)&lt;&gt;COLUMNS(B701:F701),700,"")</f>
        <v/>
      </c>
      <c r="D701" s="1" t="str">
        <f t="shared" si="10"/>
        <v/>
      </c>
    </row>
    <row r="702" spans="1:4" x14ac:dyDescent="0.2">
      <c r="A702" t="str">
        <f>IF(COUNTBLANK(B702:F702)&lt;&gt;COLUMNS(B702:F702),701,"")</f>
        <v/>
      </c>
      <c r="D702" s="1" t="str">
        <f t="shared" si="10"/>
        <v/>
      </c>
    </row>
    <row r="703" spans="1:4" x14ac:dyDescent="0.2">
      <c r="A703" t="str">
        <f>IF(COUNTBLANK(B703:F703)&lt;&gt;COLUMNS(B703:F703),702,"")</f>
        <v/>
      </c>
      <c r="D703" s="1" t="str">
        <f t="shared" si="10"/>
        <v/>
      </c>
    </row>
    <row r="704" spans="1:4" x14ac:dyDescent="0.2">
      <c r="A704" t="str">
        <f>IF(COUNTBLANK(B704:F704)&lt;&gt;COLUMNS(B704:F704),703,"")</f>
        <v/>
      </c>
      <c r="D704" s="1" t="str">
        <f t="shared" si="10"/>
        <v/>
      </c>
    </row>
    <row r="705" spans="1:4" x14ac:dyDescent="0.2">
      <c r="A705" t="str">
        <f>IF(COUNTBLANK(B705:F705)&lt;&gt;COLUMNS(B705:F705),704,"")</f>
        <v/>
      </c>
      <c r="D705" s="1" t="str">
        <f t="shared" si="10"/>
        <v/>
      </c>
    </row>
    <row r="706" spans="1:4" x14ac:dyDescent="0.2">
      <c r="A706" t="str">
        <f>IF(COUNTBLANK(B706:F706)&lt;&gt;COLUMNS(B706:F706),705,"")</f>
        <v/>
      </c>
      <c r="D706" s="1" t="str">
        <f t="shared" ref="D706:D769" si="11">IF(B706="", "", "f")</f>
        <v/>
      </c>
    </row>
    <row r="707" spans="1:4" x14ac:dyDescent="0.2">
      <c r="A707" t="str">
        <f>IF(COUNTBLANK(B707:F707)&lt;&gt;COLUMNS(B707:F707),706,"")</f>
        <v/>
      </c>
      <c r="D707" s="1" t="str">
        <f t="shared" si="11"/>
        <v/>
      </c>
    </row>
    <row r="708" spans="1:4" x14ac:dyDescent="0.2">
      <c r="A708" t="str">
        <f>IF(COUNTBLANK(B708:F708)&lt;&gt;COLUMNS(B708:F708),707,"")</f>
        <v/>
      </c>
      <c r="D708" s="1" t="str">
        <f t="shared" si="11"/>
        <v/>
      </c>
    </row>
    <row r="709" spans="1:4" x14ac:dyDescent="0.2">
      <c r="A709" t="str">
        <f>IF(COUNTBLANK(B709:F709)&lt;&gt;COLUMNS(B709:F709),708,"")</f>
        <v/>
      </c>
      <c r="D709" s="1" t="str">
        <f t="shared" si="11"/>
        <v/>
      </c>
    </row>
    <row r="710" spans="1:4" x14ac:dyDescent="0.2">
      <c r="A710" t="str">
        <f>IF(COUNTBLANK(B710:F710)&lt;&gt;COLUMNS(B710:F710),709,"")</f>
        <v/>
      </c>
      <c r="D710" s="1" t="str">
        <f t="shared" si="11"/>
        <v/>
      </c>
    </row>
    <row r="711" spans="1:4" x14ac:dyDescent="0.2">
      <c r="A711" t="str">
        <f>IF(COUNTBLANK(B711:F711)&lt;&gt;COLUMNS(B711:F711),710,"")</f>
        <v/>
      </c>
      <c r="D711" s="1" t="str">
        <f t="shared" si="11"/>
        <v/>
      </c>
    </row>
    <row r="712" spans="1:4" x14ac:dyDescent="0.2">
      <c r="A712" t="str">
        <f>IF(COUNTBLANK(B712:F712)&lt;&gt;COLUMNS(B712:F712),711,"")</f>
        <v/>
      </c>
      <c r="D712" s="1" t="str">
        <f t="shared" si="11"/>
        <v/>
      </c>
    </row>
    <row r="713" spans="1:4" x14ac:dyDescent="0.2">
      <c r="A713" t="str">
        <f>IF(COUNTBLANK(B713:F713)&lt;&gt;COLUMNS(B713:F713),712,"")</f>
        <v/>
      </c>
      <c r="D713" s="1" t="str">
        <f t="shared" si="11"/>
        <v/>
      </c>
    </row>
    <row r="714" spans="1:4" x14ac:dyDescent="0.2">
      <c r="A714" t="str">
        <f>IF(COUNTBLANK(B714:F714)&lt;&gt;COLUMNS(B714:F714),713,"")</f>
        <v/>
      </c>
      <c r="D714" s="1" t="str">
        <f t="shared" si="11"/>
        <v/>
      </c>
    </row>
    <row r="715" spans="1:4" x14ac:dyDescent="0.2">
      <c r="A715" t="str">
        <f>IF(COUNTBLANK(B715:F715)&lt;&gt;COLUMNS(B715:F715),714,"")</f>
        <v/>
      </c>
      <c r="D715" s="1" t="str">
        <f t="shared" si="11"/>
        <v/>
      </c>
    </row>
    <row r="716" spans="1:4" x14ac:dyDescent="0.2">
      <c r="A716" t="str">
        <f>IF(COUNTBLANK(B716:F716)&lt;&gt;COLUMNS(B716:F716),715,"")</f>
        <v/>
      </c>
      <c r="D716" s="1" t="str">
        <f t="shared" si="11"/>
        <v/>
      </c>
    </row>
    <row r="717" spans="1:4" x14ac:dyDescent="0.2">
      <c r="A717" t="str">
        <f>IF(COUNTBLANK(B717:F717)&lt;&gt;COLUMNS(B717:F717),716,"")</f>
        <v/>
      </c>
      <c r="D717" s="1" t="str">
        <f t="shared" si="11"/>
        <v/>
      </c>
    </row>
    <row r="718" spans="1:4" x14ac:dyDescent="0.2">
      <c r="A718" t="str">
        <f>IF(COUNTBLANK(B718:F718)&lt;&gt;COLUMNS(B718:F718),717,"")</f>
        <v/>
      </c>
      <c r="D718" s="1" t="str">
        <f t="shared" si="11"/>
        <v/>
      </c>
    </row>
    <row r="719" spans="1:4" x14ac:dyDescent="0.2">
      <c r="A719" t="str">
        <f>IF(COUNTBLANK(B719:F719)&lt;&gt;COLUMNS(B719:F719),718,"")</f>
        <v/>
      </c>
      <c r="D719" s="1" t="str">
        <f t="shared" si="11"/>
        <v/>
      </c>
    </row>
    <row r="720" spans="1:4" x14ac:dyDescent="0.2">
      <c r="A720" t="str">
        <f>IF(COUNTBLANK(B720:F720)&lt;&gt;COLUMNS(B720:F720),719,"")</f>
        <v/>
      </c>
      <c r="D720" s="1" t="str">
        <f t="shared" si="11"/>
        <v/>
      </c>
    </row>
    <row r="721" spans="1:4" x14ac:dyDescent="0.2">
      <c r="A721" t="str">
        <f>IF(COUNTBLANK(B721:F721)&lt;&gt;COLUMNS(B721:F721),720,"")</f>
        <v/>
      </c>
      <c r="D721" s="1" t="str">
        <f t="shared" si="11"/>
        <v/>
      </c>
    </row>
    <row r="722" spans="1:4" x14ac:dyDescent="0.2">
      <c r="A722" t="str">
        <f>IF(COUNTBLANK(B722:F722)&lt;&gt;COLUMNS(B722:F722),721,"")</f>
        <v/>
      </c>
      <c r="D722" s="1" t="str">
        <f t="shared" si="11"/>
        <v/>
      </c>
    </row>
    <row r="723" spans="1:4" x14ac:dyDescent="0.2">
      <c r="A723" t="str">
        <f>IF(COUNTBLANK(B723:F723)&lt;&gt;COLUMNS(B723:F723),722,"")</f>
        <v/>
      </c>
      <c r="D723" s="1" t="str">
        <f t="shared" si="11"/>
        <v/>
      </c>
    </row>
    <row r="724" spans="1:4" x14ac:dyDescent="0.2">
      <c r="A724" t="str">
        <f>IF(COUNTBLANK(B724:F724)&lt;&gt;COLUMNS(B724:F724),723,"")</f>
        <v/>
      </c>
      <c r="D724" s="1" t="str">
        <f t="shared" si="11"/>
        <v/>
      </c>
    </row>
    <row r="725" spans="1:4" x14ac:dyDescent="0.2">
      <c r="A725" t="str">
        <f>IF(COUNTBLANK(B725:F725)&lt;&gt;COLUMNS(B725:F725),724,"")</f>
        <v/>
      </c>
      <c r="D725" s="1" t="str">
        <f t="shared" si="11"/>
        <v/>
      </c>
    </row>
    <row r="726" spans="1:4" x14ac:dyDescent="0.2">
      <c r="A726" t="str">
        <f>IF(COUNTBLANK(B726:F726)&lt;&gt;COLUMNS(B726:F726),725,"")</f>
        <v/>
      </c>
      <c r="D726" s="1" t="str">
        <f t="shared" si="11"/>
        <v/>
      </c>
    </row>
    <row r="727" spans="1:4" x14ac:dyDescent="0.2">
      <c r="A727" t="str">
        <f>IF(COUNTBLANK(B727:F727)&lt;&gt;COLUMNS(B727:F727),726,"")</f>
        <v/>
      </c>
      <c r="D727" s="1" t="str">
        <f t="shared" si="11"/>
        <v/>
      </c>
    </row>
    <row r="728" spans="1:4" x14ac:dyDescent="0.2">
      <c r="A728" t="str">
        <f>IF(COUNTBLANK(B728:F728)&lt;&gt;COLUMNS(B728:F728),727,"")</f>
        <v/>
      </c>
      <c r="D728" s="1" t="str">
        <f t="shared" si="11"/>
        <v/>
      </c>
    </row>
    <row r="729" spans="1:4" x14ac:dyDescent="0.2">
      <c r="A729" t="str">
        <f>IF(COUNTBLANK(B729:F729)&lt;&gt;COLUMNS(B729:F729),728,"")</f>
        <v/>
      </c>
      <c r="D729" s="1" t="str">
        <f t="shared" si="11"/>
        <v/>
      </c>
    </row>
    <row r="730" spans="1:4" x14ac:dyDescent="0.2">
      <c r="A730" t="str">
        <f>IF(COUNTBLANK(B730:F730)&lt;&gt;COLUMNS(B730:F730),729,"")</f>
        <v/>
      </c>
      <c r="D730" s="1" t="str">
        <f t="shared" si="11"/>
        <v/>
      </c>
    </row>
    <row r="731" spans="1:4" x14ac:dyDescent="0.2">
      <c r="A731" t="str">
        <f>IF(COUNTBLANK(B731:F731)&lt;&gt;COLUMNS(B731:F731),730,"")</f>
        <v/>
      </c>
      <c r="D731" s="1" t="str">
        <f t="shared" si="11"/>
        <v/>
      </c>
    </row>
    <row r="732" spans="1:4" x14ac:dyDescent="0.2">
      <c r="A732" t="str">
        <f>IF(COUNTBLANK(B732:F732)&lt;&gt;COLUMNS(B732:F732),731,"")</f>
        <v/>
      </c>
      <c r="D732" s="1" t="str">
        <f t="shared" si="11"/>
        <v/>
      </c>
    </row>
    <row r="733" spans="1:4" x14ac:dyDescent="0.2">
      <c r="A733" t="str">
        <f>IF(COUNTBLANK(B733:F733)&lt;&gt;COLUMNS(B733:F733),732,"")</f>
        <v/>
      </c>
      <c r="D733" s="1" t="str">
        <f t="shared" si="11"/>
        <v/>
      </c>
    </row>
    <row r="734" spans="1:4" x14ac:dyDescent="0.2">
      <c r="A734" t="str">
        <f>IF(COUNTBLANK(B734:F734)&lt;&gt;COLUMNS(B734:F734),733,"")</f>
        <v/>
      </c>
      <c r="D734" s="1" t="str">
        <f t="shared" si="11"/>
        <v/>
      </c>
    </row>
    <row r="735" spans="1:4" x14ac:dyDescent="0.2">
      <c r="A735" t="str">
        <f>IF(COUNTBLANK(B735:F735)&lt;&gt;COLUMNS(B735:F735),734,"")</f>
        <v/>
      </c>
      <c r="D735" s="1" t="str">
        <f t="shared" si="11"/>
        <v/>
      </c>
    </row>
    <row r="736" spans="1:4" x14ac:dyDescent="0.2">
      <c r="A736" t="str">
        <f>IF(COUNTBLANK(B736:F736)&lt;&gt;COLUMNS(B736:F736),735,"")</f>
        <v/>
      </c>
      <c r="D736" s="1" t="str">
        <f t="shared" si="11"/>
        <v/>
      </c>
    </row>
    <row r="737" spans="1:4" x14ac:dyDescent="0.2">
      <c r="A737" t="str">
        <f>IF(COUNTBLANK(B737:F737)&lt;&gt;COLUMNS(B737:F737),736,"")</f>
        <v/>
      </c>
      <c r="D737" s="1" t="str">
        <f t="shared" si="11"/>
        <v/>
      </c>
    </row>
    <row r="738" spans="1:4" x14ac:dyDescent="0.2">
      <c r="A738" t="str">
        <f>IF(COUNTBLANK(B738:F738)&lt;&gt;COLUMNS(B738:F738),737,"")</f>
        <v/>
      </c>
      <c r="D738" s="1" t="str">
        <f t="shared" si="11"/>
        <v/>
      </c>
    </row>
    <row r="739" spans="1:4" x14ac:dyDescent="0.2">
      <c r="A739" t="str">
        <f>IF(COUNTBLANK(B739:F739)&lt;&gt;COLUMNS(B739:F739),738,"")</f>
        <v/>
      </c>
      <c r="D739" s="1" t="str">
        <f t="shared" si="11"/>
        <v/>
      </c>
    </row>
    <row r="740" spans="1:4" x14ac:dyDescent="0.2">
      <c r="A740" t="str">
        <f>IF(COUNTBLANK(B740:F740)&lt;&gt;COLUMNS(B740:F740),739,"")</f>
        <v/>
      </c>
      <c r="D740" s="1" t="str">
        <f t="shared" si="11"/>
        <v/>
      </c>
    </row>
    <row r="741" spans="1:4" x14ac:dyDescent="0.2">
      <c r="A741" t="str">
        <f>IF(COUNTBLANK(B741:F741)&lt;&gt;COLUMNS(B741:F741),740,"")</f>
        <v/>
      </c>
      <c r="D741" s="1" t="str">
        <f t="shared" si="11"/>
        <v/>
      </c>
    </row>
    <row r="742" spans="1:4" x14ac:dyDescent="0.2">
      <c r="A742" t="str">
        <f>IF(COUNTBLANK(B742:F742)&lt;&gt;COLUMNS(B742:F742),741,"")</f>
        <v/>
      </c>
      <c r="D742" s="1" t="str">
        <f t="shared" si="11"/>
        <v/>
      </c>
    </row>
    <row r="743" spans="1:4" x14ac:dyDescent="0.2">
      <c r="A743" t="str">
        <f>IF(COUNTBLANK(B743:F743)&lt;&gt;COLUMNS(B743:F743),742,"")</f>
        <v/>
      </c>
      <c r="D743" s="1" t="str">
        <f t="shared" si="11"/>
        <v/>
      </c>
    </row>
    <row r="744" spans="1:4" x14ac:dyDescent="0.2">
      <c r="A744" t="str">
        <f>IF(COUNTBLANK(B744:F744)&lt;&gt;COLUMNS(B744:F744),743,"")</f>
        <v/>
      </c>
      <c r="D744" s="1" t="str">
        <f t="shared" si="11"/>
        <v/>
      </c>
    </row>
    <row r="745" spans="1:4" x14ac:dyDescent="0.2">
      <c r="A745" t="str">
        <f>IF(COUNTBLANK(B745:F745)&lt;&gt;COLUMNS(B745:F745),744,"")</f>
        <v/>
      </c>
      <c r="D745" s="1" t="str">
        <f t="shared" si="11"/>
        <v/>
      </c>
    </row>
    <row r="746" spans="1:4" x14ac:dyDescent="0.2">
      <c r="A746" t="str">
        <f>IF(COUNTBLANK(B746:F746)&lt;&gt;COLUMNS(B746:F746),745,"")</f>
        <v/>
      </c>
      <c r="D746" s="1" t="str">
        <f t="shared" si="11"/>
        <v/>
      </c>
    </row>
    <row r="747" spans="1:4" x14ac:dyDescent="0.2">
      <c r="A747" t="str">
        <f>IF(COUNTBLANK(B747:F747)&lt;&gt;COLUMNS(B747:F747),746,"")</f>
        <v/>
      </c>
      <c r="D747" s="1" t="str">
        <f t="shared" si="11"/>
        <v/>
      </c>
    </row>
    <row r="748" spans="1:4" x14ac:dyDescent="0.2">
      <c r="A748" t="str">
        <f>IF(COUNTBLANK(B748:F748)&lt;&gt;COLUMNS(B748:F748),747,"")</f>
        <v/>
      </c>
      <c r="D748" s="1" t="str">
        <f t="shared" si="11"/>
        <v/>
      </c>
    </row>
    <row r="749" spans="1:4" x14ac:dyDescent="0.2">
      <c r="A749" t="str">
        <f>IF(COUNTBLANK(B749:F749)&lt;&gt;COLUMNS(B749:F749),748,"")</f>
        <v/>
      </c>
      <c r="D749" s="1" t="str">
        <f t="shared" si="11"/>
        <v/>
      </c>
    </row>
    <row r="750" spans="1:4" x14ac:dyDescent="0.2">
      <c r="A750" t="str">
        <f>IF(COUNTBLANK(B750:F750)&lt;&gt;COLUMNS(B750:F750),749,"")</f>
        <v/>
      </c>
      <c r="D750" s="1" t="str">
        <f t="shared" si="11"/>
        <v/>
      </c>
    </row>
    <row r="751" spans="1:4" x14ac:dyDescent="0.2">
      <c r="A751" t="str">
        <f>IF(COUNTBLANK(B751:F751)&lt;&gt;COLUMNS(B751:F751),750,"")</f>
        <v/>
      </c>
      <c r="D751" s="1" t="str">
        <f t="shared" si="11"/>
        <v/>
      </c>
    </row>
    <row r="752" spans="1:4" x14ac:dyDescent="0.2">
      <c r="A752" t="str">
        <f>IF(COUNTBLANK(B752:F752)&lt;&gt;COLUMNS(B752:F752),751,"")</f>
        <v/>
      </c>
      <c r="D752" s="1" t="str">
        <f t="shared" si="11"/>
        <v/>
      </c>
    </row>
    <row r="753" spans="1:4" x14ac:dyDescent="0.2">
      <c r="A753" t="str">
        <f>IF(COUNTBLANK(B753:F753)&lt;&gt;COLUMNS(B753:F753),752,"")</f>
        <v/>
      </c>
      <c r="D753" s="1" t="str">
        <f t="shared" si="11"/>
        <v/>
      </c>
    </row>
    <row r="754" spans="1:4" x14ac:dyDescent="0.2">
      <c r="A754" t="str">
        <f>IF(COUNTBLANK(B754:F754)&lt;&gt;COLUMNS(B754:F754),753,"")</f>
        <v/>
      </c>
      <c r="D754" s="1" t="str">
        <f t="shared" si="11"/>
        <v/>
      </c>
    </row>
    <row r="755" spans="1:4" x14ac:dyDescent="0.2">
      <c r="A755" t="str">
        <f>IF(COUNTBLANK(B755:F755)&lt;&gt;COLUMNS(B755:F755),754,"")</f>
        <v/>
      </c>
      <c r="D755" s="1" t="str">
        <f t="shared" si="11"/>
        <v/>
      </c>
    </row>
    <row r="756" spans="1:4" x14ac:dyDescent="0.2">
      <c r="A756" t="str">
        <f>IF(COUNTBLANK(B756:F756)&lt;&gt;COLUMNS(B756:F756),755,"")</f>
        <v/>
      </c>
      <c r="D756" s="1" t="str">
        <f t="shared" si="11"/>
        <v/>
      </c>
    </row>
    <row r="757" spans="1:4" x14ac:dyDescent="0.2">
      <c r="A757" t="str">
        <f>IF(COUNTBLANK(B757:F757)&lt;&gt;COLUMNS(B757:F757),756,"")</f>
        <v/>
      </c>
      <c r="D757" s="1" t="str">
        <f t="shared" si="11"/>
        <v/>
      </c>
    </row>
    <row r="758" spans="1:4" x14ac:dyDescent="0.2">
      <c r="A758" t="str">
        <f>IF(COUNTBLANK(B758:F758)&lt;&gt;COLUMNS(B758:F758),757,"")</f>
        <v/>
      </c>
      <c r="D758" s="1" t="str">
        <f t="shared" si="11"/>
        <v/>
      </c>
    </row>
    <row r="759" spans="1:4" x14ac:dyDescent="0.2">
      <c r="A759" t="str">
        <f>IF(COUNTBLANK(B759:F759)&lt;&gt;COLUMNS(B759:F759),758,"")</f>
        <v/>
      </c>
      <c r="D759" s="1" t="str">
        <f t="shared" si="11"/>
        <v/>
      </c>
    </row>
    <row r="760" spans="1:4" x14ac:dyDescent="0.2">
      <c r="A760" t="str">
        <f>IF(COUNTBLANK(B760:F760)&lt;&gt;COLUMNS(B760:F760),759,"")</f>
        <v/>
      </c>
      <c r="D760" s="1" t="str">
        <f t="shared" si="11"/>
        <v/>
      </c>
    </row>
    <row r="761" spans="1:4" x14ac:dyDescent="0.2">
      <c r="A761" t="str">
        <f>IF(COUNTBLANK(B761:F761)&lt;&gt;COLUMNS(B761:F761),760,"")</f>
        <v/>
      </c>
      <c r="D761" s="1" t="str">
        <f t="shared" si="11"/>
        <v/>
      </c>
    </row>
    <row r="762" spans="1:4" x14ac:dyDescent="0.2">
      <c r="A762" t="str">
        <f>IF(COUNTBLANK(B762:F762)&lt;&gt;COLUMNS(B762:F762),761,"")</f>
        <v/>
      </c>
      <c r="D762" s="1" t="str">
        <f t="shared" si="11"/>
        <v/>
      </c>
    </row>
    <row r="763" spans="1:4" x14ac:dyDescent="0.2">
      <c r="A763" t="str">
        <f>IF(COUNTBLANK(B763:F763)&lt;&gt;COLUMNS(B763:F763),762,"")</f>
        <v/>
      </c>
      <c r="D763" s="1" t="str">
        <f t="shared" si="11"/>
        <v/>
      </c>
    </row>
    <row r="764" spans="1:4" x14ac:dyDescent="0.2">
      <c r="A764" t="str">
        <f>IF(COUNTBLANK(B764:F764)&lt;&gt;COLUMNS(B764:F764),763,"")</f>
        <v/>
      </c>
      <c r="D764" s="1" t="str">
        <f t="shared" si="11"/>
        <v/>
      </c>
    </row>
    <row r="765" spans="1:4" x14ac:dyDescent="0.2">
      <c r="A765" t="str">
        <f>IF(COUNTBLANK(B765:F765)&lt;&gt;COLUMNS(B765:F765),764,"")</f>
        <v/>
      </c>
      <c r="D765" s="1" t="str">
        <f t="shared" si="11"/>
        <v/>
      </c>
    </row>
    <row r="766" spans="1:4" x14ac:dyDescent="0.2">
      <c r="A766" t="str">
        <f>IF(COUNTBLANK(B766:F766)&lt;&gt;COLUMNS(B766:F766),765,"")</f>
        <v/>
      </c>
      <c r="D766" s="1" t="str">
        <f t="shared" si="11"/>
        <v/>
      </c>
    </row>
    <row r="767" spans="1:4" x14ac:dyDescent="0.2">
      <c r="A767" t="str">
        <f>IF(COUNTBLANK(B767:F767)&lt;&gt;COLUMNS(B767:F767),766,"")</f>
        <v/>
      </c>
      <c r="D767" s="1" t="str">
        <f t="shared" si="11"/>
        <v/>
      </c>
    </row>
    <row r="768" spans="1:4" x14ac:dyDescent="0.2">
      <c r="A768" t="str">
        <f>IF(COUNTBLANK(B768:F768)&lt;&gt;COLUMNS(B768:F768),767,"")</f>
        <v/>
      </c>
      <c r="D768" s="1" t="str">
        <f t="shared" si="11"/>
        <v/>
      </c>
    </row>
    <row r="769" spans="1:4" x14ac:dyDescent="0.2">
      <c r="A769" t="str">
        <f>IF(COUNTBLANK(B769:F769)&lt;&gt;COLUMNS(B769:F769),768,"")</f>
        <v/>
      </c>
      <c r="D769" s="1" t="str">
        <f t="shared" si="11"/>
        <v/>
      </c>
    </row>
    <row r="770" spans="1:4" x14ac:dyDescent="0.2">
      <c r="A770" t="str">
        <f>IF(COUNTBLANK(B770:F770)&lt;&gt;COLUMNS(B770:F770),769,"")</f>
        <v/>
      </c>
      <c r="D770" s="1" t="str">
        <f t="shared" ref="D770:D833" si="12">IF(B770="", "", "f")</f>
        <v/>
      </c>
    </row>
    <row r="771" spans="1:4" x14ac:dyDescent="0.2">
      <c r="A771" t="str">
        <f>IF(COUNTBLANK(B771:F771)&lt;&gt;COLUMNS(B771:F771),770,"")</f>
        <v/>
      </c>
      <c r="D771" s="1" t="str">
        <f t="shared" si="12"/>
        <v/>
      </c>
    </row>
    <row r="772" spans="1:4" x14ac:dyDescent="0.2">
      <c r="A772" t="str">
        <f>IF(COUNTBLANK(B772:F772)&lt;&gt;COLUMNS(B772:F772),771,"")</f>
        <v/>
      </c>
      <c r="D772" s="1" t="str">
        <f t="shared" si="12"/>
        <v/>
      </c>
    </row>
    <row r="773" spans="1:4" x14ac:dyDescent="0.2">
      <c r="A773" t="str">
        <f>IF(COUNTBLANK(B773:F773)&lt;&gt;COLUMNS(B773:F773),772,"")</f>
        <v/>
      </c>
      <c r="D773" s="1" t="str">
        <f t="shared" si="12"/>
        <v/>
      </c>
    </row>
    <row r="774" spans="1:4" x14ac:dyDescent="0.2">
      <c r="A774" t="str">
        <f>IF(COUNTBLANK(B774:F774)&lt;&gt;COLUMNS(B774:F774),773,"")</f>
        <v/>
      </c>
      <c r="D774" s="1" t="str">
        <f t="shared" si="12"/>
        <v/>
      </c>
    </row>
    <row r="775" spans="1:4" x14ac:dyDescent="0.2">
      <c r="A775" t="str">
        <f>IF(COUNTBLANK(B775:F775)&lt;&gt;COLUMNS(B775:F775),774,"")</f>
        <v/>
      </c>
      <c r="D775" s="1" t="str">
        <f t="shared" si="12"/>
        <v/>
      </c>
    </row>
    <row r="776" spans="1:4" x14ac:dyDescent="0.2">
      <c r="A776" t="str">
        <f>IF(COUNTBLANK(B776:F776)&lt;&gt;COLUMNS(B776:F776),775,"")</f>
        <v/>
      </c>
      <c r="D776" s="1" t="str">
        <f t="shared" si="12"/>
        <v/>
      </c>
    </row>
    <row r="777" spans="1:4" x14ac:dyDescent="0.2">
      <c r="A777" t="str">
        <f>IF(COUNTBLANK(B777:F777)&lt;&gt;COLUMNS(B777:F777),776,"")</f>
        <v/>
      </c>
      <c r="D777" s="1" t="str">
        <f t="shared" si="12"/>
        <v/>
      </c>
    </row>
    <row r="778" spans="1:4" x14ac:dyDescent="0.2">
      <c r="A778" t="str">
        <f>IF(COUNTBLANK(B778:F778)&lt;&gt;COLUMNS(B778:F778),777,"")</f>
        <v/>
      </c>
      <c r="D778" s="1" t="str">
        <f t="shared" si="12"/>
        <v/>
      </c>
    </row>
    <row r="779" spans="1:4" x14ac:dyDescent="0.2">
      <c r="A779" t="str">
        <f>IF(COUNTBLANK(B779:F779)&lt;&gt;COLUMNS(B779:F779),778,"")</f>
        <v/>
      </c>
      <c r="D779" s="1" t="str">
        <f t="shared" si="12"/>
        <v/>
      </c>
    </row>
    <row r="780" spans="1:4" x14ac:dyDescent="0.2">
      <c r="A780" t="str">
        <f>IF(COUNTBLANK(B780:F780)&lt;&gt;COLUMNS(B780:F780),779,"")</f>
        <v/>
      </c>
      <c r="D780" s="1" t="str">
        <f t="shared" si="12"/>
        <v/>
      </c>
    </row>
    <row r="781" spans="1:4" x14ac:dyDescent="0.2">
      <c r="A781" t="str">
        <f>IF(COUNTBLANK(B781:F781)&lt;&gt;COLUMNS(B781:F781),780,"")</f>
        <v/>
      </c>
      <c r="D781" s="1" t="str">
        <f t="shared" si="12"/>
        <v/>
      </c>
    </row>
    <row r="782" spans="1:4" x14ac:dyDescent="0.2">
      <c r="A782" t="str">
        <f>IF(COUNTBLANK(B782:F782)&lt;&gt;COLUMNS(B782:F782),781,"")</f>
        <v/>
      </c>
      <c r="D782" s="1" t="str">
        <f t="shared" si="12"/>
        <v/>
      </c>
    </row>
    <row r="783" spans="1:4" x14ac:dyDescent="0.2">
      <c r="A783" t="str">
        <f>IF(COUNTBLANK(B783:F783)&lt;&gt;COLUMNS(B783:F783),782,"")</f>
        <v/>
      </c>
      <c r="D783" s="1" t="str">
        <f t="shared" si="12"/>
        <v/>
      </c>
    </row>
    <row r="784" spans="1:4" x14ac:dyDescent="0.2">
      <c r="A784" t="str">
        <f>IF(COUNTBLANK(B784:F784)&lt;&gt;COLUMNS(B784:F784),783,"")</f>
        <v/>
      </c>
      <c r="D784" s="1" t="str">
        <f t="shared" si="12"/>
        <v/>
      </c>
    </row>
    <row r="785" spans="1:4" x14ac:dyDescent="0.2">
      <c r="A785" t="str">
        <f>IF(COUNTBLANK(B785:F785)&lt;&gt;COLUMNS(B785:F785),784,"")</f>
        <v/>
      </c>
      <c r="D785" s="1" t="str">
        <f t="shared" si="12"/>
        <v/>
      </c>
    </row>
    <row r="786" spans="1:4" x14ac:dyDescent="0.2">
      <c r="A786" t="str">
        <f>IF(COUNTBLANK(B786:F786)&lt;&gt;COLUMNS(B786:F786),785,"")</f>
        <v/>
      </c>
      <c r="D786" s="1" t="str">
        <f t="shared" si="12"/>
        <v/>
      </c>
    </row>
    <row r="787" spans="1:4" x14ac:dyDescent="0.2">
      <c r="A787" t="str">
        <f>IF(COUNTBLANK(B787:F787)&lt;&gt;COLUMNS(B787:F787),786,"")</f>
        <v/>
      </c>
      <c r="D787" s="1" t="str">
        <f t="shared" si="12"/>
        <v/>
      </c>
    </row>
    <row r="788" spans="1:4" x14ac:dyDescent="0.2">
      <c r="A788" t="str">
        <f>IF(COUNTBLANK(B788:F788)&lt;&gt;COLUMNS(B788:F788),787,"")</f>
        <v/>
      </c>
      <c r="D788" s="1" t="str">
        <f t="shared" si="12"/>
        <v/>
      </c>
    </row>
    <row r="789" spans="1:4" x14ac:dyDescent="0.2">
      <c r="A789" t="str">
        <f>IF(COUNTBLANK(B789:F789)&lt;&gt;COLUMNS(B789:F789),788,"")</f>
        <v/>
      </c>
      <c r="D789" s="1" t="str">
        <f t="shared" si="12"/>
        <v/>
      </c>
    </row>
    <row r="790" spans="1:4" x14ac:dyDescent="0.2">
      <c r="A790" t="str">
        <f>IF(COUNTBLANK(B790:F790)&lt;&gt;COLUMNS(B790:F790),789,"")</f>
        <v/>
      </c>
      <c r="D790" s="1" t="str">
        <f t="shared" si="12"/>
        <v/>
      </c>
    </row>
    <row r="791" spans="1:4" x14ac:dyDescent="0.2">
      <c r="A791" t="str">
        <f>IF(COUNTBLANK(B791:F791)&lt;&gt;COLUMNS(B791:F791),790,"")</f>
        <v/>
      </c>
      <c r="D791" s="1" t="str">
        <f t="shared" si="12"/>
        <v/>
      </c>
    </row>
    <row r="792" spans="1:4" x14ac:dyDescent="0.2">
      <c r="A792" t="str">
        <f>IF(COUNTBLANK(B792:F792)&lt;&gt;COLUMNS(B792:F792),791,"")</f>
        <v/>
      </c>
      <c r="D792" s="1" t="str">
        <f t="shared" si="12"/>
        <v/>
      </c>
    </row>
    <row r="793" spans="1:4" x14ac:dyDescent="0.2">
      <c r="A793" t="str">
        <f>IF(COUNTBLANK(B793:F793)&lt;&gt;COLUMNS(B793:F793),792,"")</f>
        <v/>
      </c>
      <c r="D793" s="1" t="str">
        <f t="shared" si="12"/>
        <v/>
      </c>
    </row>
    <row r="794" spans="1:4" x14ac:dyDescent="0.2">
      <c r="A794" t="str">
        <f>IF(COUNTBLANK(B794:F794)&lt;&gt;COLUMNS(B794:F794),793,"")</f>
        <v/>
      </c>
      <c r="D794" s="1" t="str">
        <f t="shared" si="12"/>
        <v/>
      </c>
    </row>
    <row r="795" spans="1:4" x14ac:dyDescent="0.2">
      <c r="A795" t="str">
        <f>IF(COUNTBLANK(B795:F795)&lt;&gt;COLUMNS(B795:F795),794,"")</f>
        <v/>
      </c>
      <c r="D795" s="1" t="str">
        <f t="shared" si="12"/>
        <v/>
      </c>
    </row>
    <row r="796" spans="1:4" x14ac:dyDescent="0.2">
      <c r="A796" t="str">
        <f>IF(COUNTBLANK(B796:F796)&lt;&gt;COLUMNS(B796:F796),795,"")</f>
        <v/>
      </c>
      <c r="D796" s="1" t="str">
        <f t="shared" si="12"/>
        <v/>
      </c>
    </row>
    <row r="797" spans="1:4" x14ac:dyDescent="0.2">
      <c r="A797" t="str">
        <f>IF(COUNTBLANK(B797:F797)&lt;&gt;COLUMNS(B797:F797),796,"")</f>
        <v/>
      </c>
      <c r="D797" s="1" t="str">
        <f t="shared" si="12"/>
        <v/>
      </c>
    </row>
    <row r="798" spans="1:4" x14ac:dyDescent="0.2">
      <c r="A798" t="str">
        <f>IF(COUNTBLANK(B798:F798)&lt;&gt;COLUMNS(B798:F798),797,"")</f>
        <v/>
      </c>
      <c r="D798" s="1" t="str">
        <f t="shared" si="12"/>
        <v/>
      </c>
    </row>
    <row r="799" spans="1:4" x14ac:dyDescent="0.2">
      <c r="A799" t="str">
        <f>IF(COUNTBLANK(B799:F799)&lt;&gt;COLUMNS(B799:F799),798,"")</f>
        <v/>
      </c>
      <c r="D799" s="1" t="str">
        <f t="shared" si="12"/>
        <v/>
      </c>
    </row>
    <row r="800" spans="1:4" x14ac:dyDescent="0.2">
      <c r="A800" t="str">
        <f>IF(COUNTBLANK(B800:F800)&lt;&gt;COLUMNS(B800:F800),799,"")</f>
        <v/>
      </c>
      <c r="D800" s="1" t="str">
        <f t="shared" si="12"/>
        <v/>
      </c>
    </row>
    <row r="801" spans="1:4" x14ac:dyDescent="0.2">
      <c r="A801" t="str">
        <f>IF(COUNTBLANK(B801:F801)&lt;&gt;COLUMNS(B801:F801),800,"")</f>
        <v/>
      </c>
      <c r="D801" s="1" t="str">
        <f t="shared" si="12"/>
        <v/>
      </c>
    </row>
    <row r="802" spans="1:4" x14ac:dyDescent="0.2">
      <c r="A802" t="str">
        <f>IF(COUNTBLANK(B802:F802)&lt;&gt;COLUMNS(B802:F802),801,"")</f>
        <v/>
      </c>
      <c r="D802" s="1" t="str">
        <f t="shared" si="12"/>
        <v/>
      </c>
    </row>
    <row r="803" spans="1:4" x14ac:dyDescent="0.2">
      <c r="A803" t="str">
        <f>IF(COUNTBLANK(B803:F803)&lt;&gt;COLUMNS(B803:F803),802,"")</f>
        <v/>
      </c>
      <c r="D803" s="1" t="str">
        <f t="shared" si="12"/>
        <v/>
      </c>
    </row>
    <row r="804" spans="1:4" x14ac:dyDescent="0.2">
      <c r="A804" t="str">
        <f>IF(COUNTBLANK(B804:F804)&lt;&gt;COLUMNS(B804:F804),803,"")</f>
        <v/>
      </c>
      <c r="D804" s="1" t="str">
        <f t="shared" si="12"/>
        <v/>
      </c>
    </row>
    <row r="805" spans="1:4" x14ac:dyDescent="0.2">
      <c r="A805" t="str">
        <f>IF(COUNTBLANK(B805:F805)&lt;&gt;COLUMNS(B805:F805),804,"")</f>
        <v/>
      </c>
      <c r="D805" s="1" t="str">
        <f t="shared" si="12"/>
        <v/>
      </c>
    </row>
    <row r="806" spans="1:4" x14ac:dyDescent="0.2">
      <c r="A806" t="str">
        <f>IF(COUNTBLANK(B806:F806)&lt;&gt;COLUMNS(B806:F806),805,"")</f>
        <v/>
      </c>
      <c r="D806" s="1" t="str">
        <f t="shared" si="12"/>
        <v/>
      </c>
    </row>
    <row r="807" spans="1:4" x14ac:dyDescent="0.2">
      <c r="A807" t="str">
        <f>IF(COUNTBLANK(B807:F807)&lt;&gt;COLUMNS(B807:F807),806,"")</f>
        <v/>
      </c>
      <c r="D807" s="1" t="str">
        <f t="shared" si="12"/>
        <v/>
      </c>
    </row>
    <row r="808" spans="1:4" x14ac:dyDescent="0.2">
      <c r="A808" t="str">
        <f>IF(COUNTBLANK(B808:F808)&lt;&gt;COLUMNS(B808:F808),807,"")</f>
        <v/>
      </c>
      <c r="D808" s="1" t="str">
        <f t="shared" si="12"/>
        <v/>
      </c>
    </row>
    <row r="809" spans="1:4" x14ac:dyDescent="0.2">
      <c r="A809" t="str">
        <f>IF(COUNTBLANK(B809:F809)&lt;&gt;COLUMNS(B809:F809),808,"")</f>
        <v/>
      </c>
      <c r="D809" s="1" t="str">
        <f t="shared" si="12"/>
        <v/>
      </c>
    </row>
    <row r="810" spans="1:4" x14ac:dyDescent="0.2">
      <c r="A810" t="str">
        <f>IF(COUNTBLANK(B810:F810)&lt;&gt;COLUMNS(B810:F810),809,"")</f>
        <v/>
      </c>
      <c r="D810" s="1" t="str">
        <f t="shared" si="12"/>
        <v/>
      </c>
    </row>
    <row r="811" spans="1:4" x14ac:dyDescent="0.2">
      <c r="A811" t="str">
        <f>IF(COUNTBLANK(B811:F811)&lt;&gt;COLUMNS(B811:F811),810,"")</f>
        <v/>
      </c>
      <c r="D811" s="1" t="str">
        <f t="shared" si="12"/>
        <v/>
      </c>
    </row>
    <row r="812" spans="1:4" x14ac:dyDescent="0.2">
      <c r="A812" t="str">
        <f>IF(COUNTBLANK(B812:F812)&lt;&gt;COLUMNS(B812:F812),811,"")</f>
        <v/>
      </c>
      <c r="D812" s="1" t="str">
        <f t="shared" si="12"/>
        <v/>
      </c>
    </row>
    <row r="813" spans="1:4" x14ac:dyDescent="0.2">
      <c r="A813" t="str">
        <f>IF(COUNTBLANK(B813:F813)&lt;&gt;COLUMNS(B813:F813),812,"")</f>
        <v/>
      </c>
      <c r="D813" s="1" t="str">
        <f t="shared" si="12"/>
        <v/>
      </c>
    </row>
    <row r="814" spans="1:4" x14ac:dyDescent="0.2">
      <c r="A814" t="str">
        <f>IF(COUNTBLANK(B814:F814)&lt;&gt;COLUMNS(B814:F814),813,"")</f>
        <v/>
      </c>
      <c r="D814" s="1" t="str">
        <f t="shared" si="12"/>
        <v/>
      </c>
    </row>
    <row r="815" spans="1:4" x14ac:dyDescent="0.2">
      <c r="A815" t="str">
        <f>IF(COUNTBLANK(B815:F815)&lt;&gt;COLUMNS(B815:F815),814,"")</f>
        <v/>
      </c>
      <c r="D815" s="1" t="str">
        <f t="shared" si="12"/>
        <v/>
      </c>
    </row>
    <row r="816" spans="1:4" x14ac:dyDescent="0.2">
      <c r="A816" t="str">
        <f>IF(COUNTBLANK(B816:F816)&lt;&gt;COLUMNS(B816:F816),815,"")</f>
        <v/>
      </c>
      <c r="D816" s="1" t="str">
        <f t="shared" si="12"/>
        <v/>
      </c>
    </row>
    <row r="817" spans="1:4" x14ac:dyDescent="0.2">
      <c r="A817" t="str">
        <f>IF(COUNTBLANK(B817:F817)&lt;&gt;COLUMNS(B817:F817),816,"")</f>
        <v/>
      </c>
      <c r="D817" s="1" t="str">
        <f t="shared" si="12"/>
        <v/>
      </c>
    </row>
    <row r="818" spans="1:4" x14ac:dyDescent="0.2">
      <c r="A818" t="str">
        <f>IF(COUNTBLANK(B818:F818)&lt;&gt;COLUMNS(B818:F818),817,"")</f>
        <v/>
      </c>
      <c r="D818" s="1" t="str">
        <f t="shared" si="12"/>
        <v/>
      </c>
    </row>
    <row r="819" spans="1:4" x14ac:dyDescent="0.2">
      <c r="A819" t="str">
        <f>IF(COUNTBLANK(B819:F819)&lt;&gt;COLUMNS(B819:F819),818,"")</f>
        <v/>
      </c>
      <c r="D819" s="1" t="str">
        <f t="shared" si="12"/>
        <v/>
      </c>
    </row>
    <row r="820" spans="1:4" x14ac:dyDescent="0.2">
      <c r="A820" t="str">
        <f>IF(COUNTBLANK(B820:F820)&lt;&gt;COLUMNS(B820:F820),819,"")</f>
        <v/>
      </c>
      <c r="D820" s="1" t="str">
        <f t="shared" si="12"/>
        <v/>
      </c>
    </row>
    <row r="821" spans="1:4" x14ac:dyDescent="0.2">
      <c r="A821" t="str">
        <f>IF(COUNTBLANK(B821:F821)&lt;&gt;COLUMNS(B821:F821),820,"")</f>
        <v/>
      </c>
      <c r="D821" s="1" t="str">
        <f t="shared" si="12"/>
        <v/>
      </c>
    </row>
    <row r="822" spans="1:4" x14ac:dyDescent="0.2">
      <c r="A822" t="str">
        <f>IF(COUNTBLANK(B822:F822)&lt;&gt;COLUMNS(B822:F822),821,"")</f>
        <v/>
      </c>
      <c r="D822" s="1" t="str">
        <f t="shared" si="12"/>
        <v/>
      </c>
    </row>
    <row r="823" spans="1:4" x14ac:dyDescent="0.2">
      <c r="A823" t="str">
        <f>IF(COUNTBLANK(B823:F823)&lt;&gt;COLUMNS(B823:F823),822,"")</f>
        <v/>
      </c>
      <c r="D823" s="1" t="str">
        <f t="shared" si="12"/>
        <v/>
      </c>
    </row>
    <row r="824" spans="1:4" x14ac:dyDescent="0.2">
      <c r="A824" t="str">
        <f>IF(COUNTBLANK(B824:F824)&lt;&gt;COLUMNS(B824:F824),823,"")</f>
        <v/>
      </c>
      <c r="D824" s="1" t="str">
        <f t="shared" si="12"/>
        <v/>
      </c>
    </row>
    <row r="825" spans="1:4" x14ac:dyDescent="0.2">
      <c r="A825" t="str">
        <f>IF(COUNTBLANK(B825:F825)&lt;&gt;COLUMNS(B825:F825),824,"")</f>
        <v/>
      </c>
      <c r="D825" s="1" t="str">
        <f t="shared" si="12"/>
        <v/>
      </c>
    </row>
    <row r="826" spans="1:4" x14ac:dyDescent="0.2">
      <c r="A826" t="str">
        <f>IF(COUNTBLANK(B826:F826)&lt;&gt;COLUMNS(B826:F826),825,"")</f>
        <v/>
      </c>
      <c r="D826" s="1" t="str">
        <f t="shared" si="12"/>
        <v/>
      </c>
    </row>
    <row r="827" spans="1:4" x14ac:dyDescent="0.2">
      <c r="A827" t="str">
        <f>IF(COUNTBLANK(B827:F827)&lt;&gt;COLUMNS(B827:F827),826,"")</f>
        <v/>
      </c>
      <c r="D827" s="1" t="str">
        <f t="shared" si="12"/>
        <v/>
      </c>
    </row>
    <row r="828" spans="1:4" x14ac:dyDescent="0.2">
      <c r="A828" t="str">
        <f>IF(COUNTBLANK(B828:F828)&lt;&gt;COLUMNS(B828:F828),827,"")</f>
        <v/>
      </c>
      <c r="D828" s="1" t="str">
        <f t="shared" si="12"/>
        <v/>
      </c>
    </row>
    <row r="829" spans="1:4" x14ac:dyDescent="0.2">
      <c r="A829" t="str">
        <f>IF(COUNTBLANK(B829:F829)&lt;&gt;COLUMNS(B829:F829),828,"")</f>
        <v/>
      </c>
      <c r="D829" s="1" t="str">
        <f t="shared" si="12"/>
        <v/>
      </c>
    </row>
    <row r="830" spans="1:4" x14ac:dyDescent="0.2">
      <c r="A830" t="str">
        <f>IF(COUNTBLANK(B830:F830)&lt;&gt;COLUMNS(B830:F830),829,"")</f>
        <v/>
      </c>
      <c r="D830" s="1" t="str">
        <f t="shared" si="12"/>
        <v/>
      </c>
    </row>
    <row r="831" spans="1:4" x14ac:dyDescent="0.2">
      <c r="A831" t="str">
        <f>IF(COUNTBLANK(B831:F831)&lt;&gt;COLUMNS(B831:F831),830,"")</f>
        <v/>
      </c>
      <c r="D831" s="1" t="str">
        <f t="shared" si="12"/>
        <v/>
      </c>
    </row>
    <row r="832" spans="1:4" x14ac:dyDescent="0.2">
      <c r="A832" t="str">
        <f>IF(COUNTBLANK(B832:F832)&lt;&gt;COLUMNS(B832:F832),831,"")</f>
        <v/>
      </c>
      <c r="D832" s="1" t="str">
        <f t="shared" si="12"/>
        <v/>
      </c>
    </row>
    <row r="833" spans="1:4" x14ac:dyDescent="0.2">
      <c r="A833" t="str">
        <f>IF(COUNTBLANK(B833:F833)&lt;&gt;COLUMNS(B833:F833),832,"")</f>
        <v/>
      </c>
      <c r="D833" s="1" t="str">
        <f t="shared" si="12"/>
        <v/>
      </c>
    </row>
    <row r="834" spans="1:4" x14ac:dyDescent="0.2">
      <c r="A834" t="str">
        <f>IF(COUNTBLANK(B834:F834)&lt;&gt;COLUMNS(B834:F834),833,"")</f>
        <v/>
      </c>
      <c r="D834" s="1" t="str">
        <f t="shared" ref="D834:D897" si="13">IF(B834="", "", "f")</f>
        <v/>
      </c>
    </row>
    <row r="835" spans="1:4" x14ac:dyDescent="0.2">
      <c r="A835" t="str">
        <f>IF(COUNTBLANK(B835:F835)&lt;&gt;COLUMNS(B835:F835),834,"")</f>
        <v/>
      </c>
      <c r="D835" s="1" t="str">
        <f t="shared" si="13"/>
        <v/>
      </c>
    </row>
    <row r="836" spans="1:4" x14ac:dyDescent="0.2">
      <c r="A836" t="str">
        <f>IF(COUNTBLANK(B836:F836)&lt;&gt;COLUMNS(B836:F836),835,"")</f>
        <v/>
      </c>
      <c r="D836" s="1" t="str">
        <f t="shared" si="13"/>
        <v/>
      </c>
    </row>
    <row r="837" spans="1:4" x14ac:dyDescent="0.2">
      <c r="A837" t="str">
        <f>IF(COUNTBLANK(B837:F837)&lt;&gt;COLUMNS(B837:F837),836,"")</f>
        <v/>
      </c>
      <c r="D837" s="1" t="str">
        <f t="shared" si="13"/>
        <v/>
      </c>
    </row>
    <row r="838" spans="1:4" x14ac:dyDescent="0.2">
      <c r="A838" t="str">
        <f>IF(COUNTBLANK(B838:F838)&lt;&gt;COLUMNS(B838:F838),837,"")</f>
        <v/>
      </c>
      <c r="D838" s="1" t="str">
        <f t="shared" si="13"/>
        <v/>
      </c>
    </row>
    <row r="839" spans="1:4" x14ac:dyDescent="0.2">
      <c r="A839" t="str">
        <f>IF(COUNTBLANK(B839:F839)&lt;&gt;COLUMNS(B839:F839),838,"")</f>
        <v/>
      </c>
      <c r="D839" s="1" t="str">
        <f t="shared" si="13"/>
        <v/>
      </c>
    </row>
    <row r="840" spans="1:4" x14ac:dyDescent="0.2">
      <c r="A840" t="str">
        <f>IF(COUNTBLANK(B840:F840)&lt;&gt;COLUMNS(B840:F840),839,"")</f>
        <v/>
      </c>
      <c r="D840" s="1" t="str">
        <f t="shared" si="13"/>
        <v/>
      </c>
    </row>
    <row r="841" spans="1:4" x14ac:dyDescent="0.2">
      <c r="A841" t="str">
        <f>IF(COUNTBLANK(B841:F841)&lt;&gt;COLUMNS(B841:F841),840,"")</f>
        <v/>
      </c>
      <c r="D841" s="1" t="str">
        <f t="shared" si="13"/>
        <v/>
      </c>
    </row>
    <row r="842" spans="1:4" x14ac:dyDescent="0.2">
      <c r="A842" t="str">
        <f>IF(COUNTBLANK(B842:F842)&lt;&gt;COLUMNS(B842:F842),841,"")</f>
        <v/>
      </c>
      <c r="D842" s="1" t="str">
        <f t="shared" si="13"/>
        <v/>
      </c>
    </row>
    <row r="843" spans="1:4" x14ac:dyDescent="0.2">
      <c r="A843" t="str">
        <f>IF(COUNTBLANK(B843:F843)&lt;&gt;COLUMNS(B843:F843),842,"")</f>
        <v/>
      </c>
      <c r="D843" s="1" t="str">
        <f t="shared" si="13"/>
        <v/>
      </c>
    </row>
    <row r="844" spans="1:4" x14ac:dyDescent="0.2">
      <c r="A844" t="str">
        <f>IF(COUNTBLANK(B844:F844)&lt;&gt;COLUMNS(B844:F844),843,"")</f>
        <v/>
      </c>
      <c r="D844" s="1" t="str">
        <f t="shared" si="13"/>
        <v/>
      </c>
    </row>
    <row r="845" spans="1:4" x14ac:dyDescent="0.2">
      <c r="A845" t="str">
        <f>IF(COUNTBLANK(B845:F845)&lt;&gt;COLUMNS(B845:F845),844,"")</f>
        <v/>
      </c>
      <c r="D845" s="1" t="str">
        <f t="shared" si="13"/>
        <v/>
      </c>
    </row>
    <row r="846" spans="1:4" x14ac:dyDescent="0.2">
      <c r="A846" t="str">
        <f>IF(COUNTBLANK(B846:F846)&lt;&gt;COLUMNS(B846:F846),845,"")</f>
        <v/>
      </c>
      <c r="D846" s="1" t="str">
        <f t="shared" si="13"/>
        <v/>
      </c>
    </row>
    <row r="847" spans="1:4" x14ac:dyDescent="0.2">
      <c r="A847" t="str">
        <f>IF(COUNTBLANK(B847:F847)&lt;&gt;COLUMNS(B847:F847),846,"")</f>
        <v/>
      </c>
      <c r="D847" s="1" t="str">
        <f t="shared" si="13"/>
        <v/>
      </c>
    </row>
    <row r="848" spans="1:4" x14ac:dyDescent="0.2">
      <c r="A848" t="str">
        <f>IF(COUNTBLANK(B848:F848)&lt;&gt;COLUMNS(B848:F848),847,"")</f>
        <v/>
      </c>
      <c r="D848" s="1" t="str">
        <f t="shared" si="13"/>
        <v/>
      </c>
    </row>
    <row r="849" spans="1:4" x14ac:dyDescent="0.2">
      <c r="A849" t="str">
        <f>IF(COUNTBLANK(B849:F849)&lt;&gt;COLUMNS(B849:F849),848,"")</f>
        <v/>
      </c>
      <c r="D849" s="1" t="str">
        <f t="shared" si="13"/>
        <v/>
      </c>
    </row>
    <row r="850" spans="1:4" x14ac:dyDescent="0.2">
      <c r="A850" t="str">
        <f>IF(COUNTBLANK(B850:F850)&lt;&gt;COLUMNS(B850:F850),849,"")</f>
        <v/>
      </c>
      <c r="D850" s="1" t="str">
        <f t="shared" si="13"/>
        <v/>
      </c>
    </row>
    <row r="851" spans="1:4" x14ac:dyDescent="0.2">
      <c r="A851" t="str">
        <f>IF(COUNTBLANK(B851:F851)&lt;&gt;COLUMNS(B851:F851),850,"")</f>
        <v/>
      </c>
      <c r="D851" s="1" t="str">
        <f t="shared" si="13"/>
        <v/>
      </c>
    </row>
    <row r="852" spans="1:4" x14ac:dyDescent="0.2">
      <c r="A852" t="str">
        <f>IF(COUNTBLANK(B852:F852)&lt;&gt;COLUMNS(B852:F852),851,"")</f>
        <v/>
      </c>
      <c r="D852" s="1" t="str">
        <f t="shared" si="13"/>
        <v/>
      </c>
    </row>
    <row r="853" spans="1:4" x14ac:dyDescent="0.2">
      <c r="A853" t="str">
        <f>IF(COUNTBLANK(B853:F853)&lt;&gt;COLUMNS(B853:F853),852,"")</f>
        <v/>
      </c>
      <c r="D853" s="1" t="str">
        <f t="shared" si="13"/>
        <v/>
      </c>
    </row>
    <row r="854" spans="1:4" x14ac:dyDescent="0.2">
      <c r="A854" t="str">
        <f>IF(COUNTBLANK(B854:F854)&lt;&gt;COLUMNS(B854:F854),853,"")</f>
        <v/>
      </c>
      <c r="D854" s="1" t="str">
        <f t="shared" si="13"/>
        <v/>
      </c>
    </row>
    <row r="855" spans="1:4" x14ac:dyDescent="0.2">
      <c r="A855" t="str">
        <f>IF(COUNTBLANK(B855:F855)&lt;&gt;COLUMNS(B855:F855),854,"")</f>
        <v/>
      </c>
      <c r="D855" s="1" t="str">
        <f t="shared" si="13"/>
        <v/>
      </c>
    </row>
    <row r="856" spans="1:4" x14ac:dyDescent="0.2">
      <c r="A856" t="str">
        <f>IF(COUNTBLANK(B856:F856)&lt;&gt;COLUMNS(B856:F856),855,"")</f>
        <v/>
      </c>
      <c r="D856" s="1" t="str">
        <f t="shared" si="13"/>
        <v/>
      </c>
    </row>
    <row r="857" spans="1:4" x14ac:dyDescent="0.2">
      <c r="A857" t="str">
        <f>IF(COUNTBLANK(B857:F857)&lt;&gt;COLUMNS(B857:F857),856,"")</f>
        <v/>
      </c>
      <c r="D857" s="1" t="str">
        <f t="shared" si="13"/>
        <v/>
      </c>
    </row>
    <row r="858" spans="1:4" x14ac:dyDescent="0.2">
      <c r="A858" t="str">
        <f>IF(COUNTBLANK(B858:F858)&lt;&gt;COLUMNS(B858:F858),857,"")</f>
        <v/>
      </c>
      <c r="D858" s="1" t="str">
        <f t="shared" si="13"/>
        <v/>
      </c>
    </row>
    <row r="859" spans="1:4" x14ac:dyDescent="0.2">
      <c r="A859" t="str">
        <f>IF(COUNTBLANK(B859:F859)&lt;&gt;COLUMNS(B859:F859),858,"")</f>
        <v/>
      </c>
      <c r="D859" s="1" t="str">
        <f t="shared" si="13"/>
        <v/>
      </c>
    </row>
    <row r="860" spans="1:4" x14ac:dyDescent="0.2">
      <c r="A860" t="str">
        <f>IF(COUNTBLANK(B860:F860)&lt;&gt;COLUMNS(B860:F860),859,"")</f>
        <v/>
      </c>
      <c r="D860" s="1" t="str">
        <f t="shared" si="13"/>
        <v/>
      </c>
    </row>
    <row r="861" spans="1:4" x14ac:dyDescent="0.2">
      <c r="A861" t="str">
        <f>IF(COUNTBLANK(B861:F861)&lt;&gt;COLUMNS(B861:F861),860,"")</f>
        <v/>
      </c>
      <c r="D861" s="1" t="str">
        <f t="shared" si="13"/>
        <v/>
      </c>
    </row>
    <row r="862" spans="1:4" x14ac:dyDescent="0.2">
      <c r="A862" t="str">
        <f>IF(COUNTBLANK(B862:F862)&lt;&gt;COLUMNS(B862:F862),861,"")</f>
        <v/>
      </c>
      <c r="D862" s="1" t="str">
        <f t="shared" si="13"/>
        <v/>
      </c>
    </row>
    <row r="863" spans="1:4" x14ac:dyDescent="0.2">
      <c r="A863" t="str">
        <f>IF(COUNTBLANK(B863:F863)&lt;&gt;COLUMNS(B863:F863),862,"")</f>
        <v/>
      </c>
      <c r="D863" s="1" t="str">
        <f t="shared" si="13"/>
        <v/>
      </c>
    </row>
    <row r="864" spans="1:4" x14ac:dyDescent="0.2">
      <c r="A864" t="str">
        <f>IF(COUNTBLANK(B864:F864)&lt;&gt;COLUMNS(B864:F864),863,"")</f>
        <v/>
      </c>
      <c r="D864" s="1" t="str">
        <f t="shared" si="13"/>
        <v/>
      </c>
    </row>
    <row r="865" spans="1:4" x14ac:dyDescent="0.2">
      <c r="A865" t="str">
        <f>IF(COUNTBLANK(B865:F865)&lt;&gt;COLUMNS(B865:F865),864,"")</f>
        <v/>
      </c>
      <c r="D865" s="1" t="str">
        <f t="shared" si="13"/>
        <v/>
      </c>
    </row>
    <row r="866" spans="1:4" x14ac:dyDescent="0.2">
      <c r="A866" t="str">
        <f>IF(COUNTBLANK(B866:F866)&lt;&gt;COLUMNS(B866:F866),865,"")</f>
        <v/>
      </c>
      <c r="D866" s="1" t="str">
        <f t="shared" si="13"/>
        <v/>
      </c>
    </row>
    <row r="867" spans="1:4" x14ac:dyDescent="0.2">
      <c r="A867" t="str">
        <f>IF(COUNTBLANK(B867:F867)&lt;&gt;COLUMNS(B867:F867),866,"")</f>
        <v/>
      </c>
      <c r="D867" s="1" t="str">
        <f t="shared" si="13"/>
        <v/>
      </c>
    </row>
    <row r="868" spans="1:4" x14ac:dyDescent="0.2">
      <c r="A868" t="str">
        <f>IF(COUNTBLANK(B868:F868)&lt;&gt;COLUMNS(B868:F868),867,"")</f>
        <v/>
      </c>
      <c r="D868" s="1" t="str">
        <f t="shared" si="13"/>
        <v/>
      </c>
    </row>
    <row r="869" spans="1:4" x14ac:dyDescent="0.2">
      <c r="A869" t="str">
        <f>IF(COUNTBLANK(B869:F869)&lt;&gt;COLUMNS(B869:F869),868,"")</f>
        <v/>
      </c>
      <c r="D869" s="1" t="str">
        <f t="shared" si="13"/>
        <v/>
      </c>
    </row>
    <row r="870" spans="1:4" x14ac:dyDescent="0.2">
      <c r="A870" t="str">
        <f>IF(COUNTBLANK(B870:F870)&lt;&gt;COLUMNS(B870:F870),869,"")</f>
        <v/>
      </c>
      <c r="D870" s="1" t="str">
        <f t="shared" si="13"/>
        <v/>
      </c>
    </row>
    <row r="871" spans="1:4" x14ac:dyDescent="0.2">
      <c r="A871" t="str">
        <f>IF(COUNTBLANK(B871:F871)&lt;&gt;COLUMNS(B871:F871),870,"")</f>
        <v/>
      </c>
      <c r="D871" s="1" t="str">
        <f t="shared" si="13"/>
        <v/>
      </c>
    </row>
    <row r="872" spans="1:4" x14ac:dyDescent="0.2">
      <c r="A872" t="str">
        <f>IF(COUNTBLANK(B872:F872)&lt;&gt;COLUMNS(B872:F872),871,"")</f>
        <v/>
      </c>
      <c r="D872" s="1" t="str">
        <f t="shared" si="13"/>
        <v/>
      </c>
    </row>
    <row r="873" spans="1:4" x14ac:dyDescent="0.2">
      <c r="A873" t="str">
        <f>IF(COUNTBLANK(B873:F873)&lt;&gt;COLUMNS(B873:F873),872,"")</f>
        <v/>
      </c>
      <c r="D873" s="1" t="str">
        <f t="shared" si="13"/>
        <v/>
      </c>
    </row>
    <row r="874" spans="1:4" x14ac:dyDescent="0.2">
      <c r="A874" t="str">
        <f>IF(COUNTBLANK(B874:F874)&lt;&gt;COLUMNS(B874:F874),873,"")</f>
        <v/>
      </c>
      <c r="D874" s="1" t="str">
        <f t="shared" si="13"/>
        <v/>
      </c>
    </row>
    <row r="875" spans="1:4" x14ac:dyDescent="0.2">
      <c r="A875" t="str">
        <f>IF(COUNTBLANK(B875:F875)&lt;&gt;COLUMNS(B875:F875),874,"")</f>
        <v/>
      </c>
      <c r="D875" s="1" t="str">
        <f t="shared" si="13"/>
        <v/>
      </c>
    </row>
    <row r="876" spans="1:4" x14ac:dyDescent="0.2">
      <c r="A876" t="str">
        <f>IF(COUNTBLANK(B876:F876)&lt;&gt;COLUMNS(B876:F876),875,"")</f>
        <v/>
      </c>
      <c r="D876" s="1" t="str">
        <f t="shared" si="13"/>
        <v/>
      </c>
    </row>
    <row r="877" spans="1:4" x14ac:dyDescent="0.2">
      <c r="A877" t="str">
        <f>IF(COUNTBLANK(B877:F877)&lt;&gt;COLUMNS(B877:F877),876,"")</f>
        <v/>
      </c>
      <c r="D877" s="1" t="str">
        <f t="shared" si="13"/>
        <v/>
      </c>
    </row>
    <row r="878" spans="1:4" x14ac:dyDescent="0.2">
      <c r="A878" t="str">
        <f>IF(COUNTBLANK(B878:F878)&lt;&gt;COLUMNS(B878:F878),877,"")</f>
        <v/>
      </c>
      <c r="D878" s="1" t="str">
        <f t="shared" si="13"/>
        <v/>
      </c>
    </row>
    <row r="879" spans="1:4" x14ac:dyDescent="0.2">
      <c r="A879" t="str">
        <f>IF(COUNTBLANK(B879:F879)&lt;&gt;COLUMNS(B879:F879),878,"")</f>
        <v/>
      </c>
      <c r="D879" s="1" t="str">
        <f t="shared" si="13"/>
        <v/>
      </c>
    </row>
    <row r="880" spans="1:4" x14ac:dyDescent="0.2">
      <c r="A880" t="str">
        <f>IF(COUNTBLANK(B880:F880)&lt;&gt;COLUMNS(B880:F880),879,"")</f>
        <v/>
      </c>
      <c r="D880" s="1" t="str">
        <f t="shared" si="13"/>
        <v/>
      </c>
    </row>
    <row r="881" spans="1:4" x14ac:dyDescent="0.2">
      <c r="A881" t="str">
        <f>IF(COUNTBLANK(B881:F881)&lt;&gt;COLUMNS(B881:F881),880,"")</f>
        <v/>
      </c>
      <c r="D881" s="1" t="str">
        <f t="shared" si="13"/>
        <v/>
      </c>
    </row>
    <row r="882" spans="1:4" x14ac:dyDescent="0.2">
      <c r="A882" t="str">
        <f>IF(COUNTBLANK(B882:F882)&lt;&gt;COLUMNS(B882:F882),881,"")</f>
        <v/>
      </c>
      <c r="D882" s="1" t="str">
        <f t="shared" si="13"/>
        <v/>
      </c>
    </row>
    <row r="883" spans="1:4" x14ac:dyDescent="0.2">
      <c r="A883" t="str">
        <f>IF(COUNTBLANK(B883:F883)&lt;&gt;COLUMNS(B883:F883),882,"")</f>
        <v/>
      </c>
      <c r="D883" s="1" t="str">
        <f t="shared" si="13"/>
        <v/>
      </c>
    </row>
    <row r="884" spans="1:4" x14ac:dyDescent="0.2">
      <c r="A884" t="str">
        <f>IF(COUNTBLANK(B884:F884)&lt;&gt;COLUMNS(B884:F884),883,"")</f>
        <v/>
      </c>
      <c r="D884" s="1" t="str">
        <f t="shared" si="13"/>
        <v/>
      </c>
    </row>
    <row r="885" spans="1:4" x14ac:dyDescent="0.2">
      <c r="A885" t="str">
        <f>IF(COUNTBLANK(B885:F885)&lt;&gt;COLUMNS(B885:F885),884,"")</f>
        <v/>
      </c>
      <c r="D885" s="1" t="str">
        <f t="shared" si="13"/>
        <v/>
      </c>
    </row>
    <row r="886" spans="1:4" x14ac:dyDescent="0.2">
      <c r="A886" t="str">
        <f>IF(COUNTBLANK(B886:F886)&lt;&gt;COLUMNS(B886:F886),885,"")</f>
        <v/>
      </c>
      <c r="D886" s="1" t="str">
        <f t="shared" si="13"/>
        <v/>
      </c>
    </row>
    <row r="887" spans="1:4" x14ac:dyDescent="0.2">
      <c r="A887" t="str">
        <f>IF(COUNTBLANK(B887:F887)&lt;&gt;COLUMNS(B887:F887),886,"")</f>
        <v/>
      </c>
      <c r="D887" s="1" t="str">
        <f t="shared" si="13"/>
        <v/>
      </c>
    </row>
    <row r="888" spans="1:4" x14ac:dyDescent="0.2">
      <c r="A888" t="str">
        <f>IF(COUNTBLANK(B888:F888)&lt;&gt;COLUMNS(B888:F888),887,"")</f>
        <v/>
      </c>
      <c r="D888" s="1" t="str">
        <f t="shared" si="13"/>
        <v/>
      </c>
    </row>
    <row r="889" spans="1:4" x14ac:dyDescent="0.2">
      <c r="A889" t="str">
        <f>IF(COUNTBLANK(B889:F889)&lt;&gt;COLUMNS(B889:F889),888,"")</f>
        <v/>
      </c>
      <c r="D889" s="1" t="str">
        <f t="shared" si="13"/>
        <v/>
      </c>
    </row>
    <row r="890" spans="1:4" x14ac:dyDescent="0.2">
      <c r="A890" t="str">
        <f>IF(COUNTBLANK(B890:F890)&lt;&gt;COLUMNS(B890:F890),889,"")</f>
        <v/>
      </c>
      <c r="D890" s="1" t="str">
        <f t="shared" si="13"/>
        <v/>
      </c>
    </row>
    <row r="891" spans="1:4" x14ac:dyDescent="0.2">
      <c r="A891" t="str">
        <f>IF(COUNTBLANK(B891:F891)&lt;&gt;COLUMNS(B891:F891),890,"")</f>
        <v/>
      </c>
      <c r="D891" s="1" t="str">
        <f t="shared" si="13"/>
        <v/>
      </c>
    </row>
    <row r="892" spans="1:4" x14ac:dyDescent="0.2">
      <c r="A892" t="str">
        <f>IF(COUNTBLANK(B892:F892)&lt;&gt;COLUMNS(B892:F892),891,"")</f>
        <v/>
      </c>
      <c r="D892" s="1" t="str">
        <f t="shared" si="13"/>
        <v/>
      </c>
    </row>
    <row r="893" spans="1:4" x14ac:dyDescent="0.2">
      <c r="A893" t="str">
        <f>IF(COUNTBLANK(B893:F893)&lt;&gt;COLUMNS(B893:F893),892,"")</f>
        <v/>
      </c>
      <c r="D893" s="1" t="str">
        <f t="shared" si="13"/>
        <v/>
      </c>
    </row>
    <row r="894" spans="1:4" x14ac:dyDescent="0.2">
      <c r="A894" t="str">
        <f>IF(COUNTBLANK(B894:F894)&lt;&gt;COLUMNS(B894:F894),893,"")</f>
        <v/>
      </c>
      <c r="D894" s="1" t="str">
        <f t="shared" si="13"/>
        <v/>
      </c>
    </row>
    <row r="895" spans="1:4" x14ac:dyDescent="0.2">
      <c r="A895" t="str">
        <f>IF(COUNTBLANK(B895:F895)&lt;&gt;COLUMNS(B895:F895),894,"")</f>
        <v/>
      </c>
      <c r="D895" s="1" t="str">
        <f t="shared" si="13"/>
        <v/>
      </c>
    </row>
    <row r="896" spans="1:4" x14ac:dyDescent="0.2">
      <c r="A896" t="str">
        <f>IF(COUNTBLANK(B896:F896)&lt;&gt;COLUMNS(B896:F896),895,"")</f>
        <v/>
      </c>
      <c r="D896" s="1" t="str">
        <f t="shared" si="13"/>
        <v/>
      </c>
    </row>
    <row r="897" spans="1:4" x14ac:dyDescent="0.2">
      <c r="A897" t="str">
        <f>IF(COUNTBLANK(B897:F897)&lt;&gt;COLUMNS(B897:F897),896,"")</f>
        <v/>
      </c>
      <c r="D897" s="1" t="str">
        <f t="shared" si="13"/>
        <v/>
      </c>
    </row>
    <row r="898" spans="1:4" x14ac:dyDescent="0.2">
      <c r="A898" t="str">
        <f>IF(COUNTBLANK(B898:F898)&lt;&gt;COLUMNS(B898:F898),897,"")</f>
        <v/>
      </c>
      <c r="D898" s="1" t="str">
        <f t="shared" ref="D898:D961" si="14">IF(B898="", "", "f")</f>
        <v/>
      </c>
    </row>
    <row r="899" spans="1:4" x14ac:dyDescent="0.2">
      <c r="A899" t="str">
        <f>IF(COUNTBLANK(B899:F899)&lt;&gt;COLUMNS(B899:F899),898,"")</f>
        <v/>
      </c>
      <c r="D899" s="1" t="str">
        <f t="shared" si="14"/>
        <v/>
      </c>
    </row>
    <row r="900" spans="1:4" x14ac:dyDescent="0.2">
      <c r="A900" t="str">
        <f>IF(COUNTBLANK(B900:F900)&lt;&gt;COLUMNS(B900:F900),899,"")</f>
        <v/>
      </c>
      <c r="D900" s="1" t="str">
        <f t="shared" si="14"/>
        <v/>
      </c>
    </row>
    <row r="901" spans="1:4" x14ac:dyDescent="0.2">
      <c r="A901" t="str">
        <f>IF(COUNTBLANK(B901:F901)&lt;&gt;COLUMNS(B901:F901),900,"")</f>
        <v/>
      </c>
      <c r="D901" s="1" t="str">
        <f t="shared" si="14"/>
        <v/>
      </c>
    </row>
    <row r="902" spans="1:4" x14ac:dyDescent="0.2">
      <c r="A902" t="str">
        <f>IF(COUNTBLANK(B902:F902)&lt;&gt;COLUMNS(B902:F902),901,"")</f>
        <v/>
      </c>
      <c r="D902" s="1" t="str">
        <f t="shared" si="14"/>
        <v/>
      </c>
    </row>
    <row r="903" spans="1:4" x14ac:dyDescent="0.2">
      <c r="A903" t="str">
        <f>IF(COUNTBLANK(B903:F903)&lt;&gt;COLUMNS(B903:F903),902,"")</f>
        <v/>
      </c>
      <c r="D903" s="1" t="str">
        <f t="shared" si="14"/>
        <v/>
      </c>
    </row>
    <row r="904" spans="1:4" x14ac:dyDescent="0.2">
      <c r="A904" t="str">
        <f>IF(COUNTBLANK(B904:F904)&lt;&gt;COLUMNS(B904:F904),903,"")</f>
        <v/>
      </c>
      <c r="D904" s="1" t="str">
        <f t="shared" si="14"/>
        <v/>
      </c>
    </row>
    <row r="905" spans="1:4" x14ac:dyDescent="0.2">
      <c r="A905" t="str">
        <f>IF(COUNTBLANK(B905:F905)&lt;&gt;COLUMNS(B905:F905),904,"")</f>
        <v/>
      </c>
      <c r="D905" s="1" t="str">
        <f t="shared" si="14"/>
        <v/>
      </c>
    </row>
    <row r="906" spans="1:4" x14ac:dyDescent="0.2">
      <c r="A906" t="str">
        <f>IF(COUNTBLANK(B906:F906)&lt;&gt;COLUMNS(B906:F906),905,"")</f>
        <v/>
      </c>
      <c r="D906" s="1" t="str">
        <f t="shared" si="14"/>
        <v/>
      </c>
    </row>
    <row r="907" spans="1:4" x14ac:dyDescent="0.2">
      <c r="A907" t="str">
        <f>IF(COUNTBLANK(B907:F907)&lt;&gt;COLUMNS(B907:F907),906,"")</f>
        <v/>
      </c>
      <c r="D907" s="1" t="str">
        <f t="shared" si="14"/>
        <v/>
      </c>
    </row>
    <row r="908" spans="1:4" x14ac:dyDescent="0.2">
      <c r="A908" t="str">
        <f>IF(COUNTBLANK(B908:F908)&lt;&gt;COLUMNS(B908:F908),907,"")</f>
        <v/>
      </c>
      <c r="D908" s="1" t="str">
        <f t="shared" si="14"/>
        <v/>
      </c>
    </row>
    <row r="909" spans="1:4" x14ac:dyDescent="0.2">
      <c r="A909" t="str">
        <f>IF(COUNTBLANK(B909:F909)&lt;&gt;COLUMNS(B909:F909),908,"")</f>
        <v/>
      </c>
      <c r="D909" s="1" t="str">
        <f t="shared" si="14"/>
        <v/>
      </c>
    </row>
    <row r="910" spans="1:4" x14ac:dyDescent="0.2">
      <c r="A910" t="str">
        <f>IF(COUNTBLANK(B910:F910)&lt;&gt;COLUMNS(B910:F910),909,"")</f>
        <v/>
      </c>
      <c r="D910" s="1" t="str">
        <f t="shared" si="14"/>
        <v/>
      </c>
    </row>
    <row r="911" spans="1:4" x14ac:dyDescent="0.2">
      <c r="A911" t="str">
        <f>IF(COUNTBLANK(B911:F911)&lt;&gt;COLUMNS(B911:F911),910,"")</f>
        <v/>
      </c>
      <c r="D911" s="1" t="str">
        <f t="shared" si="14"/>
        <v/>
      </c>
    </row>
    <row r="912" spans="1:4" x14ac:dyDescent="0.2">
      <c r="A912" t="str">
        <f>IF(COUNTBLANK(B912:F912)&lt;&gt;COLUMNS(B912:F912),911,"")</f>
        <v/>
      </c>
      <c r="D912" s="1" t="str">
        <f t="shared" si="14"/>
        <v/>
      </c>
    </row>
    <row r="913" spans="1:4" x14ac:dyDescent="0.2">
      <c r="A913" t="str">
        <f>IF(COUNTBLANK(B913:F913)&lt;&gt;COLUMNS(B913:F913),912,"")</f>
        <v/>
      </c>
      <c r="D913" s="1" t="str">
        <f t="shared" si="14"/>
        <v/>
      </c>
    </row>
    <row r="914" spans="1:4" x14ac:dyDescent="0.2">
      <c r="A914" t="str">
        <f>IF(COUNTBLANK(B914:F914)&lt;&gt;COLUMNS(B914:F914),913,"")</f>
        <v/>
      </c>
      <c r="D914" s="1" t="str">
        <f t="shared" si="14"/>
        <v/>
      </c>
    </row>
    <row r="915" spans="1:4" x14ac:dyDescent="0.2">
      <c r="A915" t="str">
        <f>IF(COUNTBLANK(B915:F915)&lt;&gt;COLUMNS(B915:F915),914,"")</f>
        <v/>
      </c>
      <c r="D915" s="1" t="str">
        <f t="shared" si="14"/>
        <v/>
      </c>
    </row>
    <row r="916" spans="1:4" x14ac:dyDescent="0.2">
      <c r="A916" t="str">
        <f>IF(COUNTBLANK(B916:F916)&lt;&gt;COLUMNS(B916:F916),915,"")</f>
        <v/>
      </c>
      <c r="D916" s="1" t="str">
        <f t="shared" si="14"/>
        <v/>
      </c>
    </row>
    <row r="917" spans="1:4" x14ac:dyDescent="0.2">
      <c r="A917" t="str">
        <f>IF(COUNTBLANK(B917:F917)&lt;&gt;COLUMNS(B917:F917),916,"")</f>
        <v/>
      </c>
      <c r="D917" s="1" t="str">
        <f t="shared" si="14"/>
        <v/>
      </c>
    </row>
    <row r="918" spans="1:4" x14ac:dyDescent="0.2">
      <c r="A918" t="str">
        <f>IF(COUNTBLANK(B918:F918)&lt;&gt;COLUMNS(B918:F918),917,"")</f>
        <v/>
      </c>
      <c r="D918" s="1" t="str">
        <f t="shared" si="14"/>
        <v/>
      </c>
    </row>
    <row r="919" spans="1:4" x14ac:dyDescent="0.2">
      <c r="A919" t="str">
        <f>IF(COUNTBLANK(B919:F919)&lt;&gt;COLUMNS(B919:F919),918,"")</f>
        <v/>
      </c>
      <c r="D919" s="1" t="str">
        <f t="shared" si="14"/>
        <v/>
      </c>
    </row>
    <row r="920" spans="1:4" x14ac:dyDescent="0.2">
      <c r="A920" t="str">
        <f>IF(COUNTBLANK(B920:F920)&lt;&gt;COLUMNS(B920:F920),919,"")</f>
        <v/>
      </c>
      <c r="D920" s="1" t="str">
        <f t="shared" si="14"/>
        <v/>
      </c>
    </row>
    <row r="921" spans="1:4" x14ac:dyDescent="0.2">
      <c r="A921" t="str">
        <f>IF(COUNTBLANK(B921:F921)&lt;&gt;COLUMNS(B921:F921),920,"")</f>
        <v/>
      </c>
      <c r="D921" s="1" t="str">
        <f t="shared" si="14"/>
        <v/>
      </c>
    </row>
    <row r="922" spans="1:4" x14ac:dyDescent="0.2">
      <c r="A922" t="str">
        <f>IF(COUNTBLANK(B922:F922)&lt;&gt;COLUMNS(B922:F922),921,"")</f>
        <v/>
      </c>
      <c r="D922" s="1" t="str">
        <f t="shared" si="14"/>
        <v/>
      </c>
    </row>
    <row r="923" spans="1:4" x14ac:dyDescent="0.2">
      <c r="A923" t="str">
        <f>IF(COUNTBLANK(B923:F923)&lt;&gt;COLUMNS(B923:F923),922,"")</f>
        <v/>
      </c>
      <c r="D923" s="1" t="str">
        <f t="shared" si="14"/>
        <v/>
      </c>
    </row>
    <row r="924" spans="1:4" x14ac:dyDescent="0.2">
      <c r="A924" t="str">
        <f>IF(COUNTBLANK(B924:F924)&lt;&gt;COLUMNS(B924:F924),923,"")</f>
        <v/>
      </c>
      <c r="D924" s="1" t="str">
        <f t="shared" si="14"/>
        <v/>
      </c>
    </row>
    <row r="925" spans="1:4" x14ac:dyDescent="0.2">
      <c r="A925" t="str">
        <f>IF(COUNTBLANK(B925:F925)&lt;&gt;COLUMNS(B925:F925),924,"")</f>
        <v/>
      </c>
      <c r="D925" s="1" t="str">
        <f t="shared" si="14"/>
        <v/>
      </c>
    </row>
    <row r="926" spans="1:4" x14ac:dyDescent="0.2">
      <c r="A926" t="str">
        <f>IF(COUNTBLANK(B926:F926)&lt;&gt;COLUMNS(B926:F926),925,"")</f>
        <v/>
      </c>
      <c r="D926" s="1" t="str">
        <f t="shared" si="14"/>
        <v/>
      </c>
    </row>
    <row r="927" spans="1:4" x14ac:dyDescent="0.2">
      <c r="A927" t="str">
        <f>IF(COUNTBLANK(B927:F927)&lt;&gt;COLUMNS(B927:F927),926,"")</f>
        <v/>
      </c>
      <c r="D927" s="1" t="str">
        <f t="shared" si="14"/>
        <v/>
      </c>
    </row>
    <row r="928" spans="1:4" x14ac:dyDescent="0.2">
      <c r="A928" t="str">
        <f>IF(COUNTBLANK(B928:F928)&lt;&gt;COLUMNS(B928:F928),927,"")</f>
        <v/>
      </c>
      <c r="D928" s="1" t="str">
        <f t="shared" si="14"/>
        <v/>
      </c>
    </row>
    <row r="929" spans="1:4" x14ac:dyDescent="0.2">
      <c r="A929" t="str">
        <f>IF(COUNTBLANK(B929:F929)&lt;&gt;COLUMNS(B929:F929),928,"")</f>
        <v/>
      </c>
      <c r="D929" s="1" t="str">
        <f t="shared" si="14"/>
        <v/>
      </c>
    </row>
    <row r="930" spans="1:4" x14ac:dyDescent="0.2">
      <c r="A930" t="str">
        <f>IF(COUNTBLANK(B930:F930)&lt;&gt;COLUMNS(B930:F930),929,"")</f>
        <v/>
      </c>
      <c r="D930" s="1" t="str">
        <f t="shared" si="14"/>
        <v/>
      </c>
    </row>
    <row r="931" spans="1:4" x14ac:dyDescent="0.2">
      <c r="A931" t="str">
        <f>IF(COUNTBLANK(B931:F931)&lt;&gt;COLUMNS(B931:F931),930,"")</f>
        <v/>
      </c>
      <c r="D931" s="1" t="str">
        <f t="shared" si="14"/>
        <v/>
      </c>
    </row>
    <row r="932" spans="1:4" x14ac:dyDescent="0.2">
      <c r="A932" t="str">
        <f>IF(COUNTBLANK(B932:F932)&lt;&gt;COLUMNS(B932:F932),931,"")</f>
        <v/>
      </c>
      <c r="D932" s="1" t="str">
        <f t="shared" si="14"/>
        <v/>
      </c>
    </row>
    <row r="933" spans="1:4" x14ac:dyDescent="0.2">
      <c r="A933" t="str">
        <f>IF(COUNTBLANK(B933:F933)&lt;&gt;COLUMNS(B933:F933),932,"")</f>
        <v/>
      </c>
      <c r="D933" s="1" t="str">
        <f t="shared" si="14"/>
        <v/>
      </c>
    </row>
    <row r="934" spans="1:4" x14ac:dyDescent="0.2">
      <c r="A934" t="str">
        <f>IF(COUNTBLANK(B934:F934)&lt;&gt;COLUMNS(B934:F934),933,"")</f>
        <v/>
      </c>
      <c r="D934" s="1" t="str">
        <f t="shared" si="14"/>
        <v/>
      </c>
    </row>
    <row r="935" spans="1:4" x14ac:dyDescent="0.2">
      <c r="A935" t="str">
        <f>IF(COUNTBLANK(B935:F935)&lt;&gt;COLUMNS(B935:F935),934,"")</f>
        <v/>
      </c>
      <c r="D935" s="1" t="str">
        <f t="shared" si="14"/>
        <v/>
      </c>
    </row>
    <row r="936" spans="1:4" x14ac:dyDescent="0.2">
      <c r="A936" t="str">
        <f>IF(COUNTBLANK(B936:F936)&lt;&gt;COLUMNS(B936:F936),935,"")</f>
        <v/>
      </c>
      <c r="D936" s="1" t="str">
        <f t="shared" si="14"/>
        <v/>
      </c>
    </row>
    <row r="937" spans="1:4" x14ac:dyDescent="0.2">
      <c r="A937" t="str">
        <f>IF(COUNTBLANK(B937:F937)&lt;&gt;COLUMNS(B937:F937),936,"")</f>
        <v/>
      </c>
      <c r="D937" s="1" t="str">
        <f t="shared" si="14"/>
        <v/>
      </c>
    </row>
    <row r="938" spans="1:4" x14ac:dyDescent="0.2">
      <c r="A938" t="str">
        <f>IF(COUNTBLANK(B938:F938)&lt;&gt;COLUMNS(B938:F938),937,"")</f>
        <v/>
      </c>
      <c r="D938" s="1" t="str">
        <f t="shared" si="14"/>
        <v/>
      </c>
    </row>
    <row r="939" spans="1:4" x14ac:dyDescent="0.2">
      <c r="A939" t="str">
        <f>IF(COUNTBLANK(B939:F939)&lt;&gt;COLUMNS(B939:F939),938,"")</f>
        <v/>
      </c>
      <c r="D939" s="1" t="str">
        <f t="shared" si="14"/>
        <v/>
      </c>
    </row>
    <row r="940" spans="1:4" x14ac:dyDescent="0.2">
      <c r="A940" t="str">
        <f>IF(COUNTBLANK(B940:F940)&lt;&gt;COLUMNS(B940:F940),939,"")</f>
        <v/>
      </c>
      <c r="D940" s="1" t="str">
        <f t="shared" si="14"/>
        <v/>
      </c>
    </row>
    <row r="941" spans="1:4" x14ac:dyDescent="0.2">
      <c r="A941" t="str">
        <f>IF(COUNTBLANK(B941:F941)&lt;&gt;COLUMNS(B941:F941),940,"")</f>
        <v/>
      </c>
      <c r="D941" s="1" t="str">
        <f t="shared" si="14"/>
        <v/>
      </c>
    </row>
    <row r="942" spans="1:4" x14ac:dyDescent="0.2">
      <c r="A942" t="str">
        <f>IF(COUNTBLANK(B942:F942)&lt;&gt;COLUMNS(B942:F942),941,"")</f>
        <v/>
      </c>
      <c r="D942" s="1" t="str">
        <f t="shared" si="14"/>
        <v/>
      </c>
    </row>
    <row r="943" spans="1:4" x14ac:dyDescent="0.2">
      <c r="A943" t="str">
        <f>IF(COUNTBLANK(B943:F943)&lt;&gt;COLUMNS(B943:F943),942,"")</f>
        <v/>
      </c>
      <c r="D943" s="1" t="str">
        <f t="shared" si="14"/>
        <v/>
      </c>
    </row>
    <row r="944" spans="1:4" x14ac:dyDescent="0.2">
      <c r="A944" t="str">
        <f>IF(COUNTBLANK(B944:F944)&lt;&gt;COLUMNS(B944:F944),943,"")</f>
        <v/>
      </c>
      <c r="D944" s="1" t="str">
        <f t="shared" si="14"/>
        <v/>
      </c>
    </row>
    <row r="945" spans="1:4" x14ac:dyDescent="0.2">
      <c r="A945" t="str">
        <f>IF(COUNTBLANK(B945:F945)&lt;&gt;COLUMNS(B945:F945),944,"")</f>
        <v/>
      </c>
      <c r="D945" s="1" t="str">
        <f t="shared" si="14"/>
        <v/>
      </c>
    </row>
    <row r="946" spans="1:4" x14ac:dyDescent="0.2">
      <c r="A946" t="str">
        <f>IF(COUNTBLANK(B946:F946)&lt;&gt;COLUMNS(B946:F946),945,"")</f>
        <v/>
      </c>
      <c r="D946" s="1" t="str">
        <f t="shared" si="14"/>
        <v/>
      </c>
    </row>
    <row r="947" spans="1:4" x14ac:dyDescent="0.2">
      <c r="A947" t="str">
        <f>IF(COUNTBLANK(B947:F947)&lt;&gt;COLUMNS(B947:F947),946,"")</f>
        <v/>
      </c>
      <c r="D947" s="1" t="str">
        <f t="shared" si="14"/>
        <v/>
      </c>
    </row>
    <row r="948" spans="1:4" x14ac:dyDescent="0.2">
      <c r="A948" t="str">
        <f>IF(COUNTBLANK(B948:F948)&lt;&gt;COLUMNS(B948:F948),947,"")</f>
        <v/>
      </c>
      <c r="D948" s="1" t="str">
        <f t="shared" si="14"/>
        <v/>
      </c>
    </row>
    <row r="949" spans="1:4" x14ac:dyDescent="0.2">
      <c r="A949" t="str">
        <f>IF(COUNTBLANK(B949:F949)&lt;&gt;COLUMNS(B949:F949),948,"")</f>
        <v/>
      </c>
      <c r="D949" s="1" t="str">
        <f t="shared" si="14"/>
        <v/>
      </c>
    </row>
    <row r="950" spans="1:4" x14ac:dyDescent="0.2">
      <c r="A950" t="str">
        <f>IF(COUNTBLANK(B950:F950)&lt;&gt;COLUMNS(B950:F950),949,"")</f>
        <v/>
      </c>
      <c r="D950" s="1" t="str">
        <f t="shared" si="14"/>
        <v/>
      </c>
    </row>
    <row r="951" spans="1:4" x14ac:dyDescent="0.2">
      <c r="A951" t="str">
        <f>IF(COUNTBLANK(B951:F951)&lt;&gt;COLUMNS(B951:F951),950,"")</f>
        <v/>
      </c>
      <c r="D951" s="1" t="str">
        <f t="shared" si="14"/>
        <v/>
      </c>
    </row>
    <row r="952" spans="1:4" x14ac:dyDescent="0.2">
      <c r="A952" t="str">
        <f>IF(COUNTBLANK(B952:F952)&lt;&gt;COLUMNS(B952:F952),951,"")</f>
        <v/>
      </c>
      <c r="D952" s="1" t="str">
        <f t="shared" si="14"/>
        <v/>
      </c>
    </row>
    <row r="953" spans="1:4" x14ac:dyDescent="0.2">
      <c r="A953" t="str">
        <f>IF(COUNTBLANK(B953:F953)&lt;&gt;COLUMNS(B953:F953),952,"")</f>
        <v/>
      </c>
      <c r="D953" s="1" t="str">
        <f t="shared" si="14"/>
        <v/>
      </c>
    </row>
    <row r="954" spans="1:4" x14ac:dyDescent="0.2">
      <c r="A954" t="str">
        <f>IF(COUNTBLANK(B954:F954)&lt;&gt;COLUMNS(B954:F954),953,"")</f>
        <v/>
      </c>
      <c r="D954" s="1" t="str">
        <f t="shared" si="14"/>
        <v/>
      </c>
    </row>
    <row r="955" spans="1:4" x14ac:dyDescent="0.2">
      <c r="A955" t="str">
        <f>IF(COUNTBLANK(B955:F955)&lt;&gt;COLUMNS(B955:F955),954,"")</f>
        <v/>
      </c>
      <c r="D955" s="1" t="str">
        <f t="shared" si="14"/>
        <v/>
      </c>
    </row>
    <row r="956" spans="1:4" x14ac:dyDescent="0.2">
      <c r="A956" t="str">
        <f>IF(COUNTBLANK(B956:F956)&lt;&gt;COLUMNS(B956:F956),955,"")</f>
        <v/>
      </c>
      <c r="D956" s="1" t="str">
        <f t="shared" si="14"/>
        <v/>
      </c>
    </row>
    <row r="957" spans="1:4" x14ac:dyDescent="0.2">
      <c r="A957" t="str">
        <f>IF(COUNTBLANK(B957:F957)&lt;&gt;COLUMNS(B957:F957),956,"")</f>
        <v/>
      </c>
      <c r="D957" s="1" t="str">
        <f t="shared" si="14"/>
        <v/>
      </c>
    </row>
    <row r="958" spans="1:4" x14ac:dyDescent="0.2">
      <c r="A958" t="str">
        <f>IF(COUNTBLANK(B958:F958)&lt;&gt;COLUMNS(B958:F958),957,"")</f>
        <v/>
      </c>
      <c r="D958" s="1" t="str">
        <f t="shared" si="14"/>
        <v/>
      </c>
    </row>
    <row r="959" spans="1:4" x14ac:dyDescent="0.2">
      <c r="A959" t="str">
        <f>IF(COUNTBLANK(B959:F959)&lt;&gt;COLUMNS(B959:F959),958,"")</f>
        <v/>
      </c>
      <c r="D959" s="1" t="str">
        <f t="shared" si="14"/>
        <v/>
      </c>
    </row>
    <row r="960" spans="1:4" x14ac:dyDescent="0.2">
      <c r="A960" t="str">
        <f>IF(COUNTBLANK(B960:F960)&lt;&gt;COLUMNS(B960:F960),959,"")</f>
        <v/>
      </c>
      <c r="D960" s="1" t="str">
        <f t="shared" si="14"/>
        <v/>
      </c>
    </row>
    <row r="961" spans="1:4" x14ac:dyDescent="0.2">
      <c r="A961" t="str">
        <f>IF(COUNTBLANK(B961:F961)&lt;&gt;COLUMNS(B961:F961),960,"")</f>
        <v/>
      </c>
      <c r="D961" s="1" t="str">
        <f t="shared" si="14"/>
        <v/>
      </c>
    </row>
    <row r="962" spans="1:4" x14ac:dyDescent="0.2">
      <c r="A962" t="str">
        <f>IF(COUNTBLANK(B962:F962)&lt;&gt;COLUMNS(B962:F962),961,"")</f>
        <v/>
      </c>
      <c r="D962" s="1" t="str">
        <f t="shared" ref="D962:D1001" si="15">IF(B962="", "", "f")</f>
        <v/>
      </c>
    </row>
    <row r="963" spans="1:4" x14ac:dyDescent="0.2">
      <c r="A963" t="str">
        <f>IF(COUNTBLANK(B963:F963)&lt;&gt;COLUMNS(B963:F963),962,"")</f>
        <v/>
      </c>
      <c r="D963" s="1" t="str">
        <f t="shared" si="15"/>
        <v/>
      </c>
    </row>
    <row r="964" spans="1:4" x14ac:dyDescent="0.2">
      <c r="A964" t="str">
        <f>IF(COUNTBLANK(B964:F964)&lt;&gt;COLUMNS(B964:F964),963,"")</f>
        <v/>
      </c>
      <c r="D964" s="1" t="str">
        <f t="shared" si="15"/>
        <v/>
      </c>
    </row>
    <row r="965" spans="1:4" x14ac:dyDescent="0.2">
      <c r="A965" t="str">
        <f>IF(COUNTBLANK(B965:F965)&lt;&gt;COLUMNS(B965:F965),964,"")</f>
        <v/>
      </c>
      <c r="D965" s="1" t="str">
        <f t="shared" si="15"/>
        <v/>
      </c>
    </row>
    <row r="966" spans="1:4" x14ac:dyDescent="0.2">
      <c r="A966" t="str">
        <f>IF(COUNTBLANK(B966:F966)&lt;&gt;COLUMNS(B966:F966),965,"")</f>
        <v/>
      </c>
      <c r="D966" s="1" t="str">
        <f t="shared" si="15"/>
        <v/>
      </c>
    </row>
    <row r="967" spans="1:4" x14ac:dyDescent="0.2">
      <c r="A967" t="str">
        <f>IF(COUNTBLANK(B967:F967)&lt;&gt;COLUMNS(B967:F967),966,"")</f>
        <v/>
      </c>
      <c r="D967" s="1" t="str">
        <f t="shared" si="15"/>
        <v/>
      </c>
    </row>
    <row r="968" spans="1:4" x14ac:dyDescent="0.2">
      <c r="A968" t="str">
        <f>IF(COUNTBLANK(B968:F968)&lt;&gt;COLUMNS(B968:F968),967,"")</f>
        <v/>
      </c>
      <c r="D968" s="1" t="str">
        <f t="shared" si="15"/>
        <v/>
      </c>
    </row>
    <row r="969" spans="1:4" x14ac:dyDescent="0.2">
      <c r="A969" t="str">
        <f>IF(COUNTBLANK(B969:F969)&lt;&gt;COLUMNS(B969:F969),968,"")</f>
        <v/>
      </c>
      <c r="D969" s="1" t="str">
        <f t="shared" si="15"/>
        <v/>
      </c>
    </row>
    <row r="970" spans="1:4" x14ac:dyDescent="0.2">
      <c r="A970" t="str">
        <f>IF(COUNTBLANK(B970:F970)&lt;&gt;COLUMNS(B970:F970),969,"")</f>
        <v/>
      </c>
      <c r="D970" s="1" t="str">
        <f t="shared" si="15"/>
        <v/>
      </c>
    </row>
    <row r="971" spans="1:4" x14ac:dyDescent="0.2">
      <c r="A971" t="str">
        <f>IF(COUNTBLANK(B971:F971)&lt;&gt;COLUMNS(B971:F971),970,"")</f>
        <v/>
      </c>
      <c r="D971" s="1" t="str">
        <f t="shared" si="15"/>
        <v/>
      </c>
    </row>
    <row r="972" spans="1:4" x14ac:dyDescent="0.2">
      <c r="A972" t="str">
        <f>IF(COUNTBLANK(B972:F972)&lt;&gt;COLUMNS(B972:F972),971,"")</f>
        <v/>
      </c>
      <c r="D972" s="1" t="str">
        <f t="shared" si="15"/>
        <v/>
      </c>
    </row>
    <row r="973" spans="1:4" x14ac:dyDescent="0.2">
      <c r="A973" t="str">
        <f>IF(COUNTBLANK(B973:F973)&lt;&gt;COLUMNS(B973:F973),972,"")</f>
        <v/>
      </c>
      <c r="D973" s="1" t="str">
        <f t="shared" si="15"/>
        <v/>
      </c>
    </row>
    <row r="974" spans="1:4" x14ac:dyDescent="0.2">
      <c r="A974" t="str">
        <f>IF(COUNTBLANK(B974:F974)&lt;&gt;COLUMNS(B974:F974),973,"")</f>
        <v/>
      </c>
      <c r="D974" s="1" t="str">
        <f t="shared" si="15"/>
        <v/>
      </c>
    </row>
    <row r="975" spans="1:4" x14ac:dyDescent="0.2">
      <c r="A975" t="str">
        <f>IF(COUNTBLANK(B975:F975)&lt;&gt;COLUMNS(B975:F975),974,"")</f>
        <v/>
      </c>
      <c r="D975" s="1" t="str">
        <f t="shared" si="15"/>
        <v/>
      </c>
    </row>
    <row r="976" spans="1:4" x14ac:dyDescent="0.2">
      <c r="A976" t="str">
        <f>IF(COUNTBLANK(B976:F976)&lt;&gt;COLUMNS(B976:F976),975,"")</f>
        <v/>
      </c>
      <c r="D976" s="1" t="str">
        <f t="shared" si="15"/>
        <v/>
      </c>
    </row>
    <row r="977" spans="1:4" x14ac:dyDescent="0.2">
      <c r="A977" t="str">
        <f>IF(COUNTBLANK(B977:F977)&lt;&gt;COLUMNS(B977:F977),976,"")</f>
        <v/>
      </c>
      <c r="D977" s="1" t="str">
        <f t="shared" si="15"/>
        <v/>
      </c>
    </row>
    <row r="978" spans="1:4" x14ac:dyDescent="0.2">
      <c r="A978" t="str">
        <f>IF(COUNTBLANK(B978:F978)&lt;&gt;COLUMNS(B978:F978),977,"")</f>
        <v/>
      </c>
      <c r="D978" s="1" t="str">
        <f t="shared" si="15"/>
        <v/>
      </c>
    </row>
    <row r="979" spans="1:4" x14ac:dyDescent="0.2">
      <c r="A979" t="str">
        <f>IF(COUNTBLANK(B979:F979)&lt;&gt;COLUMNS(B979:F979),978,"")</f>
        <v/>
      </c>
      <c r="D979" s="1" t="str">
        <f t="shared" si="15"/>
        <v/>
      </c>
    </row>
    <row r="980" spans="1:4" x14ac:dyDescent="0.2">
      <c r="A980" t="str">
        <f>IF(COUNTBLANK(B980:F980)&lt;&gt;COLUMNS(B980:F980),979,"")</f>
        <v/>
      </c>
      <c r="D980" s="1" t="str">
        <f t="shared" si="15"/>
        <v/>
      </c>
    </row>
    <row r="981" spans="1:4" x14ac:dyDescent="0.2">
      <c r="A981" t="str">
        <f>IF(COUNTBLANK(B981:F981)&lt;&gt;COLUMNS(B981:F981),980,"")</f>
        <v/>
      </c>
      <c r="D981" s="1" t="str">
        <f t="shared" si="15"/>
        <v/>
      </c>
    </row>
    <row r="982" spans="1:4" x14ac:dyDescent="0.2">
      <c r="A982" t="str">
        <f>IF(COUNTBLANK(B982:F982)&lt;&gt;COLUMNS(B982:F982),981,"")</f>
        <v/>
      </c>
      <c r="D982" s="1" t="str">
        <f t="shared" si="15"/>
        <v/>
      </c>
    </row>
    <row r="983" spans="1:4" x14ac:dyDescent="0.2">
      <c r="A983" t="str">
        <f>IF(COUNTBLANK(B983:F983)&lt;&gt;COLUMNS(B983:F983),982,"")</f>
        <v/>
      </c>
      <c r="D983" s="1" t="str">
        <f t="shared" si="15"/>
        <v/>
      </c>
    </row>
    <row r="984" spans="1:4" x14ac:dyDescent="0.2">
      <c r="A984" t="str">
        <f>IF(COUNTBLANK(B984:F984)&lt;&gt;COLUMNS(B984:F984),983,"")</f>
        <v/>
      </c>
      <c r="D984" s="1" t="str">
        <f t="shared" si="15"/>
        <v/>
      </c>
    </row>
    <row r="985" spans="1:4" x14ac:dyDescent="0.2">
      <c r="A985" t="str">
        <f>IF(COUNTBLANK(B985:F985)&lt;&gt;COLUMNS(B985:F985),984,"")</f>
        <v/>
      </c>
      <c r="D985" s="1" t="str">
        <f t="shared" si="15"/>
        <v/>
      </c>
    </row>
    <row r="986" spans="1:4" x14ac:dyDescent="0.2">
      <c r="A986" t="str">
        <f>IF(COUNTBLANK(B986:F986)&lt;&gt;COLUMNS(B986:F986),985,"")</f>
        <v/>
      </c>
      <c r="D986" s="1" t="str">
        <f t="shared" si="15"/>
        <v/>
      </c>
    </row>
    <row r="987" spans="1:4" x14ac:dyDescent="0.2">
      <c r="A987" t="str">
        <f>IF(COUNTBLANK(B987:F987)&lt;&gt;COLUMNS(B987:F987),986,"")</f>
        <v/>
      </c>
      <c r="D987" s="1" t="str">
        <f t="shared" si="15"/>
        <v/>
      </c>
    </row>
    <row r="988" spans="1:4" x14ac:dyDescent="0.2">
      <c r="A988" t="str">
        <f>IF(COUNTBLANK(B988:F988)&lt;&gt;COLUMNS(B988:F988),987,"")</f>
        <v/>
      </c>
      <c r="D988" s="1" t="str">
        <f t="shared" si="15"/>
        <v/>
      </c>
    </row>
    <row r="989" spans="1:4" x14ac:dyDescent="0.2">
      <c r="A989" t="str">
        <f>IF(COUNTBLANK(B989:F989)&lt;&gt;COLUMNS(B989:F989),988,"")</f>
        <v/>
      </c>
      <c r="D989" s="1" t="str">
        <f t="shared" si="15"/>
        <v/>
      </c>
    </row>
    <row r="990" spans="1:4" x14ac:dyDescent="0.2">
      <c r="A990" t="str">
        <f>IF(COUNTBLANK(B990:F990)&lt;&gt;COLUMNS(B990:F990),989,"")</f>
        <v/>
      </c>
      <c r="D990" s="1" t="str">
        <f t="shared" si="15"/>
        <v/>
      </c>
    </row>
    <row r="991" spans="1:4" x14ac:dyDescent="0.2">
      <c r="A991" t="str">
        <f>IF(COUNTBLANK(B991:F991)&lt;&gt;COLUMNS(B991:F991),990,"")</f>
        <v/>
      </c>
      <c r="D991" s="1" t="str">
        <f t="shared" si="15"/>
        <v/>
      </c>
    </row>
    <row r="992" spans="1:4" x14ac:dyDescent="0.2">
      <c r="A992" t="str">
        <f>IF(COUNTBLANK(B992:F992)&lt;&gt;COLUMNS(B992:F992),991,"")</f>
        <v/>
      </c>
      <c r="D992" s="1" t="str">
        <f t="shared" si="15"/>
        <v/>
      </c>
    </row>
    <row r="993" spans="1:4" x14ac:dyDescent="0.2">
      <c r="A993" t="str">
        <f>IF(COUNTBLANK(B993:F993)&lt;&gt;COLUMNS(B993:F993),992,"")</f>
        <v/>
      </c>
      <c r="D993" s="1" t="str">
        <f t="shared" si="15"/>
        <v/>
      </c>
    </row>
    <row r="994" spans="1:4" x14ac:dyDescent="0.2">
      <c r="A994" t="str">
        <f>IF(COUNTBLANK(B994:F994)&lt;&gt;COLUMNS(B994:F994),993,"")</f>
        <v/>
      </c>
      <c r="D994" s="1" t="str">
        <f t="shared" si="15"/>
        <v/>
      </c>
    </row>
    <row r="995" spans="1:4" x14ac:dyDescent="0.2">
      <c r="A995" t="str">
        <f>IF(COUNTBLANK(B995:F995)&lt;&gt;COLUMNS(B995:F995),994,"")</f>
        <v/>
      </c>
      <c r="D995" s="1" t="str">
        <f t="shared" si="15"/>
        <v/>
      </c>
    </row>
    <row r="996" spans="1:4" x14ac:dyDescent="0.2">
      <c r="A996" t="str">
        <f>IF(COUNTBLANK(B996:F996)&lt;&gt;COLUMNS(B996:F996),995,"")</f>
        <v/>
      </c>
      <c r="D996" s="1" t="str">
        <f t="shared" si="15"/>
        <v/>
      </c>
    </row>
    <row r="997" spans="1:4" x14ac:dyDescent="0.2">
      <c r="A997" t="str">
        <f>IF(COUNTBLANK(B997:F997)&lt;&gt;COLUMNS(B997:F997),996,"")</f>
        <v/>
      </c>
      <c r="D997" s="1" t="str">
        <f t="shared" si="15"/>
        <v/>
      </c>
    </row>
    <row r="998" spans="1:4" x14ac:dyDescent="0.2">
      <c r="A998" t="str">
        <f>IF(COUNTBLANK(B998:F998)&lt;&gt;COLUMNS(B998:F998),997,"")</f>
        <v/>
      </c>
      <c r="D998" s="1" t="str">
        <f t="shared" si="15"/>
        <v/>
      </c>
    </row>
    <row r="999" spans="1:4" x14ac:dyDescent="0.2">
      <c r="A999" t="str">
        <f>IF(COUNTBLANK(B999:F999)&lt;&gt;COLUMNS(B999:F999),998,"")</f>
        <v/>
      </c>
      <c r="D999" s="1" t="str">
        <f t="shared" si="15"/>
        <v/>
      </c>
    </row>
    <row r="1000" spans="1:4" x14ac:dyDescent="0.2">
      <c r="A1000" t="str">
        <f>IF(COUNTBLANK(B1000:F1000)&lt;&gt;COLUMNS(B1000:F1000),999,"")</f>
        <v/>
      </c>
      <c r="D1000" s="1" t="str">
        <f t="shared" si="15"/>
        <v/>
      </c>
    </row>
    <row r="1001" spans="1:4" x14ac:dyDescent="0.2">
      <c r="A1001" t="str">
        <f>IF(COUNTBLANK(B1001:F1001)&lt;&gt;COLUMNS(B1001:F1001),1000,"")</f>
        <v/>
      </c>
      <c r="D1001" s="1" t="str">
        <f t="shared" si="15"/>
        <v/>
      </c>
    </row>
    <row r="1002" spans="1:4" x14ac:dyDescent="0.2">
      <c r="B1002" s="2" t="s">
        <v>2</v>
      </c>
    </row>
  </sheetData>
  <sheetProtection password="EE32" sheet="1" objects="1" scenarios="1" formatCells="0" formatColumns="0" formatRows="0"/>
  <dataValidations count="5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 xr:uid="{00000000-0002-0000-0000-000000000000}">
      <formula1>(AND(IF(B2="",FALSE,TRUE),COUNTIF(B:B, B2) = 1,NOT(ISERROR(SUMPRODUCT(SEARCH(MID(B2,ROW(INDIRECT("1:"&amp;LEN(B2))), 1),"0123456789abcdefghijklmnopqrstuvwxyzABCDEFGHIJKLMNOPQRSTUVWXYZ."))))))</formula1>
    </dataValidation>
    <dataValidation type="custom" allowBlank="1" showInputMessage="1" showErrorMessage="1" errorTitle="Invalid aelrjg" error="The aelrjg value entered is not valid. The value must be a string." promptTitle="Enter aelrjg" prompt="The value must be a string." sqref="C2:C1001" xr:uid="{00000000-0002-0000-0000-000001000000}">
      <formula1>(IF(C2="",FALSE,TRUE))</formula1>
    </dataValidation>
    <dataValidation type="list" allowBlank="1" showInputMessage="1" showErrorMessage="1" errorTitle="Invalid asfaewf" error="The asfaewf value entered is not valid. The value must be a string and must equal &quot;missing: not collected&quot; or the value must be a string and must equal &quot;t&quot; or must equal &quot;f&quot;. The default value is f." promptTitle="Enter asfaewf" prompt="The value must be a string and must equal &quot;missing: not collected&quot; or the value must be a string and must equal &quot;t&quot; or must equal &quot;f&quot;. The default value is f." sqref="D2:D1001" xr:uid="{00000000-0002-0000-0000-000002000000}">
      <formula1>"missing: not collected,t,f"</formula1>
    </dataValidation>
    <dataValidation type="list" allowBlank="1" showInputMessage="1" showErrorMessage="1" errorTitle="Invalid bawer" error="The bawer value entered is not valid. The value must be a string and must equal &quot;a&quot; or must equal &quot;b&quot;." promptTitle="Enter bawer" prompt="The value must be a string and must equal &quot;a&quot; or must equal &quot;b&quot;." sqref="E2:E1001" xr:uid="{00000000-0002-0000-0000-000003000000}">
      <formula1>"a,b"</formula1>
    </dataValidation>
    <dataValidation type="list" allowBlank="1" showInputMessage="1" showErrorMessage="1" errorTitle="Invalid pheno" error="The pheno value entered is not valid. The value must be a string and must equal &quot;missing: not collected&quot; or must equal &quot;missing: not provided&quot; or the value must be a string and must equal &quot;lo&quot; or must equal &quot;med&quot; or must equal &quot;hi&quot;." promptTitle="Enter pheno" prompt="The value must be a string and must equal &quot;missing: not collected&quot; or must equal &quot;missing: not provided&quot; or the value must be a string and must equal &quot;lo&quot; or must equal &quot;med&quot; or must equal &quot;hi&quot;." sqref="F2:F1001" xr:uid="{00000000-0002-0000-0000-000004000000}">
      <formula1>"missing: not collected,missing: not provided,lo,med,hi"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zeroHeight="1" x14ac:dyDescent="0.2"/>
  <cols>
    <col min="2" max="6" width="9.1640625" style="3"/>
    <col min="10" max="21" width="0" hidden="1" customWidth="1"/>
  </cols>
  <sheetData>
    <row r="1" spans="1:21" x14ac:dyDescent="0.2">
      <c r="A1" s="2" t="s">
        <v>1</v>
      </c>
      <c r="B1" s="2" t="str">
        <f ca="1">IF(B2=" ", " ", INDEX($Q$1:$U$1, 1, MATCH(COLUMNS($Q$1006:Q1006),$Q$1006:$U$1006,0)))</f>
        <v xml:space="preserve"> </v>
      </c>
      <c r="C1" s="2" t="str">
        <f ca="1">IF(C2=" ", " ", INDEX($Q$1:$U$1, 1, MATCH(COLUMNS($Q$1006:R1006),$Q$1006:$U$1006,0)))</f>
        <v xml:space="preserve"> </v>
      </c>
      <c r="D1" s="2" t="str">
        <f ca="1">IF(D2=" ", " ", INDEX($Q$1:$U$1, 1, MATCH(COLUMNS($Q$1006:S1006),$Q$1006:$U$1006,0)))</f>
        <v xml:space="preserve"> </v>
      </c>
      <c r="E1" s="2" t="str">
        <f ca="1">IF(E2=" ", " ", INDEX($Q$1:$U$1, 1, MATCH(COLUMNS($Q$1006:T1006),$Q$1006:$U$1006,0)))</f>
        <v xml:space="preserve"> </v>
      </c>
      <c r="F1" s="2" t="str">
        <f ca="1">IF(F2=" ", " ", INDEX($Q$1:$U$1, 1, MATCH(COLUMNS($Q$1006:U1006),$Q$1006:$U$1006,0)))</f>
        <v xml:space="preserve"> </v>
      </c>
      <c r="J1" s="2" t="s">
        <v>11</v>
      </c>
      <c r="K1" s="2" t="s">
        <v>10</v>
      </c>
      <c r="L1" s="2" t="s">
        <v>9</v>
      </c>
      <c r="M1" s="2" t="s">
        <v>8</v>
      </c>
      <c r="N1" s="2" t="s">
        <v>7</v>
      </c>
      <c r="O1" s="2" t="s">
        <v>1</v>
      </c>
      <c r="Q1" s="2" t="s">
        <v>1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 x14ac:dyDescent="0.2">
      <c r="A2" s="4" t="str">
        <f ca="1">IF(B2=" "," ",HYPERLINK(CONCATENATE("#metadata!",ADDRESS(INDEX($L$2:$L$1001,MATCH(ROWS($J$2:J2),$J$2:$J$1001,0),0),1)),INDEX($O$2:$O$1001,MATCH(ROWS($J$2:J2),$J$2:$J$1001,0),0)))</f>
        <v xml:space="preserve"> </v>
      </c>
      <c r="B2" s="3" t="str">
        <f ca="1">IF(OR(INDEX($K$2:$K$1001,MATCH(ROWS($J$2:J2),$J$2:$J$1001,0),1)&gt;=100000,INDEX($Q$1005:$U$1005,1,MATCH(COLUMNS($Q$1006:Q1006),$Q$1006:$U$1006,0))&gt;=100000), " ",IF(INDEX($Q$2:$U$1001,MATCH(ROWS($J$2:J2),$J$2:$J$1001,0),MATCH(COLUMNS($Q$1006:Q1006),$Q$1006:$U$1006,0)), HYPERLINK("#",""), HYPERLINK(CONCATENATE("#Metadata!", ADDRESS(INDEX($L$2:$L$1001,MATCH(ROWS($J$2:J2),$J$2:$J$1001,0),0), INDEX($Q$1004:$U$1004,1,MATCH(COLUMNS($Q$1006:Q1006),$Q$1006:$U$1006,0)))),"Fix")))</f>
        <v xml:space="preserve"> </v>
      </c>
      <c r="C2" s="3" t="str">
        <f ca="1">IF(OR(INDEX($K$2:$K$1001,MATCH(ROWS($J$2:J2),$J$2:$J$1001,0),1)&gt;=100000,INDEX($Q$1005:$U$1005,1,MATCH(COLUMNS($Q$1006:R1006),$Q$1006:$U$1006,0))&gt;=100000), " ",IF(INDEX($Q$2:$U$1001,MATCH(ROWS($J$2:J2),$J$2:$J$1001,0),MATCH(COLUMNS($Q$1006:R1006),$Q$1006:$U$1006,0)), HYPERLINK("#",""), HYPERLINK(CONCATENATE("#Metadata!", ADDRESS(INDEX($L$2:$L$1001,MATCH(ROWS($J$2:J2),$J$2:$J$1001,0),0), INDEX($Q$1004:$U$1004,1,MATCH(COLUMNS($Q$1006:R1006),$Q$1006:$U$1006,0)))),"Fix")))</f>
        <v xml:space="preserve"> </v>
      </c>
      <c r="D2" s="3" t="str">
        <f ca="1">IF(OR(INDEX($K$2:$K$1001,MATCH(ROWS($J$2:J2),$J$2:$J$1001,0),1)&gt;=100000,INDEX($Q$1005:$U$1005,1,MATCH(COLUMNS($Q$1006:S1006),$Q$1006:$U$1006,0))&gt;=100000), " ",IF(INDEX($Q$2:$U$1001,MATCH(ROWS($J$2:J2),$J$2:$J$1001,0),MATCH(COLUMNS($Q$1006:S1006),$Q$1006:$U$1006,0)), HYPERLINK("#",""), HYPERLINK(CONCATENATE("#Metadata!", ADDRESS(INDEX($L$2:$L$1001,MATCH(ROWS($J$2:J2),$J$2:$J$1001,0),0), INDEX($Q$1004:$U$1004,1,MATCH(COLUMNS($Q$1006:S1006),$Q$1006:$U$1006,0)))),"Fix")))</f>
        <v xml:space="preserve"> </v>
      </c>
      <c r="E2" s="3" t="str">
        <f ca="1">IF(OR(INDEX($K$2:$K$1001,MATCH(ROWS($J$2:J2),$J$2:$J$1001,0),1)&gt;=100000,INDEX($Q$1005:$U$1005,1,MATCH(COLUMNS($Q$1006:T1006),$Q$1006:$U$1006,0))&gt;=100000), " ",IF(INDEX($Q$2:$U$1001,MATCH(ROWS($J$2:J2),$J$2:$J$1001,0),MATCH(COLUMNS($Q$1006:T1006),$Q$1006:$U$1006,0)), HYPERLINK("#",""), HYPERLINK(CONCATENATE("#Metadata!", ADDRESS(INDEX($L$2:$L$1001,MATCH(ROWS($J$2:J2),$J$2:$J$1001,0),0), INDEX($Q$1004:$U$1004,1,MATCH(COLUMNS($Q$1006:T1006),$Q$1006:$U$1006,0)))),"Fix")))</f>
        <v xml:space="preserve"> </v>
      </c>
      <c r="F2" s="3" t="str">
        <f ca="1">IF(OR(INDEX($K$2:$K$1001,MATCH(ROWS($J$2:J2),$J$2:$J$1001,0),1)&gt;=100000,INDEX($Q$1005:$U$1005,1,MATCH(COLUMNS($Q$1006:U1006),$Q$1006:$U$1006,0))&gt;=100000), " ",IF(INDEX($Q$2:$U$1001,MATCH(ROWS($J$2:J2),$J$2:$J$1001,0),MATCH(COLUMNS($Q$1006:U1006),$Q$1006:$U$1006,0)), HYPERLINK("#",""), HYPERLINK(CONCATENATE("#Metadata!", ADDRESS(INDEX($L$2:$L$1001,MATCH(ROWS($J$2:J2),$J$2:$J$1001,0),0), INDEX($Q$1004:$U$1004,1,MATCH(COLUMNS($Q$1006:U1006),$Q$1006:$U$1006,0)))),"Fix")))</f>
        <v xml:space="preserve"> </v>
      </c>
      <c r="J2">
        <f t="array" ref="J2:J1001" ca="1">COUNTIF(K$2:K$1001,"&lt;="&amp;$K2:$K1001)</f>
        <v>1</v>
      </c>
      <c r="K2">
        <f t="array" ref="K2:K1001" ca="1">INT(M2:M1001)*100000+$L$2:$L$1001</f>
        <v>100002</v>
      </c>
      <c r="L2">
        <f t="array" ref="L2:L1001">ROW(Metadata!B2:B1001)</f>
        <v>2</v>
      </c>
      <c r="M2" t="b">
        <f t="shared" ref="M2:M65" ca="1" si="0">IF(N2,TRUE,AND(Q2:U2))</f>
        <v>1</v>
      </c>
      <c r="N2" t="b">
        <f>COUNTBLANK(Metadata!B2:F2)=COLUMNS(Metadata!B2:F2)</f>
        <v>0</v>
      </c>
      <c r="O2" t="str">
        <f t="array" ref="O2:O1001">IF(Metadata!B2:B1001="","",Metadata!B2:B1001)</f>
        <v>oijnmk</v>
      </c>
      <c r="Q2" t="b">
        <f ca="1">AND(IF(Metadata!B2="",FALSE,TRUE),COUNTIF(Metadata!B:B, Metadata!B2) = 1,NOT(ISERROR(SUMPRODUCT(SEARCH(MID(Metadata!B2,ROW(INDIRECT("1:"&amp;LEN(Metadata!B2))), 1),"0123456789abcdefghijklmnopqrstuvwxyzABCDEFGHIJKLMNOPQRSTUVWXYZ.")))))</f>
        <v>1</v>
      </c>
      <c r="R2" t="b">
        <f>IF(Metadata!C2="",FALSE,TRUE)</f>
        <v>1</v>
      </c>
      <c r="S2" t="b">
        <f>OR(AND(IF(Metadata!D2="",FALSE,TRUE),EXACT(Metadata!D2,"missing: not collected")),AND(IF(Metadata!D2="",FALSE,TRUE),OR(EXACT(Metadata!D2,"t"),EXACT(Metadata!D2,"f"))))</f>
        <v>1</v>
      </c>
      <c r="T2" t="b">
        <f>AND(IF(Metadata!E2="",FALSE,TRUE),OR(EXACT(Metadata!E2,"a"),EXACT(Metadata!E2,"b")))</f>
        <v>1</v>
      </c>
      <c r="U2" t="b">
        <f>OR(AND(IF(Metadata!F2="",FALSE,TRUE),OR(EXACT(Metadata!F2,"missing: not collected"),EXACT(Metadata!F2,"missing: not provided"))),AND(IF(Metadata!F2="",FALSE,TRUE),OR(EXACT(Metadata!F2,"lo"),EXACT(Metadata!F2,"med"),EXACT(Metadata!F2,"hi"))))</f>
        <v>1</v>
      </c>
    </row>
    <row r="3" spans="1:21" x14ac:dyDescent="0.2">
      <c r="A3" s="4" t="str">
        <f ca="1">IF(B3=" "," ",HYPERLINK(CONCATENATE("#metadata!",ADDRESS(INDEX($L$2:$L$1001,MATCH(ROWS($J$2:J3),$J$2:$J$1001,0),0),1)),INDEX($O$2:$O$1001,MATCH(ROWS($J$2:J3),$J$2:$J$1001,0),0)))</f>
        <v xml:space="preserve"> </v>
      </c>
      <c r="B3" s="3" t="str">
        <f ca="1">IF(OR(INDEX($K$2:$K$1001,MATCH(ROWS($J$2:J3),$J$2:$J$1001,0),1)&gt;=100000,INDEX($Q$1005:$U$1005,1,MATCH(COLUMNS($Q$1006:Q1006),$Q$1006:$U$1006,0))&gt;=100000), " ",IF(INDEX($Q$2:$U$1001,MATCH(ROWS($J$2:J3),$J$2:$J$1001,0),MATCH(COLUMNS($Q$1006:Q1006),$Q$1006:$U$1006,0)), HYPERLINK("#",""), HYPERLINK(CONCATENATE("#Metadata!", ADDRESS(INDEX($L$2:$L$1001,MATCH(ROWS($J$2:J3),$J$2:$J$1001,0),0), INDEX($Q$1004:$U$1004,1,MATCH(COLUMNS($Q$1006:Q1006),$Q$1006:$U$1006,0)))),"Fix")))</f>
        <v xml:space="preserve"> </v>
      </c>
      <c r="C3" s="3" t="str">
        <f ca="1">IF(OR(INDEX($K$2:$K$1001,MATCH(ROWS($J$2:J3),$J$2:$J$1001,0),1)&gt;=100000,INDEX($Q$1005:$U$1005,1,MATCH(COLUMNS($Q$1006:R1006),$Q$1006:$U$1006,0))&gt;=100000), " ",IF(INDEX($Q$2:$U$1001,MATCH(ROWS($J$2:J3),$J$2:$J$1001,0),MATCH(COLUMNS($Q$1006:R1006),$Q$1006:$U$1006,0)), HYPERLINK("#",""), HYPERLINK(CONCATENATE("#Metadata!", ADDRESS(INDEX($L$2:$L$1001,MATCH(ROWS($J$2:J3),$J$2:$J$1001,0),0), INDEX($Q$1004:$U$1004,1,MATCH(COLUMNS($Q$1006:R1006),$Q$1006:$U$1006,0)))),"Fix")))</f>
        <v xml:space="preserve"> </v>
      </c>
      <c r="D3" s="3" t="str">
        <f ca="1">IF(OR(INDEX($K$2:$K$1001,MATCH(ROWS($J$2:J3),$J$2:$J$1001,0),1)&gt;=100000,INDEX($Q$1005:$U$1005,1,MATCH(COLUMNS($Q$1006:S1006),$Q$1006:$U$1006,0))&gt;=100000), " ",IF(INDEX($Q$2:$U$1001,MATCH(ROWS($J$2:J3),$J$2:$J$1001,0),MATCH(COLUMNS($Q$1006:S1006),$Q$1006:$U$1006,0)), HYPERLINK("#",""), HYPERLINK(CONCATENATE("#Metadata!", ADDRESS(INDEX($L$2:$L$1001,MATCH(ROWS($J$2:J3),$J$2:$J$1001,0),0), INDEX($Q$1004:$U$1004,1,MATCH(COLUMNS($Q$1006:S1006),$Q$1006:$U$1006,0)))),"Fix")))</f>
        <v xml:space="preserve"> </v>
      </c>
      <c r="E3" s="3" t="str">
        <f ca="1">IF(OR(INDEX($K$2:$K$1001,MATCH(ROWS($J$2:J3),$J$2:$J$1001,0),1)&gt;=100000,INDEX($Q$1005:$U$1005,1,MATCH(COLUMNS($Q$1006:T1006),$Q$1006:$U$1006,0))&gt;=100000), " ",IF(INDEX($Q$2:$U$1001,MATCH(ROWS($J$2:J3),$J$2:$J$1001,0),MATCH(COLUMNS($Q$1006:T1006),$Q$1006:$U$1006,0)), HYPERLINK("#",""), HYPERLINK(CONCATENATE("#Metadata!", ADDRESS(INDEX($L$2:$L$1001,MATCH(ROWS($J$2:J3),$J$2:$J$1001,0),0), INDEX($Q$1004:$U$1004,1,MATCH(COLUMNS($Q$1006:T1006),$Q$1006:$U$1006,0)))),"Fix")))</f>
        <v xml:space="preserve"> </v>
      </c>
      <c r="F3" s="3" t="str">
        <f ca="1">IF(OR(INDEX($K$2:$K$1001,MATCH(ROWS($J$2:J3),$J$2:$J$1001,0),1)&gt;=100000,INDEX($Q$1005:$U$1005,1,MATCH(COLUMNS($Q$1006:U1006),$Q$1006:$U$1006,0))&gt;=100000), " ",IF(INDEX($Q$2:$U$1001,MATCH(ROWS($J$2:J3),$J$2:$J$1001,0),MATCH(COLUMNS($Q$1006:U1006),$Q$1006:$U$1006,0)), HYPERLINK("#",""), HYPERLINK(CONCATENATE("#Metadata!", ADDRESS(INDEX($L$2:$L$1001,MATCH(ROWS($J$2:J3),$J$2:$J$1001,0),0), INDEX($Q$1004:$U$1004,1,MATCH(COLUMNS($Q$1006:U1006),$Q$1006:$U$1006,0)))),"Fix")))</f>
        <v xml:space="preserve"> </v>
      </c>
      <c r="J3">
        <f ca="1"/>
        <v>2</v>
      </c>
      <c r="K3">
        <f ca="1"/>
        <v>100003</v>
      </c>
      <c r="L3">
        <v>3</v>
      </c>
      <c r="M3" t="b">
        <f t="shared" ca="1" si="0"/>
        <v>1</v>
      </c>
      <c r="N3" t="b">
        <f>COUNTBLANK(Metadata!B3:F3)=COLUMNS(Metadata!B3:F3)</f>
        <v>0</v>
      </c>
      <c r="O3" t="str">
        <v>sample</v>
      </c>
      <c r="Q3" t="b">
        <f ca="1">AND(IF(Metadata!B3="",FALSE,TRUE),COUNTIF(Metadata!B:B, Metadata!B3) = 1,NOT(ISERROR(SUMPRODUCT(SEARCH(MID(Metadata!B3,ROW(INDIRECT("1:"&amp;LEN(Metadata!B3))), 1),"0123456789abcdefghijklmnopqrstuvwxyzABCDEFGHIJKLMNOPQRSTUVWXYZ.")))))</f>
        <v>1</v>
      </c>
      <c r="R3" t="b">
        <f>IF(Metadata!C3="",FALSE,TRUE)</f>
        <v>1</v>
      </c>
      <c r="S3" t="b">
        <f>OR(AND(IF(Metadata!D3="",FALSE,TRUE),EXACT(Metadata!D3,"missing: not collected")),AND(IF(Metadata!D3="",FALSE,TRUE),OR(EXACT(Metadata!D3,"t"),EXACT(Metadata!D3,"f"))))</f>
        <v>1</v>
      </c>
      <c r="T3" t="b">
        <f>AND(IF(Metadata!E3="",FALSE,TRUE),OR(EXACT(Metadata!E3,"a"),EXACT(Metadata!E3,"b")))</f>
        <v>1</v>
      </c>
      <c r="U3" t="b">
        <f>OR(AND(IF(Metadata!F3="",FALSE,TRUE),OR(EXACT(Metadata!F3,"missing: not collected"),EXACT(Metadata!F3,"missing: not provided"))),AND(IF(Metadata!F3="",FALSE,TRUE),OR(EXACT(Metadata!F3,"lo"),EXACT(Metadata!F3,"med"),EXACT(Metadata!F3,"hi"))))</f>
        <v>1</v>
      </c>
    </row>
    <row r="4" spans="1:21" x14ac:dyDescent="0.2">
      <c r="A4" s="4" t="str">
        <f ca="1">IF(B4=" "," ",HYPERLINK(CONCATENATE("#metadata!",ADDRESS(INDEX($L$2:$L$1001,MATCH(ROWS($J$2:J4),$J$2:$J$1001,0),0),1)),INDEX($O$2:$O$1001,MATCH(ROWS($J$2:J4),$J$2:$J$1001,0),0)))</f>
        <v xml:space="preserve"> </v>
      </c>
      <c r="B4" s="3" t="str">
        <f ca="1">IF(OR(INDEX($K$2:$K$1001,MATCH(ROWS($J$2:J4),$J$2:$J$1001,0),1)&gt;=100000,INDEX($Q$1005:$U$1005,1,MATCH(COLUMNS($Q$1006:Q1006),$Q$1006:$U$1006,0))&gt;=100000), " ",IF(INDEX($Q$2:$U$1001,MATCH(ROWS($J$2:J4),$J$2:$J$1001,0),MATCH(COLUMNS($Q$1006:Q1006),$Q$1006:$U$1006,0)), HYPERLINK("#",""), HYPERLINK(CONCATENATE("#Metadata!", ADDRESS(INDEX($L$2:$L$1001,MATCH(ROWS($J$2:J4),$J$2:$J$1001,0),0), INDEX($Q$1004:$U$1004,1,MATCH(COLUMNS($Q$1006:Q1006),$Q$1006:$U$1006,0)))),"Fix")))</f>
        <v xml:space="preserve"> </v>
      </c>
      <c r="C4" s="3" t="str">
        <f ca="1">IF(OR(INDEX($K$2:$K$1001,MATCH(ROWS($J$2:J4),$J$2:$J$1001,0),1)&gt;=100000,INDEX($Q$1005:$U$1005,1,MATCH(COLUMNS($Q$1006:R1006),$Q$1006:$U$1006,0))&gt;=100000), " ",IF(INDEX($Q$2:$U$1001,MATCH(ROWS($J$2:J4),$J$2:$J$1001,0),MATCH(COLUMNS($Q$1006:R1006),$Q$1006:$U$1006,0)), HYPERLINK("#",""), HYPERLINK(CONCATENATE("#Metadata!", ADDRESS(INDEX($L$2:$L$1001,MATCH(ROWS($J$2:J4),$J$2:$J$1001,0),0), INDEX($Q$1004:$U$1004,1,MATCH(COLUMNS($Q$1006:R1006),$Q$1006:$U$1006,0)))),"Fix")))</f>
        <v xml:space="preserve"> </v>
      </c>
      <c r="D4" s="3" t="str">
        <f ca="1">IF(OR(INDEX($K$2:$K$1001,MATCH(ROWS($J$2:J4),$J$2:$J$1001,0),1)&gt;=100000,INDEX($Q$1005:$U$1005,1,MATCH(COLUMNS($Q$1006:S1006),$Q$1006:$U$1006,0))&gt;=100000), " ",IF(INDEX($Q$2:$U$1001,MATCH(ROWS($J$2:J4),$J$2:$J$1001,0),MATCH(COLUMNS($Q$1006:S1006),$Q$1006:$U$1006,0)), HYPERLINK("#",""), HYPERLINK(CONCATENATE("#Metadata!", ADDRESS(INDEX($L$2:$L$1001,MATCH(ROWS($J$2:J4),$J$2:$J$1001,0),0), INDEX($Q$1004:$U$1004,1,MATCH(COLUMNS($Q$1006:S1006),$Q$1006:$U$1006,0)))),"Fix")))</f>
        <v xml:space="preserve"> </v>
      </c>
      <c r="E4" s="3" t="str">
        <f ca="1">IF(OR(INDEX($K$2:$K$1001,MATCH(ROWS($J$2:J4),$J$2:$J$1001,0),1)&gt;=100000,INDEX($Q$1005:$U$1005,1,MATCH(COLUMNS($Q$1006:T1006),$Q$1006:$U$1006,0))&gt;=100000), " ",IF(INDEX($Q$2:$U$1001,MATCH(ROWS($J$2:J4),$J$2:$J$1001,0),MATCH(COLUMNS($Q$1006:T1006),$Q$1006:$U$1006,0)), HYPERLINK("#",""), HYPERLINK(CONCATENATE("#Metadata!", ADDRESS(INDEX($L$2:$L$1001,MATCH(ROWS($J$2:J4),$J$2:$J$1001,0),0), INDEX($Q$1004:$U$1004,1,MATCH(COLUMNS($Q$1006:T1006),$Q$1006:$U$1006,0)))),"Fix")))</f>
        <v xml:space="preserve"> </v>
      </c>
      <c r="F4" s="3" t="str">
        <f ca="1">IF(OR(INDEX($K$2:$K$1001,MATCH(ROWS($J$2:J4),$J$2:$J$1001,0),1)&gt;=100000,INDEX($Q$1005:$U$1005,1,MATCH(COLUMNS($Q$1006:U1006),$Q$1006:$U$1006,0))&gt;=100000), " ",IF(INDEX($Q$2:$U$1001,MATCH(ROWS($J$2:J4),$J$2:$J$1001,0),MATCH(COLUMNS($Q$1006:U1006),$Q$1006:$U$1006,0)), HYPERLINK("#",""), HYPERLINK(CONCATENATE("#Metadata!", ADDRESS(INDEX($L$2:$L$1001,MATCH(ROWS($J$2:J4),$J$2:$J$1001,0),0), INDEX($Q$1004:$U$1004,1,MATCH(COLUMNS($Q$1006:U1006),$Q$1006:$U$1006,0)))),"Fix")))</f>
        <v xml:space="preserve"> </v>
      </c>
      <c r="J4">
        <f ca="1"/>
        <v>3</v>
      </c>
      <c r="K4">
        <v>100004</v>
      </c>
      <c r="L4">
        <v>4</v>
      </c>
      <c r="M4" t="b">
        <f t="shared" si="0"/>
        <v>1</v>
      </c>
      <c r="N4" t="b">
        <f>COUNTBLANK(Metadata!B4:F4)=COLUMNS(Metadata!B4:F4)</f>
        <v>1</v>
      </c>
      <c r="O4" t="str">
        <v/>
      </c>
      <c r="Q4" t="b">
        <f ca="1"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R4" t="b">
        <f>IF(Metadata!C4="",FALSE,TRUE)</f>
        <v>0</v>
      </c>
      <c r="S4" t="b">
        <f>OR(AND(IF(Metadata!D4="",FALSE,TRUE),EXACT(Metadata!D4,"missing: not collected")),AND(IF(Metadata!D4="",FALSE,TRUE),OR(EXACT(Metadata!D4,"t"),EXACT(Metadata!D4,"f"))))</f>
        <v>0</v>
      </c>
      <c r="T4" t="b">
        <f>AND(IF(Metadata!E4="",FALSE,TRUE),OR(EXACT(Metadata!E4,"a"),EXACT(Metadata!E4,"b")))</f>
        <v>0</v>
      </c>
      <c r="U4" t="b">
        <f>OR(AND(IF(Metadata!F4="",FALSE,TRUE),OR(EXACT(Metadata!F4,"missing: not collected"),EXACT(Metadata!F4,"missing: not provided"))),AND(IF(Metadata!F4="",FALSE,TRUE),OR(EXACT(Metadata!F4,"lo"),EXACT(Metadata!F4,"med"),EXACT(Metadata!F4,"hi"))))</f>
        <v>0</v>
      </c>
    </row>
    <row r="5" spans="1:21" x14ac:dyDescent="0.2">
      <c r="A5" s="4" t="str">
        <f ca="1">IF(B5=" "," ",HYPERLINK(CONCATENATE("#metadata!",ADDRESS(INDEX($L$2:$L$1001,MATCH(ROWS($J$2:J5),$J$2:$J$1001,0),0),1)),INDEX($O$2:$O$1001,MATCH(ROWS($J$2:J5),$J$2:$J$1001,0),0)))</f>
        <v xml:space="preserve"> </v>
      </c>
      <c r="B5" s="3" t="str">
        <f ca="1">IF(OR(INDEX($K$2:$K$1001,MATCH(ROWS($J$2:J5),$J$2:$J$1001,0),1)&gt;=100000,INDEX($Q$1005:$U$1005,1,MATCH(COLUMNS($Q$1006:Q1006),$Q$1006:$U$1006,0))&gt;=100000), " ",IF(INDEX($Q$2:$U$1001,MATCH(ROWS($J$2:J5),$J$2:$J$1001,0),MATCH(COLUMNS($Q$1006:Q1006),$Q$1006:$U$1006,0)), HYPERLINK("#",""), HYPERLINK(CONCATENATE("#Metadata!", ADDRESS(INDEX($L$2:$L$1001,MATCH(ROWS($J$2:J5),$J$2:$J$1001,0),0), INDEX($Q$1004:$U$1004,1,MATCH(COLUMNS($Q$1006:Q1006),$Q$1006:$U$1006,0)))),"Fix")))</f>
        <v xml:space="preserve"> </v>
      </c>
      <c r="C5" s="3" t="str">
        <f ca="1">IF(OR(INDEX($K$2:$K$1001,MATCH(ROWS($J$2:J5),$J$2:$J$1001,0),1)&gt;=100000,INDEX($Q$1005:$U$1005,1,MATCH(COLUMNS($Q$1006:R1006),$Q$1006:$U$1006,0))&gt;=100000), " ",IF(INDEX($Q$2:$U$1001,MATCH(ROWS($J$2:J5),$J$2:$J$1001,0),MATCH(COLUMNS($Q$1006:R1006),$Q$1006:$U$1006,0)), HYPERLINK("#",""), HYPERLINK(CONCATENATE("#Metadata!", ADDRESS(INDEX($L$2:$L$1001,MATCH(ROWS($J$2:J5),$J$2:$J$1001,0),0), INDEX($Q$1004:$U$1004,1,MATCH(COLUMNS($Q$1006:R1006),$Q$1006:$U$1006,0)))),"Fix")))</f>
        <v xml:space="preserve"> </v>
      </c>
      <c r="D5" s="3" t="str">
        <f ca="1">IF(OR(INDEX($K$2:$K$1001,MATCH(ROWS($J$2:J5),$J$2:$J$1001,0),1)&gt;=100000,INDEX($Q$1005:$U$1005,1,MATCH(COLUMNS($Q$1006:S1006),$Q$1006:$U$1006,0))&gt;=100000), " ",IF(INDEX($Q$2:$U$1001,MATCH(ROWS($J$2:J5),$J$2:$J$1001,0),MATCH(COLUMNS($Q$1006:S1006),$Q$1006:$U$1006,0)), HYPERLINK("#",""), HYPERLINK(CONCATENATE("#Metadata!", ADDRESS(INDEX($L$2:$L$1001,MATCH(ROWS($J$2:J5),$J$2:$J$1001,0),0), INDEX($Q$1004:$U$1004,1,MATCH(COLUMNS($Q$1006:S1006),$Q$1006:$U$1006,0)))),"Fix")))</f>
        <v xml:space="preserve"> </v>
      </c>
      <c r="E5" s="3" t="str">
        <f ca="1">IF(OR(INDEX($K$2:$K$1001,MATCH(ROWS($J$2:J5),$J$2:$J$1001,0),1)&gt;=100000,INDEX($Q$1005:$U$1005,1,MATCH(COLUMNS($Q$1006:T1006),$Q$1006:$U$1006,0))&gt;=100000), " ",IF(INDEX($Q$2:$U$1001,MATCH(ROWS($J$2:J5),$J$2:$J$1001,0),MATCH(COLUMNS($Q$1006:T1006),$Q$1006:$U$1006,0)), HYPERLINK("#",""), HYPERLINK(CONCATENATE("#Metadata!", ADDRESS(INDEX($L$2:$L$1001,MATCH(ROWS($J$2:J5),$J$2:$J$1001,0),0), INDEX($Q$1004:$U$1004,1,MATCH(COLUMNS($Q$1006:T1006),$Q$1006:$U$1006,0)))),"Fix")))</f>
        <v xml:space="preserve"> </v>
      </c>
      <c r="F5" s="3" t="str">
        <f ca="1">IF(OR(INDEX($K$2:$K$1001,MATCH(ROWS($J$2:J5),$J$2:$J$1001,0),1)&gt;=100000,INDEX($Q$1005:$U$1005,1,MATCH(COLUMNS($Q$1006:U1006),$Q$1006:$U$1006,0))&gt;=100000), " ",IF(INDEX($Q$2:$U$1001,MATCH(ROWS($J$2:J5),$J$2:$J$1001,0),MATCH(COLUMNS($Q$1006:U1006),$Q$1006:$U$1006,0)), HYPERLINK("#",""), HYPERLINK(CONCATENATE("#Metadata!", ADDRESS(INDEX($L$2:$L$1001,MATCH(ROWS($J$2:J5),$J$2:$J$1001,0),0), INDEX($Q$1004:$U$1004,1,MATCH(COLUMNS($Q$1006:U1006),$Q$1006:$U$1006,0)))),"Fix")))</f>
        <v xml:space="preserve"> </v>
      </c>
      <c r="J5">
        <f ca="1"/>
        <v>4</v>
      </c>
      <c r="K5">
        <v>100005</v>
      </c>
      <c r="L5">
        <v>5</v>
      </c>
      <c r="M5" t="b">
        <f t="shared" si="0"/>
        <v>1</v>
      </c>
      <c r="N5" t="b">
        <f>COUNTBLANK(Metadata!B5:F5)=COLUMNS(Metadata!B5:F5)</f>
        <v>1</v>
      </c>
      <c r="O5" t="str">
        <v/>
      </c>
      <c r="Q5" t="b">
        <f ca="1"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R5" t="b">
        <f>IF(Metadata!C5="",FALSE,TRUE)</f>
        <v>0</v>
      </c>
      <c r="S5" t="b">
        <f>OR(AND(IF(Metadata!D5="",FALSE,TRUE),EXACT(Metadata!D5,"missing: not collected")),AND(IF(Metadata!D5="",FALSE,TRUE),OR(EXACT(Metadata!D5,"t"),EXACT(Metadata!D5,"f"))))</f>
        <v>0</v>
      </c>
      <c r="T5" t="b">
        <f>AND(IF(Metadata!E5="",FALSE,TRUE),OR(EXACT(Metadata!E5,"a"),EXACT(Metadata!E5,"b")))</f>
        <v>0</v>
      </c>
      <c r="U5" t="b">
        <f>OR(AND(IF(Metadata!F5="",FALSE,TRUE),OR(EXACT(Metadata!F5,"missing: not collected"),EXACT(Metadata!F5,"missing: not provided"))),AND(IF(Metadata!F5="",FALSE,TRUE),OR(EXACT(Metadata!F5,"lo"),EXACT(Metadata!F5,"med"),EXACT(Metadata!F5,"hi"))))</f>
        <v>0</v>
      </c>
    </row>
    <row r="6" spans="1:21" x14ac:dyDescent="0.2">
      <c r="A6" s="4" t="str">
        <f ca="1">IF(B6=" "," ",HYPERLINK(CONCATENATE("#metadata!",ADDRESS(INDEX($L$2:$L$1001,MATCH(ROWS($J$2:J6),$J$2:$J$1001,0),0),1)),INDEX($O$2:$O$1001,MATCH(ROWS($J$2:J6),$J$2:$J$1001,0),0)))</f>
        <v xml:space="preserve"> </v>
      </c>
      <c r="B6" s="3" t="str">
        <f ca="1">IF(OR(INDEX($K$2:$K$1001,MATCH(ROWS($J$2:J6),$J$2:$J$1001,0),1)&gt;=100000,INDEX($Q$1005:$U$1005,1,MATCH(COLUMNS($Q$1006:Q1006),$Q$1006:$U$1006,0))&gt;=100000), " ",IF(INDEX($Q$2:$U$1001,MATCH(ROWS($J$2:J6),$J$2:$J$1001,0),MATCH(COLUMNS($Q$1006:Q1006),$Q$1006:$U$1006,0)), HYPERLINK("#",""), HYPERLINK(CONCATENATE("#Metadata!", ADDRESS(INDEX($L$2:$L$1001,MATCH(ROWS($J$2:J6),$J$2:$J$1001,0),0), INDEX($Q$1004:$U$1004,1,MATCH(COLUMNS($Q$1006:Q1006),$Q$1006:$U$1006,0)))),"Fix")))</f>
        <v xml:space="preserve"> </v>
      </c>
      <c r="C6" s="3" t="str">
        <f ca="1">IF(OR(INDEX($K$2:$K$1001,MATCH(ROWS($J$2:J6),$J$2:$J$1001,0),1)&gt;=100000,INDEX($Q$1005:$U$1005,1,MATCH(COLUMNS($Q$1006:R1006),$Q$1006:$U$1006,0))&gt;=100000), " ",IF(INDEX($Q$2:$U$1001,MATCH(ROWS($J$2:J6),$J$2:$J$1001,0),MATCH(COLUMNS($Q$1006:R1006),$Q$1006:$U$1006,0)), HYPERLINK("#",""), HYPERLINK(CONCATENATE("#Metadata!", ADDRESS(INDEX($L$2:$L$1001,MATCH(ROWS($J$2:J6),$J$2:$J$1001,0),0), INDEX($Q$1004:$U$1004,1,MATCH(COLUMNS($Q$1006:R1006),$Q$1006:$U$1006,0)))),"Fix")))</f>
        <v xml:space="preserve"> </v>
      </c>
      <c r="D6" s="3" t="str">
        <f ca="1">IF(OR(INDEX($K$2:$K$1001,MATCH(ROWS($J$2:J6),$J$2:$J$1001,0),1)&gt;=100000,INDEX($Q$1005:$U$1005,1,MATCH(COLUMNS($Q$1006:S1006),$Q$1006:$U$1006,0))&gt;=100000), " ",IF(INDEX($Q$2:$U$1001,MATCH(ROWS($J$2:J6),$J$2:$J$1001,0),MATCH(COLUMNS($Q$1006:S1006),$Q$1006:$U$1006,0)), HYPERLINK("#",""), HYPERLINK(CONCATENATE("#Metadata!", ADDRESS(INDEX($L$2:$L$1001,MATCH(ROWS($J$2:J6),$J$2:$J$1001,0),0), INDEX($Q$1004:$U$1004,1,MATCH(COLUMNS($Q$1006:S1006),$Q$1006:$U$1006,0)))),"Fix")))</f>
        <v xml:space="preserve"> </v>
      </c>
      <c r="E6" s="3" t="str">
        <f ca="1">IF(OR(INDEX($K$2:$K$1001,MATCH(ROWS($J$2:J6),$J$2:$J$1001,0),1)&gt;=100000,INDEX($Q$1005:$U$1005,1,MATCH(COLUMNS($Q$1006:T1006),$Q$1006:$U$1006,0))&gt;=100000), " ",IF(INDEX($Q$2:$U$1001,MATCH(ROWS($J$2:J6),$J$2:$J$1001,0),MATCH(COLUMNS($Q$1006:T1006),$Q$1006:$U$1006,0)), HYPERLINK("#",""), HYPERLINK(CONCATENATE("#Metadata!", ADDRESS(INDEX($L$2:$L$1001,MATCH(ROWS($J$2:J6),$J$2:$J$1001,0),0), INDEX($Q$1004:$U$1004,1,MATCH(COLUMNS($Q$1006:T1006),$Q$1006:$U$1006,0)))),"Fix")))</f>
        <v xml:space="preserve"> </v>
      </c>
      <c r="F6" s="3" t="str">
        <f ca="1">IF(OR(INDEX($K$2:$K$1001,MATCH(ROWS($J$2:J6),$J$2:$J$1001,0),1)&gt;=100000,INDEX($Q$1005:$U$1005,1,MATCH(COLUMNS($Q$1006:U1006),$Q$1006:$U$1006,0))&gt;=100000), " ",IF(INDEX($Q$2:$U$1001,MATCH(ROWS($J$2:J6),$J$2:$J$1001,0),MATCH(COLUMNS($Q$1006:U1006),$Q$1006:$U$1006,0)), HYPERLINK("#",""), HYPERLINK(CONCATENATE("#Metadata!", ADDRESS(INDEX($L$2:$L$1001,MATCH(ROWS($J$2:J6),$J$2:$J$1001,0),0), INDEX($Q$1004:$U$1004,1,MATCH(COLUMNS($Q$1006:U1006),$Q$1006:$U$1006,0)))),"Fix")))</f>
        <v xml:space="preserve"> </v>
      </c>
      <c r="J6">
        <f ca="1"/>
        <v>5</v>
      </c>
      <c r="K6">
        <v>100006</v>
      </c>
      <c r="L6">
        <v>6</v>
      </c>
      <c r="M6" t="b">
        <f t="shared" si="0"/>
        <v>1</v>
      </c>
      <c r="N6" t="b">
        <f>COUNTBLANK(Metadata!B6:F6)=COLUMNS(Metadata!B6:F6)</f>
        <v>1</v>
      </c>
      <c r="O6" t="str">
        <v/>
      </c>
      <c r="Q6" t="b">
        <f ca="1"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R6" t="b">
        <f>IF(Metadata!C6="",FALSE,TRUE)</f>
        <v>0</v>
      </c>
      <c r="S6" t="b">
        <f>OR(AND(IF(Metadata!D6="",FALSE,TRUE),EXACT(Metadata!D6,"missing: not collected")),AND(IF(Metadata!D6="",FALSE,TRUE),OR(EXACT(Metadata!D6,"t"),EXACT(Metadata!D6,"f"))))</f>
        <v>0</v>
      </c>
      <c r="T6" t="b">
        <f>AND(IF(Metadata!E6="",FALSE,TRUE),OR(EXACT(Metadata!E6,"a"),EXACT(Metadata!E6,"b")))</f>
        <v>0</v>
      </c>
      <c r="U6" t="b">
        <f>OR(AND(IF(Metadata!F6="",FALSE,TRUE),OR(EXACT(Metadata!F6,"missing: not collected"),EXACT(Metadata!F6,"missing: not provided"))),AND(IF(Metadata!F6="",FALSE,TRUE),OR(EXACT(Metadata!F6,"lo"),EXACT(Metadata!F6,"med"),EXACT(Metadata!F6,"hi"))))</f>
        <v>0</v>
      </c>
    </row>
    <row r="7" spans="1:21" x14ac:dyDescent="0.2">
      <c r="A7" s="4" t="str">
        <f ca="1">IF(B7=" "," ",HYPERLINK(CONCATENATE("#metadata!",ADDRESS(INDEX($L$2:$L$1001,MATCH(ROWS($J$2:J7),$J$2:$J$1001,0),0),1)),INDEX($O$2:$O$1001,MATCH(ROWS($J$2:J7),$J$2:$J$1001,0),0)))</f>
        <v xml:space="preserve"> </v>
      </c>
      <c r="B7" s="3" t="str">
        <f ca="1">IF(OR(INDEX($K$2:$K$1001,MATCH(ROWS($J$2:J7),$J$2:$J$1001,0),1)&gt;=100000,INDEX($Q$1005:$U$1005,1,MATCH(COLUMNS($Q$1006:Q1006),$Q$1006:$U$1006,0))&gt;=100000), " ",IF(INDEX($Q$2:$U$1001,MATCH(ROWS($J$2:J7),$J$2:$J$1001,0),MATCH(COLUMNS($Q$1006:Q1006),$Q$1006:$U$1006,0)), HYPERLINK("#",""), HYPERLINK(CONCATENATE("#Metadata!", ADDRESS(INDEX($L$2:$L$1001,MATCH(ROWS($J$2:J7),$J$2:$J$1001,0),0), INDEX($Q$1004:$U$1004,1,MATCH(COLUMNS($Q$1006:Q1006),$Q$1006:$U$1006,0)))),"Fix")))</f>
        <v xml:space="preserve"> </v>
      </c>
      <c r="C7" s="3" t="str">
        <f ca="1">IF(OR(INDEX($K$2:$K$1001,MATCH(ROWS($J$2:J7),$J$2:$J$1001,0),1)&gt;=100000,INDEX($Q$1005:$U$1005,1,MATCH(COLUMNS($Q$1006:R1006),$Q$1006:$U$1006,0))&gt;=100000), " ",IF(INDEX($Q$2:$U$1001,MATCH(ROWS($J$2:J7),$J$2:$J$1001,0),MATCH(COLUMNS($Q$1006:R1006),$Q$1006:$U$1006,0)), HYPERLINK("#",""), HYPERLINK(CONCATENATE("#Metadata!", ADDRESS(INDEX($L$2:$L$1001,MATCH(ROWS($J$2:J7),$J$2:$J$1001,0),0), INDEX($Q$1004:$U$1004,1,MATCH(COLUMNS($Q$1006:R1006),$Q$1006:$U$1006,0)))),"Fix")))</f>
        <v xml:space="preserve"> </v>
      </c>
      <c r="D7" s="3" t="str">
        <f ca="1">IF(OR(INDEX($K$2:$K$1001,MATCH(ROWS($J$2:J7),$J$2:$J$1001,0),1)&gt;=100000,INDEX($Q$1005:$U$1005,1,MATCH(COLUMNS($Q$1006:S1006),$Q$1006:$U$1006,0))&gt;=100000), " ",IF(INDEX($Q$2:$U$1001,MATCH(ROWS($J$2:J7),$J$2:$J$1001,0),MATCH(COLUMNS($Q$1006:S1006),$Q$1006:$U$1006,0)), HYPERLINK("#",""), HYPERLINK(CONCATENATE("#Metadata!", ADDRESS(INDEX($L$2:$L$1001,MATCH(ROWS($J$2:J7),$J$2:$J$1001,0),0), INDEX($Q$1004:$U$1004,1,MATCH(COLUMNS($Q$1006:S1006),$Q$1006:$U$1006,0)))),"Fix")))</f>
        <v xml:space="preserve"> </v>
      </c>
      <c r="E7" s="3" t="str">
        <f ca="1">IF(OR(INDEX($K$2:$K$1001,MATCH(ROWS($J$2:J7),$J$2:$J$1001,0),1)&gt;=100000,INDEX($Q$1005:$U$1005,1,MATCH(COLUMNS($Q$1006:T1006),$Q$1006:$U$1006,0))&gt;=100000), " ",IF(INDEX($Q$2:$U$1001,MATCH(ROWS($J$2:J7),$J$2:$J$1001,0),MATCH(COLUMNS($Q$1006:T1006),$Q$1006:$U$1006,0)), HYPERLINK("#",""), HYPERLINK(CONCATENATE("#Metadata!", ADDRESS(INDEX($L$2:$L$1001,MATCH(ROWS($J$2:J7),$J$2:$J$1001,0),0), INDEX($Q$1004:$U$1004,1,MATCH(COLUMNS($Q$1006:T1006),$Q$1006:$U$1006,0)))),"Fix")))</f>
        <v xml:space="preserve"> </v>
      </c>
      <c r="F7" s="3" t="str">
        <f ca="1">IF(OR(INDEX($K$2:$K$1001,MATCH(ROWS($J$2:J7),$J$2:$J$1001,0),1)&gt;=100000,INDEX($Q$1005:$U$1005,1,MATCH(COLUMNS($Q$1006:U1006),$Q$1006:$U$1006,0))&gt;=100000), " ",IF(INDEX($Q$2:$U$1001,MATCH(ROWS($J$2:J7),$J$2:$J$1001,0),MATCH(COLUMNS($Q$1006:U1006),$Q$1006:$U$1006,0)), HYPERLINK("#",""), HYPERLINK(CONCATENATE("#Metadata!", ADDRESS(INDEX($L$2:$L$1001,MATCH(ROWS($J$2:J7),$J$2:$J$1001,0),0), INDEX($Q$1004:$U$1004,1,MATCH(COLUMNS($Q$1006:U1006),$Q$1006:$U$1006,0)))),"Fix")))</f>
        <v xml:space="preserve"> </v>
      </c>
      <c r="J7">
        <f ca="1"/>
        <v>6</v>
      </c>
      <c r="K7">
        <v>100007</v>
      </c>
      <c r="L7">
        <v>7</v>
      </c>
      <c r="M7" t="b">
        <f t="shared" si="0"/>
        <v>1</v>
      </c>
      <c r="N7" t="b">
        <f>COUNTBLANK(Metadata!B7:F7)=COLUMNS(Metadata!B7:F7)</f>
        <v>1</v>
      </c>
      <c r="O7" t="str">
        <v/>
      </c>
      <c r="Q7" t="b">
        <f ca="1"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R7" t="b">
        <f>IF(Metadata!C7="",FALSE,TRUE)</f>
        <v>0</v>
      </c>
      <c r="S7" t="b">
        <f>OR(AND(IF(Metadata!D7="",FALSE,TRUE),EXACT(Metadata!D7,"missing: not collected")),AND(IF(Metadata!D7="",FALSE,TRUE),OR(EXACT(Metadata!D7,"t"),EXACT(Metadata!D7,"f"))))</f>
        <v>0</v>
      </c>
      <c r="T7" t="b">
        <f>AND(IF(Metadata!E7="",FALSE,TRUE),OR(EXACT(Metadata!E7,"a"),EXACT(Metadata!E7,"b")))</f>
        <v>0</v>
      </c>
      <c r="U7" t="b">
        <f>OR(AND(IF(Metadata!F7="",FALSE,TRUE),OR(EXACT(Metadata!F7,"missing: not collected"),EXACT(Metadata!F7,"missing: not provided"))),AND(IF(Metadata!F7="",FALSE,TRUE),OR(EXACT(Metadata!F7,"lo"),EXACT(Metadata!F7,"med"),EXACT(Metadata!F7,"hi"))))</f>
        <v>0</v>
      </c>
    </row>
    <row r="8" spans="1:21" x14ac:dyDescent="0.2">
      <c r="A8" s="4" t="str">
        <f ca="1">IF(B8=" "," ",HYPERLINK(CONCATENATE("#metadata!",ADDRESS(INDEX($L$2:$L$1001,MATCH(ROWS($J$2:J8),$J$2:$J$1001,0),0),1)),INDEX($O$2:$O$1001,MATCH(ROWS($J$2:J8),$J$2:$J$1001,0),0)))</f>
        <v xml:space="preserve"> </v>
      </c>
      <c r="B8" s="3" t="str">
        <f ca="1">IF(OR(INDEX($K$2:$K$1001,MATCH(ROWS($J$2:J8),$J$2:$J$1001,0),1)&gt;=100000,INDEX($Q$1005:$U$1005,1,MATCH(COLUMNS($Q$1006:Q1006),$Q$1006:$U$1006,0))&gt;=100000), " ",IF(INDEX($Q$2:$U$1001,MATCH(ROWS($J$2:J8),$J$2:$J$1001,0),MATCH(COLUMNS($Q$1006:Q1006),$Q$1006:$U$1006,0)), HYPERLINK("#",""), HYPERLINK(CONCATENATE("#Metadata!", ADDRESS(INDEX($L$2:$L$1001,MATCH(ROWS($J$2:J8),$J$2:$J$1001,0),0), INDEX($Q$1004:$U$1004,1,MATCH(COLUMNS($Q$1006:Q1006),$Q$1006:$U$1006,0)))),"Fix")))</f>
        <v xml:space="preserve"> </v>
      </c>
      <c r="C8" s="3" t="str">
        <f ca="1">IF(OR(INDEX($K$2:$K$1001,MATCH(ROWS($J$2:J8),$J$2:$J$1001,0),1)&gt;=100000,INDEX($Q$1005:$U$1005,1,MATCH(COLUMNS($Q$1006:R1006),$Q$1006:$U$1006,0))&gt;=100000), " ",IF(INDEX($Q$2:$U$1001,MATCH(ROWS($J$2:J8),$J$2:$J$1001,0),MATCH(COLUMNS($Q$1006:R1006),$Q$1006:$U$1006,0)), HYPERLINK("#",""), HYPERLINK(CONCATENATE("#Metadata!", ADDRESS(INDEX($L$2:$L$1001,MATCH(ROWS($J$2:J8),$J$2:$J$1001,0),0), INDEX($Q$1004:$U$1004,1,MATCH(COLUMNS($Q$1006:R1006),$Q$1006:$U$1006,0)))),"Fix")))</f>
        <v xml:space="preserve"> </v>
      </c>
      <c r="D8" s="3" t="str">
        <f ca="1">IF(OR(INDEX($K$2:$K$1001,MATCH(ROWS($J$2:J8),$J$2:$J$1001,0),1)&gt;=100000,INDEX($Q$1005:$U$1005,1,MATCH(COLUMNS($Q$1006:S1006),$Q$1006:$U$1006,0))&gt;=100000), " ",IF(INDEX($Q$2:$U$1001,MATCH(ROWS($J$2:J8),$J$2:$J$1001,0),MATCH(COLUMNS($Q$1006:S1006),$Q$1006:$U$1006,0)), HYPERLINK("#",""), HYPERLINK(CONCATENATE("#Metadata!", ADDRESS(INDEX($L$2:$L$1001,MATCH(ROWS($J$2:J8),$J$2:$J$1001,0),0), INDEX($Q$1004:$U$1004,1,MATCH(COLUMNS($Q$1006:S1006),$Q$1006:$U$1006,0)))),"Fix")))</f>
        <v xml:space="preserve"> </v>
      </c>
      <c r="E8" s="3" t="str">
        <f ca="1">IF(OR(INDEX($K$2:$K$1001,MATCH(ROWS($J$2:J8),$J$2:$J$1001,0),1)&gt;=100000,INDEX($Q$1005:$U$1005,1,MATCH(COLUMNS($Q$1006:T1006),$Q$1006:$U$1006,0))&gt;=100000), " ",IF(INDEX($Q$2:$U$1001,MATCH(ROWS($J$2:J8),$J$2:$J$1001,0),MATCH(COLUMNS($Q$1006:T1006),$Q$1006:$U$1006,0)), HYPERLINK("#",""), HYPERLINK(CONCATENATE("#Metadata!", ADDRESS(INDEX($L$2:$L$1001,MATCH(ROWS($J$2:J8),$J$2:$J$1001,0),0), INDEX($Q$1004:$U$1004,1,MATCH(COLUMNS($Q$1006:T1006),$Q$1006:$U$1006,0)))),"Fix")))</f>
        <v xml:space="preserve"> </v>
      </c>
      <c r="F8" s="3" t="str">
        <f ca="1">IF(OR(INDEX($K$2:$K$1001,MATCH(ROWS($J$2:J8),$J$2:$J$1001,0),1)&gt;=100000,INDEX($Q$1005:$U$1005,1,MATCH(COLUMNS($Q$1006:U1006),$Q$1006:$U$1006,0))&gt;=100000), " ",IF(INDEX($Q$2:$U$1001,MATCH(ROWS($J$2:J8),$J$2:$J$1001,0),MATCH(COLUMNS($Q$1006:U1006),$Q$1006:$U$1006,0)), HYPERLINK("#",""), HYPERLINK(CONCATENATE("#Metadata!", ADDRESS(INDEX($L$2:$L$1001,MATCH(ROWS($J$2:J8),$J$2:$J$1001,0),0), INDEX($Q$1004:$U$1004,1,MATCH(COLUMNS($Q$1006:U1006),$Q$1006:$U$1006,0)))),"Fix")))</f>
        <v xml:space="preserve"> </v>
      </c>
      <c r="J8">
        <f ca="1"/>
        <v>7</v>
      </c>
      <c r="K8">
        <v>100008</v>
      </c>
      <c r="L8">
        <v>8</v>
      </c>
      <c r="M8" t="b">
        <f t="shared" si="0"/>
        <v>1</v>
      </c>
      <c r="N8" t="b">
        <f>COUNTBLANK(Metadata!B8:F8)=COLUMNS(Metadata!B8:F8)</f>
        <v>1</v>
      </c>
      <c r="O8" t="str">
        <v/>
      </c>
      <c r="Q8" t="b">
        <f ca="1"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R8" t="b">
        <f>IF(Metadata!C8="",FALSE,TRUE)</f>
        <v>0</v>
      </c>
      <c r="S8" t="b">
        <f>OR(AND(IF(Metadata!D8="",FALSE,TRUE),EXACT(Metadata!D8,"missing: not collected")),AND(IF(Metadata!D8="",FALSE,TRUE),OR(EXACT(Metadata!D8,"t"),EXACT(Metadata!D8,"f"))))</f>
        <v>0</v>
      </c>
      <c r="T8" t="b">
        <f>AND(IF(Metadata!E8="",FALSE,TRUE),OR(EXACT(Metadata!E8,"a"),EXACT(Metadata!E8,"b")))</f>
        <v>0</v>
      </c>
      <c r="U8" t="b">
        <f>OR(AND(IF(Metadata!F8="",FALSE,TRUE),OR(EXACT(Metadata!F8,"missing: not collected"),EXACT(Metadata!F8,"missing: not provided"))),AND(IF(Metadata!F8="",FALSE,TRUE),OR(EXACT(Metadata!F8,"lo"),EXACT(Metadata!F8,"med"),EXACT(Metadata!F8,"hi"))))</f>
        <v>0</v>
      </c>
    </row>
    <row r="9" spans="1:21" x14ac:dyDescent="0.2">
      <c r="A9" s="4" t="str">
        <f ca="1">IF(B9=" "," ",HYPERLINK(CONCATENATE("#metadata!",ADDRESS(INDEX($L$2:$L$1001,MATCH(ROWS($J$2:J9),$J$2:$J$1001,0),0),1)),INDEX($O$2:$O$1001,MATCH(ROWS($J$2:J9),$J$2:$J$1001,0),0)))</f>
        <v xml:space="preserve"> </v>
      </c>
      <c r="B9" s="3" t="str">
        <f ca="1">IF(OR(INDEX($K$2:$K$1001,MATCH(ROWS($J$2:J9),$J$2:$J$1001,0),1)&gt;=100000,INDEX($Q$1005:$U$1005,1,MATCH(COLUMNS($Q$1006:Q1006),$Q$1006:$U$1006,0))&gt;=100000), " ",IF(INDEX($Q$2:$U$1001,MATCH(ROWS($J$2:J9),$J$2:$J$1001,0),MATCH(COLUMNS($Q$1006:Q1006),$Q$1006:$U$1006,0)), HYPERLINK("#",""), HYPERLINK(CONCATENATE("#Metadata!", ADDRESS(INDEX($L$2:$L$1001,MATCH(ROWS($J$2:J9),$J$2:$J$1001,0),0), INDEX($Q$1004:$U$1004,1,MATCH(COLUMNS($Q$1006:Q1006),$Q$1006:$U$1006,0)))),"Fix")))</f>
        <v xml:space="preserve"> </v>
      </c>
      <c r="C9" s="3" t="str">
        <f ca="1">IF(OR(INDEX($K$2:$K$1001,MATCH(ROWS($J$2:J9),$J$2:$J$1001,0),1)&gt;=100000,INDEX($Q$1005:$U$1005,1,MATCH(COLUMNS($Q$1006:R1006),$Q$1006:$U$1006,0))&gt;=100000), " ",IF(INDEX($Q$2:$U$1001,MATCH(ROWS($J$2:J9),$J$2:$J$1001,0),MATCH(COLUMNS($Q$1006:R1006),$Q$1006:$U$1006,0)), HYPERLINK("#",""), HYPERLINK(CONCATENATE("#Metadata!", ADDRESS(INDEX($L$2:$L$1001,MATCH(ROWS($J$2:J9),$J$2:$J$1001,0),0), INDEX($Q$1004:$U$1004,1,MATCH(COLUMNS($Q$1006:R1006),$Q$1006:$U$1006,0)))),"Fix")))</f>
        <v xml:space="preserve"> </v>
      </c>
      <c r="D9" s="3" t="str">
        <f ca="1">IF(OR(INDEX($K$2:$K$1001,MATCH(ROWS($J$2:J9),$J$2:$J$1001,0),1)&gt;=100000,INDEX($Q$1005:$U$1005,1,MATCH(COLUMNS($Q$1006:S1006),$Q$1006:$U$1006,0))&gt;=100000), " ",IF(INDEX($Q$2:$U$1001,MATCH(ROWS($J$2:J9),$J$2:$J$1001,0),MATCH(COLUMNS($Q$1006:S1006),$Q$1006:$U$1006,0)), HYPERLINK("#",""), HYPERLINK(CONCATENATE("#Metadata!", ADDRESS(INDEX($L$2:$L$1001,MATCH(ROWS($J$2:J9),$J$2:$J$1001,0),0), INDEX($Q$1004:$U$1004,1,MATCH(COLUMNS($Q$1006:S1006),$Q$1006:$U$1006,0)))),"Fix")))</f>
        <v xml:space="preserve"> </v>
      </c>
      <c r="E9" s="3" t="str">
        <f ca="1">IF(OR(INDEX($K$2:$K$1001,MATCH(ROWS($J$2:J9),$J$2:$J$1001,0),1)&gt;=100000,INDEX($Q$1005:$U$1005,1,MATCH(COLUMNS($Q$1006:T1006),$Q$1006:$U$1006,0))&gt;=100000), " ",IF(INDEX($Q$2:$U$1001,MATCH(ROWS($J$2:J9),$J$2:$J$1001,0),MATCH(COLUMNS($Q$1006:T1006),$Q$1006:$U$1006,0)), HYPERLINK("#",""), HYPERLINK(CONCATENATE("#Metadata!", ADDRESS(INDEX($L$2:$L$1001,MATCH(ROWS($J$2:J9),$J$2:$J$1001,0),0), INDEX($Q$1004:$U$1004,1,MATCH(COLUMNS($Q$1006:T1006),$Q$1006:$U$1006,0)))),"Fix")))</f>
        <v xml:space="preserve"> </v>
      </c>
      <c r="F9" s="3" t="str">
        <f ca="1">IF(OR(INDEX($K$2:$K$1001,MATCH(ROWS($J$2:J9),$J$2:$J$1001,0),1)&gt;=100000,INDEX($Q$1005:$U$1005,1,MATCH(COLUMNS($Q$1006:U1006),$Q$1006:$U$1006,0))&gt;=100000), " ",IF(INDEX($Q$2:$U$1001,MATCH(ROWS($J$2:J9),$J$2:$J$1001,0),MATCH(COLUMNS($Q$1006:U1006),$Q$1006:$U$1006,0)), HYPERLINK("#",""), HYPERLINK(CONCATENATE("#Metadata!", ADDRESS(INDEX($L$2:$L$1001,MATCH(ROWS($J$2:J9),$J$2:$J$1001,0),0), INDEX($Q$1004:$U$1004,1,MATCH(COLUMNS($Q$1006:U1006),$Q$1006:$U$1006,0)))),"Fix")))</f>
        <v xml:space="preserve"> </v>
      </c>
      <c r="J9">
        <f ca="1"/>
        <v>8</v>
      </c>
      <c r="K9">
        <v>100009</v>
      </c>
      <c r="L9">
        <v>9</v>
      </c>
      <c r="M9" t="b">
        <f t="shared" si="0"/>
        <v>1</v>
      </c>
      <c r="N9" t="b">
        <f>COUNTBLANK(Metadata!B9:F9)=COLUMNS(Metadata!B9:F9)</f>
        <v>1</v>
      </c>
      <c r="O9" t="str">
        <v/>
      </c>
      <c r="Q9" t="b">
        <f ca="1"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R9" t="b">
        <f>IF(Metadata!C9="",FALSE,TRUE)</f>
        <v>0</v>
      </c>
      <c r="S9" t="b">
        <f>OR(AND(IF(Metadata!D9="",FALSE,TRUE),EXACT(Metadata!D9,"missing: not collected")),AND(IF(Metadata!D9="",FALSE,TRUE),OR(EXACT(Metadata!D9,"t"),EXACT(Metadata!D9,"f"))))</f>
        <v>0</v>
      </c>
      <c r="T9" t="b">
        <f>AND(IF(Metadata!E9="",FALSE,TRUE),OR(EXACT(Metadata!E9,"a"),EXACT(Metadata!E9,"b")))</f>
        <v>0</v>
      </c>
      <c r="U9" t="b">
        <f>OR(AND(IF(Metadata!F9="",FALSE,TRUE),OR(EXACT(Metadata!F9,"missing: not collected"),EXACT(Metadata!F9,"missing: not provided"))),AND(IF(Metadata!F9="",FALSE,TRUE),OR(EXACT(Metadata!F9,"lo"),EXACT(Metadata!F9,"med"),EXACT(Metadata!F9,"hi"))))</f>
        <v>0</v>
      </c>
    </row>
    <row r="10" spans="1:21" x14ac:dyDescent="0.2">
      <c r="A10" s="4" t="str">
        <f ca="1">IF(B10=" "," ",HYPERLINK(CONCATENATE("#metadata!",ADDRESS(INDEX($L$2:$L$1001,MATCH(ROWS($J$2:J10),$J$2:$J$1001,0),0),1)),INDEX($O$2:$O$1001,MATCH(ROWS($J$2:J10),$J$2:$J$1001,0),0)))</f>
        <v xml:space="preserve"> </v>
      </c>
      <c r="B10" s="3" t="str">
        <f ca="1">IF(OR(INDEX($K$2:$K$1001,MATCH(ROWS($J$2:J10),$J$2:$J$1001,0),1)&gt;=100000,INDEX($Q$1005:$U$1005,1,MATCH(COLUMNS($Q$1006:Q1006),$Q$1006:$U$1006,0))&gt;=100000), " ",IF(INDEX($Q$2:$U$1001,MATCH(ROWS($J$2:J10),$J$2:$J$1001,0),MATCH(COLUMNS($Q$1006:Q1006),$Q$1006:$U$1006,0)), HYPERLINK("#",""), HYPERLINK(CONCATENATE("#Metadata!", ADDRESS(INDEX($L$2:$L$1001,MATCH(ROWS($J$2:J10),$J$2:$J$1001,0),0), INDEX($Q$1004:$U$1004,1,MATCH(COLUMNS($Q$1006:Q1006),$Q$1006:$U$1006,0)))),"Fix")))</f>
        <v xml:space="preserve"> </v>
      </c>
      <c r="C10" s="3" t="str">
        <f ca="1">IF(OR(INDEX($K$2:$K$1001,MATCH(ROWS($J$2:J10),$J$2:$J$1001,0),1)&gt;=100000,INDEX($Q$1005:$U$1005,1,MATCH(COLUMNS($Q$1006:R1006),$Q$1006:$U$1006,0))&gt;=100000), " ",IF(INDEX($Q$2:$U$1001,MATCH(ROWS($J$2:J10),$J$2:$J$1001,0),MATCH(COLUMNS($Q$1006:R1006),$Q$1006:$U$1006,0)), HYPERLINK("#",""), HYPERLINK(CONCATENATE("#Metadata!", ADDRESS(INDEX($L$2:$L$1001,MATCH(ROWS($J$2:J10),$J$2:$J$1001,0),0), INDEX($Q$1004:$U$1004,1,MATCH(COLUMNS($Q$1006:R1006),$Q$1006:$U$1006,0)))),"Fix")))</f>
        <v xml:space="preserve"> </v>
      </c>
      <c r="D10" s="3" t="str">
        <f ca="1">IF(OR(INDEX($K$2:$K$1001,MATCH(ROWS($J$2:J10),$J$2:$J$1001,0),1)&gt;=100000,INDEX($Q$1005:$U$1005,1,MATCH(COLUMNS($Q$1006:S1006),$Q$1006:$U$1006,0))&gt;=100000), " ",IF(INDEX($Q$2:$U$1001,MATCH(ROWS($J$2:J10),$J$2:$J$1001,0),MATCH(COLUMNS($Q$1006:S1006),$Q$1006:$U$1006,0)), HYPERLINK("#",""), HYPERLINK(CONCATENATE("#Metadata!", ADDRESS(INDEX($L$2:$L$1001,MATCH(ROWS($J$2:J10),$J$2:$J$1001,0),0), INDEX($Q$1004:$U$1004,1,MATCH(COLUMNS($Q$1006:S1006),$Q$1006:$U$1006,0)))),"Fix")))</f>
        <v xml:space="preserve"> </v>
      </c>
      <c r="E10" s="3" t="str">
        <f ca="1">IF(OR(INDEX($K$2:$K$1001,MATCH(ROWS($J$2:J10),$J$2:$J$1001,0),1)&gt;=100000,INDEX($Q$1005:$U$1005,1,MATCH(COLUMNS($Q$1006:T1006),$Q$1006:$U$1006,0))&gt;=100000), " ",IF(INDEX($Q$2:$U$1001,MATCH(ROWS($J$2:J10),$J$2:$J$1001,0),MATCH(COLUMNS($Q$1006:T1006),$Q$1006:$U$1006,0)), HYPERLINK("#",""), HYPERLINK(CONCATENATE("#Metadata!", ADDRESS(INDEX($L$2:$L$1001,MATCH(ROWS($J$2:J10),$J$2:$J$1001,0),0), INDEX($Q$1004:$U$1004,1,MATCH(COLUMNS($Q$1006:T1006),$Q$1006:$U$1006,0)))),"Fix")))</f>
        <v xml:space="preserve"> </v>
      </c>
      <c r="F10" s="3" t="str">
        <f ca="1">IF(OR(INDEX($K$2:$K$1001,MATCH(ROWS($J$2:J10),$J$2:$J$1001,0),1)&gt;=100000,INDEX($Q$1005:$U$1005,1,MATCH(COLUMNS($Q$1006:U1006),$Q$1006:$U$1006,0))&gt;=100000), " ",IF(INDEX($Q$2:$U$1001,MATCH(ROWS($J$2:J10),$J$2:$J$1001,0),MATCH(COLUMNS($Q$1006:U1006),$Q$1006:$U$1006,0)), HYPERLINK("#",""), HYPERLINK(CONCATENATE("#Metadata!", ADDRESS(INDEX($L$2:$L$1001,MATCH(ROWS($J$2:J10),$J$2:$J$1001,0),0), INDEX($Q$1004:$U$1004,1,MATCH(COLUMNS($Q$1006:U1006),$Q$1006:$U$1006,0)))),"Fix")))</f>
        <v xml:space="preserve"> </v>
      </c>
      <c r="J10">
        <f ca="1"/>
        <v>9</v>
      </c>
      <c r="K10">
        <v>100010</v>
      </c>
      <c r="L10">
        <v>10</v>
      </c>
      <c r="M10" t="b">
        <f t="shared" si="0"/>
        <v>1</v>
      </c>
      <c r="N10" t="b">
        <f>COUNTBLANK(Metadata!B10:F10)=COLUMNS(Metadata!B10:F10)</f>
        <v>1</v>
      </c>
      <c r="O10" t="str">
        <v/>
      </c>
      <c r="Q10" t="b">
        <f ca="1"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R10" t="b">
        <f>IF(Metadata!C10="",FALSE,TRUE)</f>
        <v>0</v>
      </c>
      <c r="S10" t="b">
        <f>OR(AND(IF(Metadata!D10="",FALSE,TRUE),EXACT(Metadata!D10,"missing: not collected")),AND(IF(Metadata!D10="",FALSE,TRUE),OR(EXACT(Metadata!D10,"t"),EXACT(Metadata!D10,"f"))))</f>
        <v>0</v>
      </c>
      <c r="T10" t="b">
        <f>AND(IF(Metadata!E10="",FALSE,TRUE),OR(EXACT(Metadata!E10,"a"),EXACT(Metadata!E10,"b")))</f>
        <v>0</v>
      </c>
      <c r="U10" t="b">
        <f>OR(AND(IF(Metadata!F10="",FALSE,TRUE),OR(EXACT(Metadata!F10,"missing: not collected"),EXACT(Metadata!F10,"missing: not provided"))),AND(IF(Metadata!F10="",FALSE,TRUE),OR(EXACT(Metadata!F10,"lo"),EXACT(Metadata!F10,"med"),EXACT(Metadata!F10,"hi"))))</f>
        <v>0</v>
      </c>
    </row>
    <row r="11" spans="1:21" x14ac:dyDescent="0.2">
      <c r="A11" s="4" t="str">
        <f ca="1">IF(B11=" "," ",HYPERLINK(CONCATENATE("#metadata!",ADDRESS(INDEX($L$2:$L$1001,MATCH(ROWS($J$2:J11),$J$2:$J$1001,0),0),1)),INDEX($O$2:$O$1001,MATCH(ROWS($J$2:J11),$J$2:$J$1001,0),0)))</f>
        <v xml:space="preserve"> </v>
      </c>
      <c r="B11" s="3" t="str">
        <f ca="1">IF(OR(INDEX($K$2:$K$1001,MATCH(ROWS($J$2:J11),$J$2:$J$1001,0),1)&gt;=100000,INDEX($Q$1005:$U$1005,1,MATCH(COLUMNS($Q$1006:Q1006),$Q$1006:$U$1006,0))&gt;=100000), " ",IF(INDEX($Q$2:$U$1001,MATCH(ROWS($J$2:J11),$J$2:$J$1001,0),MATCH(COLUMNS($Q$1006:Q1006),$Q$1006:$U$1006,0)), HYPERLINK("#",""), HYPERLINK(CONCATENATE("#Metadata!", ADDRESS(INDEX($L$2:$L$1001,MATCH(ROWS($J$2:J11),$J$2:$J$1001,0),0), INDEX($Q$1004:$U$1004,1,MATCH(COLUMNS($Q$1006:Q1006),$Q$1006:$U$1006,0)))),"Fix")))</f>
        <v xml:space="preserve"> </v>
      </c>
      <c r="C11" s="3" t="str">
        <f ca="1">IF(OR(INDEX($K$2:$K$1001,MATCH(ROWS($J$2:J11),$J$2:$J$1001,0),1)&gt;=100000,INDEX($Q$1005:$U$1005,1,MATCH(COLUMNS($Q$1006:R1006),$Q$1006:$U$1006,0))&gt;=100000), " ",IF(INDEX($Q$2:$U$1001,MATCH(ROWS($J$2:J11),$J$2:$J$1001,0),MATCH(COLUMNS($Q$1006:R1006),$Q$1006:$U$1006,0)), HYPERLINK("#",""), HYPERLINK(CONCATENATE("#Metadata!", ADDRESS(INDEX($L$2:$L$1001,MATCH(ROWS($J$2:J11),$J$2:$J$1001,0),0), INDEX($Q$1004:$U$1004,1,MATCH(COLUMNS($Q$1006:R1006),$Q$1006:$U$1006,0)))),"Fix")))</f>
        <v xml:space="preserve"> </v>
      </c>
      <c r="D11" s="3" t="str">
        <f ca="1">IF(OR(INDEX($K$2:$K$1001,MATCH(ROWS($J$2:J11),$J$2:$J$1001,0),1)&gt;=100000,INDEX($Q$1005:$U$1005,1,MATCH(COLUMNS($Q$1006:S1006),$Q$1006:$U$1006,0))&gt;=100000), " ",IF(INDEX($Q$2:$U$1001,MATCH(ROWS($J$2:J11),$J$2:$J$1001,0),MATCH(COLUMNS($Q$1006:S1006),$Q$1006:$U$1006,0)), HYPERLINK("#",""), HYPERLINK(CONCATENATE("#Metadata!", ADDRESS(INDEX($L$2:$L$1001,MATCH(ROWS($J$2:J11),$J$2:$J$1001,0),0), INDEX($Q$1004:$U$1004,1,MATCH(COLUMNS($Q$1006:S1006),$Q$1006:$U$1006,0)))),"Fix")))</f>
        <v xml:space="preserve"> </v>
      </c>
      <c r="E11" s="3" t="str">
        <f ca="1">IF(OR(INDEX($K$2:$K$1001,MATCH(ROWS($J$2:J11),$J$2:$J$1001,0),1)&gt;=100000,INDEX($Q$1005:$U$1005,1,MATCH(COLUMNS($Q$1006:T1006),$Q$1006:$U$1006,0))&gt;=100000), " ",IF(INDEX($Q$2:$U$1001,MATCH(ROWS($J$2:J11),$J$2:$J$1001,0),MATCH(COLUMNS($Q$1006:T1006),$Q$1006:$U$1006,0)), HYPERLINK("#",""), HYPERLINK(CONCATENATE("#Metadata!", ADDRESS(INDEX($L$2:$L$1001,MATCH(ROWS($J$2:J11),$J$2:$J$1001,0),0), INDEX($Q$1004:$U$1004,1,MATCH(COLUMNS($Q$1006:T1006),$Q$1006:$U$1006,0)))),"Fix")))</f>
        <v xml:space="preserve"> </v>
      </c>
      <c r="F11" s="3" t="str">
        <f ca="1">IF(OR(INDEX($K$2:$K$1001,MATCH(ROWS($J$2:J11),$J$2:$J$1001,0),1)&gt;=100000,INDEX($Q$1005:$U$1005,1,MATCH(COLUMNS($Q$1006:U1006),$Q$1006:$U$1006,0))&gt;=100000), " ",IF(INDEX($Q$2:$U$1001,MATCH(ROWS($J$2:J11),$J$2:$J$1001,0),MATCH(COLUMNS($Q$1006:U1006),$Q$1006:$U$1006,0)), HYPERLINK("#",""), HYPERLINK(CONCATENATE("#Metadata!", ADDRESS(INDEX($L$2:$L$1001,MATCH(ROWS($J$2:J11),$J$2:$J$1001,0),0), INDEX($Q$1004:$U$1004,1,MATCH(COLUMNS($Q$1006:U1006),$Q$1006:$U$1006,0)))),"Fix")))</f>
        <v xml:space="preserve"> </v>
      </c>
      <c r="J11">
        <f ca="1"/>
        <v>10</v>
      </c>
      <c r="K11">
        <v>100011</v>
      </c>
      <c r="L11">
        <v>11</v>
      </c>
      <c r="M11" t="b">
        <f t="shared" si="0"/>
        <v>1</v>
      </c>
      <c r="N11" t="b">
        <f>COUNTBLANK(Metadata!B11:F11)=COLUMNS(Metadata!B11:F11)</f>
        <v>1</v>
      </c>
      <c r="O11" t="str">
        <v/>
      </c>
      <c r="Q11" t="b">
        <f ca="1"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R11" t="b">
        <f>IF(Metadata!C11="",FALSE,TRUE)</f>
        <v>0</v>
      </c>
      <c r="S11" t="b">
        <f>OR(AND(IF(Metadata!D11="",FALSE,TRUE),EXACT(Metadata!D11,"missing: not collected")),AND(IF(Metadata!D11="",FALSE,TRUE),OR(EXACT(Metadata!D11,"t"),EXACT(Metadata!D11,"f"))))</f>
        <v>0</v>
      </c>
      <c r="T11" t="b">
        <f>AND(IF(Metadata!E11="",FALSE,TRUE),OR(EXACT(Metadata!E11,"a"),EXACT(Metadata!E11,"b")))</f>
        <v>0</v>
      </c>
      <c r="U11" t="b">
        <f>OR(AND(IF(Metadata!F11="",FALSE,TRUE),OR(EXACT(Metadata!F11,"missing: not collected"),EXACT(Metadata!F11,"missing: not provided"))),AND(IF(Metadata!F11="",FALSE,TRUE),OR(EXACT(Metadata!F11,"lo"),EXACT(Metadata!F11,"med"),EXACT(Metadata!F11,"hi"))))</f>
        <v>0</v>
      </c>
    </row>
    <row r="12" spans="1:21" x14ac:dyDescent="0.2">
      <c r="A12" s="4" t="str">
        <f ca="1">IF(B12=" "," ",HYPERLINK(CONCATENATE("#metadata!",ADDRESS(INDEX($L$2:$L$1001,MATCH(ROWS($J$2:J12),$J$2:$J$1001,0),0),1)),INDEX($O$2:$O$1001,MATCH(ROWS($J$2:J12),$J$2:$J$1001,0),0)))</f>
        <v xml:space="preserve"> </v>
      </c>
      <c r="B12" s="3" t="str">
        <f ca="1">IF(OR(INDEX($K$2:$K$1001,MATCH(ROWS($J$2:J12),$J$2:$J$1001,0),1)&gt;=100000,INDEX($Q$1005:$U$1005,1,MATCH(COLUMNS($Q$1006:Q1006),$Q$1006:$U$1006,0))&gt;=100000), " ",IF(INDEX($Q$2:$U$1001,MATCH(ROWS($J$2:J12),$J$2:$J$1001,0),MATCH(COLUMNS($Q$1006:Q1006),$Q$1006:$U$1006,0)), HYPERLINK("#",""), HYPERLINK(CONCATENATE("#Metadata!", ADDRESS(INDEX($L$2:$L$1001,MATCH(ROWS($J$2:J12),$J$2:$J$1001,0),0), INDEX($Q$1004:$U$1004,1,MATCH(COLUMNS($Q$1006:Q1006),$Q$1006:$U$1006,0)))),"Fix")))</f>
        <v xml:space="preserve"> </v>
      </c>
      <c r="C12" s="3" t="str">
        <f ca="1">IF(OR(INDEX($K$2:$K$1001,MATCH(ROWS($J$2:J12),$J$2:$J$1001,0),1)&gt;=100000,INDEX($Q$1005:$U$1005,1,MATCH(COLUMNS($Q$1006:R1006),$Q$1006:$U$1006,0))&gt;=100000), " ",IF(INDEX($Q$2:$U$1001,MATCH(ROWS($J$2:J12),$J$2:$J$1001,0),MATCH(COLUMNS($Q$1006:R1006),$Q$1006:$U$1006,0)), HYPERLINK("#",""), HYPERLINK(CONCATENATE("#Metadata!", ADDRESS(INDEX($L$2:$L$1001,MATCH(ROWS($J$2:J12),$J$2:$J$1001,0),0), INDEX($Q$1004:$U$1004,1,MATCH(COLUMNS($Q$1006:R1006),$Q$1006:$U$1006,0)))),"Fix")))</f>
        <v xml:space="preserve"> </v>
      </c>
      <c r="D12" s="3" t="str">
        <f ca="1">IF(OR(INDEX($K$2:$K$1001,MATCH(ROWS($J$2:J12),$J$2:$J$1001,0),1)&gt;=100000,INDEX($Q$1005:$U$1005,1,MATCH(COLUMNS($Q$1006:S1006),$Q$1006:$U$1006,0))&gt;=100000), " ",IF(INDEX($Q$2:$U$1001,MATCH(ROWS($J$2:J12),$J$2:$J$1001,0),MATCH(COLUMNS($Q$1006:S1006),$Q$1006:$U$1006,0)), HYPERLINK("#",""), HYPERLINK(CONCATENATE("#Metadata!", ADDRESS(INDEX($L$2:$L$1001,MATCH(ROWS($J$2:J12),$J$2:$J$1001,0),0), INDEX($Q$1004:$U$1004,1,MATCH(COLUMNS($Q$1006:S1006),$Q$1006:$U$1006,0)))),"Fix")))</f>
        <v xml:space="preserve"> </v>
      </c>
      <c r="E12" s="3" t="str">
        <f ca="1">IF(OR(INDEX($K$2:$K$1001,MATCH(ROWS($J$2:J12),$J$2:$J$1001,0),1)&gt;=100000,INDEX($Q$1005:$U$1005,1,MATCH(COLUMNS($Q$1006:T1006),$Q$1006:$U$1006,0))&gt;=100000), " ",IF(INDEX($Q$2:$U$1001,MATCH(ROWS($J$2:J12),$J$2:$J$1001,0),MATCH(COLUMNS($Q$1006:T1006),$Q$1006:$U$1006,0)), HYPERLINK("#",""), HYPERLINK(CONCATENATE("#Metadata!", ADDRESS(INDEX($L$2:$L$1001,MATCH(ROWS($J$2:J12),$J$2:$J$1001,0),0), INDEX($Q$1004:$U$1004,1,MATCH(COLUMNS($Q$1006:T1006),$Q$1006:$U$1006,0)))),"Fix")))</f>
        <v xml:space="preserve"> </v>
      </c>
      <c r="F12" s="3" t="str">
        <f ca="1">IF(OR(INDEX($K$2:$K$1001,MATCH(ROWS($J$2:J12),$J$2:$J$1001,0),1)&gt;=100000,INDEX($Q$1005:$U$1005,1,MATCH(COLUMNS($Q$1006:U1006),$Q$1006:$U$1006,0))&gt;=100000), " ",IF(INDEX($Q$2:$U$1001,MATCH(ROWS($J$2:J12),$J$2:$J$1001,0),MATCH(COLUMNS($Q$1006:U1006),$Q$1006:$U$1006,0)), HYPERLINK("#",""), HYPERLINK(CONCATENATE("#Metadata!", ADDRESS(INDEX($L$2:$L$1001,MATCH(ROWS($J$2:J12),$J$2:$J$1001,0),0), INDEX($Q$1004:$U$1004,1,MATCH(COLUMNS($Q$1006:U1006),$Q$1006:$U$1006,0)))),"Fix")))</f>
        <v xml:space="preserve"> </v>
      </c>
      <c r="J12">
        <f ca="1"/>
        <v>11</v>
      </c>
      <c r="K12">
        <v>100012</v>
      </c>
      <c r="L12">
        <v>12</v>
      </c>
      <c r="M12" t="b">
        <f t="shared" si="0"/>
        <v>1</v>
      </c>
      <c r="N12" t="b">
        <f>COUNTBLANK(Metadata!B12:F12)=COLUMNS(Metadata!B12:F12)</f>
        <v>1</v>
      </c>
      <c r="O12" t="str">
        <v/>
      </c>
      <c r="Q12" t="b">
        <f ca="1"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R12" t="b">
        <f>IF(Metadata!C12="",FALSE,TRUE)</f>
        <v>0</v>
      </c>
      <c r="S12" t="b">
        <f>OR(AND(IF(Metadata!D12="",FALSE,TRUE),EXACT(Metadata!D12,"missing: not collected")),AND(IF(Metadata!D12="",FALSE,TRUE),OR(EXACT(Metadata!D12,"t"),EXACT(Metadata!D12,"f"))))</f>
        <v>0</v>
      </c>
      <c r="T12" t="b">
        <f>AND(IF(Metadata!E12="",FALSE,TRUE),OR(EXACT(Metadata!E12,"a"),EXACT(Metadata!E12,"b")))</f>
        <v>0</v>
      </c>
      <c r="U12" t="b">
        <f>OR(AND(IF(Metadata!F12="",FALSE,TRUE),OR(EXACT(Metadata!F12,"missing: not collected"),EXACT(Metadata!F12,"missing: not provided"))),AND(IF(Metadata!F12="",FALSE,TRUE),OR(EXACT(Metadata!F12,"lo"),EXACT(Metadata!F12,"med"),EXACT(Metadata!F12,"hi"))))</f>
        <v>0</v>
      </c>
    </row>
    <row r="13" spans="1:21" x14ac:dyDescent="0.2">
      <c r="A13" s="4" t="str">
        <f ca="1">IF(B13=" "," ",HYPERLINK(CONCATENATE("#metadata!",ADDRESS(INDEX($L$2:$L$1001,MATCH(ROWS($J$2:J13),$J$2:$J$1001,0),0),1)),INDEX($O$2:$O$1001,MATCH(ROWS($J$2:J13),$J$2:$J$1001,0),0)))</f>
        <v xml:space="preserve"> </v>
      </c>
      <c r="B13" s="3" t="str">
        <f ca="1">IF(OR(INDEX($K$2:$K$1001,MATCH(ROWS($J$2:J13),$J$2:$J$1001,0),1)&gt;=100000,INDEX($Q$1005:$U$1005,1,MATCH(COLUMNS($Q$1006:Q1006),$Q$1006:$U$1006,0))&gt;=100000), " ",IF(INDEX($Q$2:$U$1001,MATCH(ROWS($J$2:J13),$J$2:$J$1001,0),MATCH(COLUMNS($Q$1006:Q1006),$Q$1006:$U$1006,0)), HYPERLINK("#",""), HYPERLINK(CONCATENATE("#Metadata!", ADDRESS(INDEX($L$2:$L$1001,MATCH(ROWS($J$2:J13),$J$2:$J$1001,0),0), INDEX($Q$1004:$U$1004,1,MATCH(COLUMNS($Q$1006:Q1006),$Q$1006:$U$1006,0)))),"Fix")))</f>
        <v xml:space="preserve"> </v>
      </c>
      <c r="C13" s="3" t="str">
        <f ca="1">IF(OR(INDEX($K$2:$K$1001,MATCH(ROWS($J$2:J13),$J$2:$J$1001,0),1)&gt;=100000,INDEX($Q$1005:$U$1005,1,MATCH(COLUMNS($Q$1006:R1006),$Q$1006:$U$1006,0))&gt;=100000), " ",IF(INDEX($Q$2:$U$1001,MATCH(ROWS($J$2:J13),$J$2:$J$1001,0),MATCH(COLUMNS($Q$1006:R1006),$Q$1006:$U$1006,0)), HYPERLINK("#",""), HYPERLINK(CONCATENATE("#Metadata!", ADDRESS(INDEX($L$2:$L$1001,MATCH(ROWS($J$2:J13),$J$2:$J$1001,0),0), INDEX($Q$1004:$U$1004,1,MATCH(COLUMNS($Q$1006:R1006),$Q$1006:$U$1006,0)))),"Fix")))</f>
        <v xml:space="preserve"> </v>
      </c>
      <c r="D13" s="3" t="str">
        <f ca="1">IF(OR(INDEX($K$2:$K$1001,MATCH(ROWS($J$2:J13),$J$2:$J$1001,0),1)&gt;=100000,INDEX($Q$1005:$U$1005,1,MATCH(COLUMNS($Q$1006:S1006),$Q$1006:$U$1006,0))&gt;=100000), " ",IF(INDEX($Q$2:$U$1001,MATCH(ROWS($J$2:J13),$J$2:$J$1001,0),MATCH(COLUMNS($Q$1006:S1006),$Q$1006:$U$1006,0)), HYPERLINK("#",""), HYPERLINK(CONCATENATE("#Metadata!", ADDRESS(INDEX($L$2:$L$1001,MATCH(ROWS($J$2:J13),$J$2:$J$1001,0),0), INDEX($Q$1004:$U$1004,1,MATCH(COLUMNS($Q$1006:S1006),$Q$1006:$U$1006,0)))),"Fix")))</f>
        <v xml:space="preserve"> </v>
      </c>
      <c r="E13" s="3" t="str">
        <f ca="1">IF(OR(INDEX($K$2:$K$1001,MATCH(ROWS($J$2:J13),$J$2:$J$1001,0),1)&gt;=100000,INDEX($Q$1005:$U$1005,1,MATCH(COLUMNS($Q$1006:T1006),$Q$1006:$U$1006,0))&gt;=100000), " ",IF(INDEX($Q$2:$U$1001,MATCH(ROWS($J$2:J13),$J$2:$J$1001,0),MATCH(COLUMNS($Q$1006:T1006),$Q$1006:$U$1006,0)), HYPERLINK("#",""), HYPERLINK(CONCATENATE("#Metadata!", ADDRESS(INDEX($L$2:$L$1001,MATCH(ROWS($J$2:J13),$J$2:$J$1001,0),0), INDEX($Q$1004:$U$1004,1,MATCH(COLUMNS($Q$1006:T1006),$Q$1006:$U$1006,0)))),"Fix")))</f>
        <v xml:space="preserve"> </v>
      </c>
      <c r="F13" s="3" t="str">
        <f ca="1">IF(OR(INDEX($K$2:$K$1001,MATCH(ROWS($J$2:J13),$J$2:$J$1001,0),1)&gt;=100000,INDEX($Q$1005:$U$1005,1,MATCH(COLUMNS($Q$1006:U1006),$Q$1006:$U$1006,0))&gt;=100000), " ",IF(INDEX($Q$2:$U$1001,MATCH(ROWS($J$2:J13),$J$2:$J$1001,0),MATCH(COLUMNS($Q$1006:U1006),$Q$1006:$U$1006,0)), HYPERLINK("#",""), HYPERLINK(CONCATENATE("#Metadata!", ADDRESS(INDEX($L$2:$L$1001,MATCH(ROWS($J$2:J13),$J$2:$J$1001,0),0), INDEX($Q$1004:$U$1004,1,MATCH(COLUMNS($Q$1006:U1006),$Q$1006:$U$1006,0)))),"Fix")))</f>
        <v xml:space="preserve"> </v>
      </c>
      <c r="J13">
        <f ca="1"/>
        <v>12</v>
      </c>
      <c r="K13">
        <v>100013</v>
      </c>
      <c r="L13">
        <v>13</v>
      </c>
      <c r="M13" t="b">
        <f t="shared" si="0"/>
        <v>1</v>
      </c>
      <c r="N13" t="b">
        <f>COUNTBLANK(Metadata!B13:F13)=COLUMNS(Metadata!B13:F13)</f>
        <v>1</v>
      </c>
      <c r="O13" t="str">
        <v/>
      </c>
      <c r="Q13" t="b">
        <f ca="1"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R13" t="b">
        <f>IF(Metadata!C13="",FALSE,TRUE)</f>
        <v>0</v>
      </c>
      <c r="S13" t="b">
        <f>OR(AND(IF(Metadata!D13="",FALSE,TRUE),EXACT(Metadata!D13,"missing: not collected")),AND(IF(Metadata!D13="",FALSE,TRUE),OR(EXACT(Metadata!D13,"t"),EXACT(Metadata!D13,"f"))))</f>
        <v>0</v>
      </c>
      <c r="T13" t="b">
        <f>AND(IF(Metadata!E13="",FALSE,TRUE),OR(EXACT(Metadata!E13,"a"),EXACT(Metadata!E13,"b")))</f>
        <v>0</v>
      </c>
      <c r="U13" t="b">
        <f>OR(AND(IF(Metadata!F13="",FALSE,TRUE),OR(EXACT(Metadata!F13,"missing: not collected"),EXACT(Metadata!F13,"missing: not provided"))),AND(IF(Metadata!F13="",FALSE,TRUE),OR(EXACT(Metadata!F13,"lo"),EXACT(Metadata!F13,"med"),EXACT(Metadata!F13,"hi"))))</f>
        <v>0</v>
      </c>
    </row>
    <row r="14" spans="1:21" x14ac:dyDescent="0.2">
      <c r="A14" s="4" t="str">
        <f ca="1">IF(B14=" "," ",HYPERLINK(CONCATENATE("#metadata!",ADDRESS(INDEX($L$2:$L$1001,MATCH(ROWS($J$2:J14),$J$2:$J$1001,0),0),1)),INDEX($O$2:$O$1001,MATCH(ROWS($J$2:J14),$J$2:$J$1001,0),0)))</f>
        <v xml:space="preserve"> </v>
      </c>
      <c r="B14" s="3" t="str">
        <f ca="1">IF(OR(INDEX($K$2:$K$1001,MATCH(ROWS($J$2:J14),$J$2:$J$1001,0),1)&gt;=100000,INDEX($Q$1005:$U$1005,1,MATCH(COLUMNS($Q$1006:Q1006),$Q$1006:$U$1006,0))&gt;=100000), " ",IF(INDEX($Q$2:$U$1001,MATCH(ROWS($J$2:J14),$J$2:$J$1001,0),MATCH(COLUMNS($Q$1006:Q1006),$Q$1006:$U$1006,0)), HYPERLINK("#",""), HYPERLINK(CONCATENATE("#Metadata!", ADDRESS(INDEX($L$2:$L$1001,MATCH(ROWS($J$2:J14),$J$2:$J$1001,0),0), INDEX($Q$1004:$U$1004,1,MATCH(COLUMNS($Q$1006:Q1006),$Q$1006:$U$1006,0)))),"Fix")))</f>
        <v xml:space="preserve"> </v>
      </c>
      <c r="C14" s="3" t="str">
        <f ca="1">IF(OR(INDEX($K$2:$K$1001,MATCH(ROWS($J$2:J14),$J$2:$J$1001,0),1)&gt;=100000,INDEX($Q$1005:$U$1005,1,MATCH(COLUMNS($Q$1006:R1006),$Q$1006:$U$1006,0))&gt;=100000), " ",IF(INDEX($Q$2:$U$1001,MATCH(ROWS($J$2:J14),$J$2:$J$1001,0),MATCH(COLUMNS($Q$1006:R1006),$Q$1006:$U$1006,0)), HYPERLINK("#",""), HYPERLINK(CONCATENATE("#Metadata!", ADDRESS(INDEX($L$2:$L$1001,MATCH(ROWS($J$2:J14),$J$2:$J$1001,0),0), INDEX($Q$1004:$U$1004,1,MATCH(COLUMNS($Q$1006:R1006),$Q$1006:$U$1006,0)))),"Fix")))</f>
        <v xml:space="preserve"> </v>
      </c>
      <c r="D14" s="3" t="str">
        <f ca="1">IF(OR(INDEX($K$2:$K$1001,MATCH(ROWS($J$2:J14),$J$2:$J$1001,0),1)&gt;=100000,INDEX($Q$1005:$U$1005,1,MATCH(COLUMNS($Q$1006:S1006),$Q$1006:$U$1006,0))&gt;=100000), " ",IF(INDEX($Q$2:$U$1001,MATCH(ROWS($J$2:J14),$J$2:$J$1001,0),MATCH(COLUMNS($Q$1006:S1006),$Q$1006:$U$1006,0)), HYPERLINK("#",""), HYPERLINK(CONCATENATE("#Metadata!", ADDRESS(INDEX($L$2:$L$1001,MATCH(ROWS($J$2:J14),$J$2:$J$1001,0),0), INDEX($Q$1004:$U$1004,1,MATCH(COLUMNS($Q$1006:S1006),$Q$1006:$U$1006,0)))),"Fix")))</f>
        <v xml:space="preserve"> </v>
      </c>
      <c r="E14" s="3" t="str">
        <f ca="1">IF(OR(INDEX($K$2:$K$1001,MATCH(ROWS($J$2:J14),$J$2:$J$1001,0),1)&gt;=100000,INDEX($Q$1005:$U$1005,1,MATCH(COLUMNS($Q$1006:T1006),$Q$1006:$U$1006,0))&gt;=100000), " ",IF(INDEX($Q$2:$U$1001,MATCH(ROWS($J$2:J14),$J$2:$J$1001,0),MATCH(COLUMNS($Q$1006:T1006),$Q$1006:$U$1006,0)), HYPERLINK("#",""), HYPERLINK(CONCATENATE("#Metadata!", ADDRESS(INDEX($L$2:$L$1001,MATCH(ROWS($J$2:J14),$J$2:$J$1001,0),0), INDEX($Q$1004:$U$1004,1,MATCH(COLUMNS($Q$1006:T1006),$Q$1006:$U$1006,0)))),"Fix")))</f>
        <v xml:space="preserve"> </v>
      </c>
      <c r="F14" s="3" t="str">
        <f ca="1">IF(OR(INDEX($K$2:$K$1001,MATCH(ROWS($J$2:J14),$J$2:$J$1001,0),1)&gt;=100000,INDEX($Q$1005:$U$1005,1,MATCH(COLUMNS($Q$1006:U1006),$Q$1006:$U$1006,0))&gt;=100000), " ",IF(INDEX($Q$2:$U$1001,MATCH(ROWS($J$2:J14),$J$2:$J$1001,0),MATCH(COLUMNS($Q$1006:U1006),$Q$1006:$U$1006,0)), HYPERLINK("#",""), HYPERLINK(CONCATENATE("#Metadata!", ADDRESS(INDEX($L$2:$L$1001,MATCH(ROWS($J$2:J14),$J$2:$J$1001,0),0), INDEX($Q$1004:$U$1004,1,MATCH(COLUMNS($Q$1006:U1006),$Q$1006:$U$1006,0)))),"Fix")))</f>
        <v xml:space="preserve"> </v>
      </c>
      <c r="J14">
        <f ca="1"/>
        <v>13</v>
      </c>
      <c r="K14">
        <v>100014</v>
      </c>
      <c r="L14">
        <v>14</v>
      </c>
      <c r="M14" t="b">
        <f t="shared" si="0"/>
        <v>1</v>
      </c>
      <c r="N14" t="b">
        <f>COUNTBLANK(Metadata!B14:F14)=COLUMNS(Metadata!B14:F14)</f>
        <v>1</v>
      </c>
      <c r="O14" t="str">
        <v/>
      </c>
      <c r="Q14" t="b">
        <f ca="1"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R14" t="b">
        <f>IF(Metadata!C14="",FALSE,TRUE)</f>
        <v>0</v>
      </c>
      <c r="S14" t="b">
        <f>OR(AND(IF(Metadata!D14="",FALSE,TRUE),EXACT(Metadata!D14,"missing: not collected")),AND(IF(Metadata!D14="",FALSE,TRUE),OR(EXACT(Metadata!D14,"t"),EXACT(Metadata!D14,"f"))))</f>
        <v>0</v>
      </c>
      <c r="T14" t="b">
        <f>AND(IF(Metadata!E14="",FALSE,TRUE),OR(EXACT(Metadata!E14,"a"),EXACT(Metadata!E14,"b")))</f>
        <v>0</v>
      </c>
      <c r="U14" t="b">
        <f>OR(AND(IF(Metadata!F14="",FALSE,TRUE),OR(EXACT(Metadata!F14,"missing: not collected"),EXACT(Metadata!F14,"missing: not provided"))),AND(IF(Metadata!F14="",FALSE,TRUE),OR(EXACT(Metadata!F14,"lo"),EXACT(Metadata!F14,"med"),EXACT(Metadata!F14,"hi"))))</f>
        <v>0</v>
      </c>
    </row>
    <row r="15" spans="1:21" x14ac:dyDescent="0.2">
      <c r="A15" s="4" t="str">
        <f ca="1">IF(B15=" "," ",HYPERLINK(CONCATENATE("#metadata!",ADDRESS(INDEX($L$2:$L$1001,MATCH(ROWS($J$2:J15),$J$2:$J$1001,0),0),1)),INDEX($O$2:$O$1001,MATCH(ROWS($J$2:J15),$J$2:$J$1001,0),0)))</f>
        <v xml:space="preserve"> </v>
      </c>
      <c r="B15" s="3" t="str">
        <f ca="1">IF(OR(INDEX($K$2:$K$1001,MATCH(ROWS($J$2:J15),$J$2:$J$1001,0),1)&gt;=100000,INDEX($Q$1005:$U$1005,1,MATCH(COLUMNS($Q$1006:Q1006),$Q$1006:$U$1006,0))&gt;=100000), " ",IF(INDEX($Q$2:$U$1001,MATCH(ROWS($J$2:J15),$J$2:$J$1001,0),MATCH(COLUMNS($Q$1006:Q1006),$Q$1006:$U$1006,0)), HYPERLINK("#",""), HYPERLINK(CONCATENATE("#Metadata!", ADDRESS(INDEX($L$2:$L$1001,MATCH(ROWS($J$2:J15),$J$2:$J$1001,0),0), INDEX($Q$1004:$U$1004,1,MATCH(COLUMNS($Q$1006:Q1006),$Q$1006:$U$1006,0)))),"Fix")))</f>
        <v xml:space="preserve"> </v>
      </c>
      <c r="C15" s="3" t="str">
        <f ca="1">IF(OR(INDEX($K$2:$K$1001,MATCH(ROWS($J$2:J15),$J$2:$J$1001,0),1)&gt;=100000,INDEX($Q$1005:$U$1005,1,MATCH(COLUMNS($Q$1006:R1006),$Q$1006:$U$1006,0))&gt;=100000), " ",IF(INDEX($Q$2:$U$1001,MATCH(ROWS($J$2:J15),$J$2:$J$1001,0),MATCH(COLUMNS($Q$1006:R1006),$Q$1006:$U$1006,0)), HYPERLINK("#",""), HYPERLINK(CONCATENATE("#Metadata!", ADDRESS(INDEX($L$2:$L$1001,MATCH(ROWS($J$2:J15),$J$2:$J$1001,0),0), INDEX($Q$1004:$U$1004,1,MATCH(COLUMNS($Q$1006:R1006),$Q$1006:$U$1006,0)))),"Fix")))</f>
        <v xml:space="preserve"> </v>
      </c>
      <c r="D15" s="3" t="str">
        <f ca="1">IF(OR(INDEX($K$2:$K$1001,MATCH(ROWS($J$2:J15),$J$2:$J$1001,0),1)&gt;=100000,INDEX($Q$1005:$U$1005,1,MATCH(COLUMNS($Q$1006:S1006),$Q$1006:$U$1006,0))&gt;=100000), " ",IF(INDEX($Q$2:$U$1001,MATCH(ROWS($J$2:J15),$J$2:$J$1001,0),MATCH(COLUMNS($Q$1006:S1006),$Q$1006:$U$1006,0)), HYPERLINK("#",""), HYPERLINK(CONCATENATE("#Metadata!", ADDRESS(INDEX($L$2:$L$1001,MATCH(ROWS($J$2:J15),$J$2:$J$1001,0),0), INDEX($Q$1004:$U$1004,1,MATCH(COLUMNS($Q$1006:S1006),$Q$1006:$U$1006,0)))),"Fix")))</f>
        <v xml:space="preserve"> </v>
      </c>
      <c r="E15" s="3" t="str">
        <f ca="1">IF(OR(INDEX($K$2:$K$1001,MATCH(ROWS($J$2:J15),$J$2:$J$1001,0),1)&gt;=100000,INDEX($Q$1005:$U$1005,1,MATCH(COLUMNS($Q$1006:T1006),$Q$1006:$U$1006,0))&gt;=100000), " ",IF(INDEX($Q$2:$U$1001,MATCH(ROWS($J$2:J15),$J$2:$J$1001,0),MATCH(COLUMNS($Q$1006:T1006),$Q$1006:$U$1006,0)), HYPERLINK("#",""), HYPERLINK(CONCATENATE("#Metadata!", ADDRESS(INDEX($L$2:$L$1001,MATCH(ROWS($J$2:J15),$J$2:$J$1001,0),0), INDEX($Q$1004:$U$1004,1,MATCH(COLUMNS($Q$1006:T1006),$Q$1006:$U$1006,0)))),"Fix")))</f>
        <v xml:space="preserve"> </v>
      </c>
      <c r="F15" s="3" t="str">
        <f ca="1">IF(OR(INDEX($K$2:$K$1001,MATCH(ROWS($J$2:J15),$J$2:$J$1001,0),1)&gt;=100000,INDEX($Q$1005:$U$1005,1,MATCH(COLUMNS($Q$1006:U1006),$Q$1006:$U$1006,0))&gt;=100000), " ",IF(INDEX($Q$2:$U$1001,MATCH(ROWS($J$2:J15),$J$2:$J$1001,0),MATCH(COLUMNS($Q$1006:U1006),$Q$1006:$U$1006,0)), HYPERLINK("#",""), HYPERLINK(CONCATENATE("#Metadata!", ADDRESS(INDEX($L$2:$L$1001,MATCH(ROWS($J$2:J15),$J$2:$J$1001,0),0), INDEX($Q$1004:$U$1004,1,MATCH(COLUMNS($Q$1006:U1006),$Q$1006:$U$1006,0)))),"Fix")))</f>
        <v xml:space="preserve"> </v>
      </c>
      <c r="J15">
        <f ca="1"/>
        <v>14</v>
      </c>
      <c r="K15">
        <v>100015</v>
      </c>
      <c r="L15">
        <v>15</v>
      </c>
      <c r="M15" t="b">
        <f t="shared" si="0"/>
        <v>1</v>
      </c>
      <c r="N15" t="b">
        <f>COUNTBLANK(Metadata!B15:F15)=COLUMNS(Metadata!B15:F15)</f>
        <v>1</v>
      </c>
      <c r="O15" t="str">
        <v/>
      </c>
      <c r="Q15" t="b">
        <f ca="1"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R15" t="b">
        <f>IF(Metadata!C15="",FALSE,TRUE)</f>
        <v>0</v>
      </c>
      <c r="S15" t="b">
        <f>OR(AND(IF(Metadata!D15="",FALSE,TRUE),EXACT(Metadata!D15,"missing: not collected")),AND(IF(Metadata!D15="",FALSE,TRUE),OR(EXACT(Metadata!D15,"t"),EXACT(Metadata!D15,"f"))))</f>
        <v>0</v>
      </c>
      <c r="T15" t="b">
        <f>AND(IF(Metadata!E15="",FALSE,TRUE),OR(EXACT(Metadata!E15,"a"),EXACT(Metadata!E15,"b")))</f>
        <v>0</v>
      </c>
      <c r="U15" t="b">
        <f>OR(AND(IF(Metadata!F15="",FALSE,TRUE),OR(EXACT(Metadata!F15,"missing: not collected"),EXACT(Metadata!F15,"missing: not provided"))),AND(IF(Metadata!F15="",FALSE,TRUE),OR(EXACT(Metadata!F15,"lo"),EXACT(Metadata!F15,"med"),EXACT(Metadata!F15,"hi"))))</f>
        <v>0</v>
      </c>
    </row>
    <row r="16" spans="1:21" x14ac:dyDescent="0.2">
      <c r="A16" s="4" t="str">
        <f ca="1">IF(B16=" "," ",HYPERLINK(CONCATENATE("#metadata!",ADDRESS(INDEX($L$2:$L$1001,MATCH(ROWS($J$2:J16),$J$2:$J$1001,0),0),1)),INDEX($O$2:$O$1001,MATCH(ROWS($J$2:J16),$J$2:$J$1001,0),0)))</f>
        <v xml:space="preserve"> </v>
      </c>
      <c r="B16" s="3" t="str">
        <f ca="1">IF(OR(INDEX($K$2:$K$1001,MATCH(ROWS($J$2:J16),$J$2:$J$1001,0),1)&gt;=100000,INDEX($Q$1005:$U$1005,1,MATCH(COLUMNS($Q$1006:Q1006),$Q$1006:$U$1006,0))&gt;=100000), " ",IF(INDEX($Q$2:$U$1001,MATCH(ROWS($J$2:J16),$J$2:$J$1001,0),MATCH(COLUMNS($Q$1006:Q1006),$Q$1006:$U$1006,0)), HYPERLINK("#",""), HYPERLINK(CONCATENATE("#Metadata!", ADDRESS(INDEX($L$2:$L$1001,MATCH(ROWS($J$2:J16),$J$2:$J$1001,0),0), INDEX($Q$1004:$U$1004,1,MATCH(COLUMNS($Q$1006:Q1006),$Q$1006:$U$1006,0)))),"Fix")))</f>
        <v xml:space="preserve"> </v>
      </c>
      <c r="C16" s="3" t="str">
        <f ca="1">IF(OR(INDEX($K$2:$K$1001,MATCH(ROWS($J$2:J16),$J$2:$J$1001,0),1)&gt;=100000,INDEX($Q$1005:$U$1005,1,MATCH(COLUMNS($Q$1006:R1006),$Q$1006:$U$1006,0))&gt;=100000), " ",IF(INDEX($Q$2:$U$1001,MATCH(ROWS($J$2:J16),$J$2:$J$1001,0),MATCH(COLUMNS($Q$1006:R1006),$Q$1006:$U$1006,0)), HYPERLINK("#",""), HYPERLINK(CONCATENATE("#Metadata!", ADDRESS(INDEX($L$2:$L$1001,MATCH(ROWS($J$2:J16),$J$2:$J$1001,0),0), INDEX($Q$1004:$U$1004,1,MATCH(COLUMNS($Q$1006:R1006),$Q$1006:$U$1006,0)))),"Fix")))</f>
        <v xml:space="preserve"> </v>
      </c>
      <c r="D16" s="3" t="str">
        <f ca="1">IF(OR(INDEX($K$2:$K$1001,MATCH(ROWS($J$2:J16),$J$2:$J$1001,0),1)&gt;=100000,INDEX($Q$1005:$U$1005,1,MATCH(COLUMNS($Q$1006:S1006),$Q$1006:$U$1006,0))&gt;=100000), " ",IF(INDEX($Q$2:$U$1001,MATCH(ROWS($J$2:J16),$J$2:$J$1001,0),MATCH(COLUMNS($Q$1006:S1006),$Q$1006:$U$1006,0)), HYPERLINK("#",""), HYPERLINK(CONCATENATE("#Metadata!", ADDRESS(INDEX($L$2:$L$1001,MATCH(ROWS($J$2:J16),$J$2:$J$1001,0),0), INDEX($Q$1004:$U$1004,1,MATCH(COLUMNS($Q$1006:S1006),$Q$1006:$U$1006,0)))),"Fix")))</f>
        <v xml:space="preserve"> </v>
      </c>
      <c r="E16" s="3" t="str">
        <f ca="1">IF(OR(INDEX($K$2:$K$1001,MATCH(ROWS($J$2:J16),$J$2:$J$1001,0),1)&gt;=100000,INDEX($Q$1005:$U$1005,1,MATCH(COLUMNS($Q$1006:T1006),$Q$1006:$U$1006,0))&gt;=100000), " ",IF(INDEX($Q$2:$U$1001,MATCH(ROWS($J$2:J16),$J$2:$J$1001,0),MATCH(COLUMNS($Q$1006:T1006),$Q$1006:$U$1006,0)), HYPERLINK("#",""), HYPERLINK(CONCATENATE("#Metadata!", ADDRESS(INDEX($L$2:$L$1001,MATCH(ROWS($J$2:J16),$J$2:$J$1001,0),0), INDEX($Q$1004:$U$1004,1,MATCH(COLUMNS($Q$1006:T1006),$Q$1006:$U$1006,0)))),"Fix")))</f>
        <v xml:space="preserve"> </v>
      </c>
      <c r="F16" s="3" t="str">
        <f ca="1">IF(OR(INDEX($K$2:$K$1001,MATCH(ROWS($J$2:J16),$J$2:$J$1001,0),1)&gt;=100000,INDEX($Q$1005:$U$1005,1,MATCH(COLUMNS($Q$1006:U1006),$Q$1006:$U$1006,0))&gt;=100000), " ",IF(INDEX($Q$2:$U$1001,MATCH(ROWS($J$2:J16),$J$2:$J$1001,0),MATCH(COLUMNS($Q$1006:U1006),$Q$1006:$U$1006,0)), HYPERLINK("#",""), HYPERLINK(CONCATENATE("#Metadata!", ADDRESS(INDEX($L$2:$L$1001,MATCH(ROWS($J$2:J16),$J$2:$J$1001,0),0), INDEX($Q$1004:$U$1004,1,MATCH(COLUMNS($Q$1006:U1006),$Q$1006:$U$1006,0)))),"Fix")))</f>
        <v xml:space="preserve"> </v>
      </c>
      <c r="J16">
        <f ca="1"/>
        <v>15</v>
      </c>
      <c r="K16">
        <v>100016</v>
      </c>
      <c r="L16">
        <v>16</v>
      </c>
      <c r="M16" t="b">
        <f t="shared" si="0"/>
        <v>1</v>
      </c>
      <c r="N16" t="b">
        <f>COUNTBLANK(Metadata!B16:F16)=COLUMNS(Metadata!B16:F16)</f>
        <v>1</v>
      </c>
      <c r="O16" t="str">
        <v/>
      </c>
      <c r="Q16" t="b">
        <f ca="1"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R16" t="b">
        <f>IF(Metadata!C16="",FALSE,TRUE)</f>
        <v>0</v>
      </c>
      <c r="S16" t="b">
        <f>OR(AND(IF(Metadata!D16="",FALSE,TRUE),EXACT(Metadata!D16,"missing: not collected")),AND(IF(Metadata!D16="",FALSE,TRUE),OR(EXACT(Metadata!D16,"t"),EXACT(Metadata!D16,"f"))))</f>
        <v>0</v>
      </c>
      <c r="T16" t="b">
        <f>AND(IF(Metadata!E16="",FALSE,TRUE),OR(EXACT(Metadata!E16,"a"),EXACT(Metadata!E16,"b")))</f>
        <v>0</v>
      </c>
      <c r="U16" t="b">
        <f>OR(AND(IF(Metadata!F16="",FALSE,TRUE),OR(EXACT(Metadata!F16,"missing: not collected"),EXACT(Metadata!F16,"missing: not provided"))),AND(IF(Metadata!F16="",FALSE,TRUE),OR(EXACT(Metadata!F16,"lo"),EXACT(Metadata!F16,"med"),EXACT(Metadata!F16,"hi"))))</f>
        <v>0</v>
      </c>
    </row>
    <row r="17" spans="1:21" x14ac:dyDescent="0.2">
      <c r="A17" s="4" t="str">
        <f ca="1">IF(B17=" "," ",HYPERLINK(CONCATENATE("#metadata!",ADDRESS(INDEX($L$2:$L$1001,MATCH(ROWS($J$2:J17),$J$2:$J$1001,0),0),1)),INDEX($O$2:$O$1001,MATCH(ROWS($J$2:J17),$J$2:$J$1001,0),0)))</f>
        <v xml:space="preserve"> </v>
      </c>
      <c r="B17" s="3" t="str">
        <f ca="1">IF(OR(INDEX($K$2:$K$1001,MATCH(ROWS($J$2:J17),$J$2:$J$1001,0),1)&gt;=100000,INDEX($Q$1005:$U$1005,1,MATCH(COLUMNS($Q$1006:Q1006),$Q$1006:$U$1006,0))&gt;=100000), " ",IF(INDEX($Q$2:$U$1001,MATCH(ROWS($J$2:J17),$J$2:$J$1001,0),MATCH(COLUMNS($Q$1006:Q1006),$Q$1006:$U$1006,0)), HYPERLINK("#",""), HYPERLINK(CONCATENATE("#Metadata!", ADDRESS(INDEX($L$2:$L$1001,MATCH(ROWS($J$2:J17),$J$2:$J$1001,0),0), INDEX($Q$1004:$U$1004,1,MATCH(COLUMNS($Q$1006:Q1006),$Q$1006:$U$1006,0)))),"Fix")))</f>
        <v xml:space="preserve"> </v>
      </c>
      <c r="C17" s="3" t="str">
        <f ca="1">IF(OR(INDEX($K$2:$K$1001,MATCH(ROWS($J$2:J17),$J$2:$J$1001,0),1)&gt;=100000,INDEX($Q$1005:$U$1005,1,MATCH(COLUMNS($Q$1006:R1006),$Q$1006:$U$1006,0))&gt;=100000), " ",IF(INDEX($Q$2:$U$1001,MATCH(ROWS($J$2:J17),$J$2:$J$1001,0),MATCH(COLUMNS($Q$1006:R1006),$Q$1006:$U$1006,0)), HYPERLINK("#",""), HYPERLINK(CONCATENATE("#Metadata!", ADDRESS(INDEX($L$2:$L$1001,MATCH(ROWS($J$2:J17),$J$2:$J$1001,0),0), INDEX($Q$1004:$U$1004,1,MATCH(COLUMNS($Q$1006:R1006),$Q$1006:$U$1006,0)))),"Fix")))</f>
        <v xml:space="preserve"> </v>
      </c>
      <c r="D17" s="3" t="str">
        <f ca="1">IF(OR(INDEX($K$2:$K$1001,MATCH(ROWS($J$2:J17),$J$2:$J$1001,0),1)&gt;=100000,INDEX($Q$1005:$U$1005,1,MATCH(COLUMNS($Q$1006:S1006),$Q$1006:$U$1006,0))&gt;=100000), " ",IF(INDEX($Q$2:$U$1001,MATCH(ROWS($J$2:J17),$J$2:$J$1001,0),MATCH(COLUMNS($Q$1006:S1006),$Q$1006:$U$1006,0)), HYPERLINK("#",""), HYPERLINK(CONCATENATE("#Metadata!", ADDRESS(INDEX($L$2:$L$1001,MATCH(ROWS($J$2:J17),$J$2:$J$1001,0),0), INDEX($Q$1004:$U$1004,1,MATCH(COLUMNS($Q$1006:S1006),$Q$1006:$U$1006,0)))),"Fix")))</f>
        <v xml:space="preserve"> </v>
      </c>
      <c r="E17" s="3" t="str">
        <f ca="1">IF(OR(INDEX($K$2:$K$1001,MATCH(ROWS($J$2:J17),$J$2:$J$1001,0),1)&gt;=100000,INDEX($Q$1005:$U$1005,1,MATCH(COLUMNS($Q$1006:T1006),$Q$1006:$U$1006,0))&gt;=100000), " ",IF(INDEX($Q$2:$U$1001,MATCH(ROWS($J$2:J17),$J$2:$J$1001,0),MATCH(COLUMNS($Q$1006:T1006),$Q$1006:$U$1006,0)), HYPERLINK("#",""), HYPERLINK(CONCATENATE("#Metadata!", ADDRESS(INDEX($L$2:$L$1001,MATCH(ROWS($J$2:J17),$J$2:$J$1001,0),0), INDEX($Q$1004:$U$1004,1,MATCH(COLUMNS($Q$1006:T1006),$Q$1006:$U$1006,0)))),"Fix")))</f>
        <v xml:space="preserve"> </v>
      </c>
      <c r="F17" s="3" t="str">
        <f ca="1">IF(OR(INDEX($K$2:$K$1001,MATCH(ROWS($J$2:J17),$J$2:$J$1001,0),1)&gt;=100000,INDEX($Q$1005:$U$1005,1,MATCH(COLUMNS($Q$1006:U1006),$Q$1006:$U$1006,0))&gt;=100000), " ",IF(INDEX($Q$2:$U$1001,MATCH(ROWS($J$2:J17),$J$2:$J$1001,0),MATCH(COLUMNS($Q$1006:U1006),$Q$1006:$U$1006,0)), HYPERLINK("#",""), HYPERLINK(CONCATENATE("#Metadata!", ADDRESS(INDEX($L$2:$L$1001,MATCH(ROWS($J$2:J17),$J$2:$J$1001,0),0), INDEX($Q$1004:$U$1004,1,MATCH(COLUMNS($Q$1006:U1006),$Q$1006:$U$1006,0)))),"Fix")))</f>
        <v xml:space="preserve"> </v>
      </c>
      <c r="J17">
        <f ca="1"/>
        <v>16</v>
      </c>
      <c r="K17">
        <v>100017</v>
      </c>
      <c r="L17">
        <v>17</v>
      </c>
      <c r="M17" t="b">
        <f t="shared" si="0"/>
        <v>1</v>
      </c>
      <c r="N17" t="b">
        <f>COUNTBLANK(Metadata!B17:F17)=COLUMNS(Metadata!B17:F17)</f>
        <v>1</v>
      </c>
      <c r="O17" t="str">
        <v/>
      </c>
      <c r="Q17" t="b">
        <f ca="1"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R17" t="b">
        <f>IF(Metadata!C17="",FALSE,TRUE)</f>
        <v>0</v>
      </c>
      <c r="S17" t="b">
        <f>OR(AND(IF(Metadata!D17="",FALSE,TRUE),EXACT(Metadata!D17,"missing: not collected")),AND(IF(Metadata!D17="",FALSE,TRUE),OR(EXACT(Metadata!D17,"t"),EXACT(Metadata!D17,"f"))))</f>
        <v>0</v>
      </c>
      <c r="T17" t="b">
        <f>AND(IF(Metadata!E17="",FALSE,TRUE),OR(EXACT(Metadata!E17,"a"),EXACT(Metadata!E17,"b")))</f>
        <v>0</v>
      </c>
      <c r="U17" t="b">
        <f>OR(AND(IF(Metadata!F17="",FALSE,TRUE),OR(EXACT(Metadata!F17,"missing: not collected"),EXACT(Metadata!F17,"missing: not provided"))),AND(IF(Metadata!F17="",FALSE,TRUE),OR(EXACT(Metadata!F17,"lo"),EXACT(Metadata!F17,"med"),EXACT(Metadata!F17,"hi"))))</f>
        <v>0</v>
      </c>
    </row>
    <row r="18" spans="1:21" x14ac:dyDescent="0.2">
      <c r="A18" s="4" t="str">
        <f ca="1">IF(B18=" "," ",HYPERLINK(CONCATENATE("#metadata!",ADDRESS(INDEX($L$2:$L$1001,MATCH(ROWS($J$2:J18),$J$2:$J$1001,0),0),1)),INDEX($O$2:$O$1001,MATCH(ROWS($J$2:J18),$J$2:$J$1001,0),0)))</f>
        <v xml:space="preserve"> </v>
      </c>
      <c r="B18" s="3" t="str">
        <f ca="1">IF(OR(INDEX($K$2:$K$1001,MATCH(ROWS($J$2:J18),$J$2:$J$1001,0),1)&gt;=100000,INDEX($Q$1005:$U$1005,1,MATCH(COLUMNS($Q$1006:Q1006),$Q$1006:$U$1006,0))&gt;=100000), " ",IF(INDEX($Q$2:$U$1001,MATCH(ROWS($J$2:J18),$J$2:$J$1001,0),MATCH(COLUMNS($Q$1006:Q1006),$Q$1006:$U$1006,0)), HYPERLINK("#",""), HYPERLINK(CONCATENATE("#Metadata!", ADDRESS(INDEX($L$2:$L$1001,MATCH(ROWS($J$2:J18),$J$2:$J$1001,0),0), INDEX($Q$1004:$U$1004,1,MATCH(COLUMNS($Q$1006:Q1006),$Q$1006:$U$1006,0)))),"Fix")))</f>
        <v xml:space="preserve"> </v>
      </c>
      <c r="C18" s="3" t="str">
        <f ca="1">IF(OR(INDEX($K$2:$K$1001,MATCH(ROWS($J$2:J18),$J$2:$J$1001,0),1)&gt;=100000,INDEX($Q$1005:$U$1005,1,MATCH(COLUMNS($Q$1006:R1006),$Q$1006:$U$1006,0))&gt;=100000), " ",IF(INDEX($Q$2:$U$1001,MATCH(ROWS($J$2:J18),$J$2:$J$1001,0),MATCH(COLUMNS($Q$1006:R1006),$Q$1006:$U$1006,0)), HYPERLINK("#",""), HYPERLINK(CONCATENATE("#Metadata!", ADDRESS(INDEX($L$2:$L$1001,MATCH(ROWS($J$2:J18),$J$2:$J$1001,0),0), INDEX($Q$1004:$U$1004,1,MATCH(COLUMNS($Q$1006:R1006),$Q$1006:$U$1006,0)))),"Fix")))</f>
        <v xml:space="preserve"> </v>
      </c>
      <c r="D18" s="3" t="str">
        <f ca="1">IF(OR(INDEX($K$2:$K$1001,MATCH(ROWS($J$2:J18),$J$2:$J$1001,0),1)&gt;=100000,INDEX($Q$1005:$U$1005,1,MATCH(COLUMNS($Q$1006:S1006),$Q$1006:$U$1006,0))&gt;=100000), " ",IF(INDEX($Q$2:$U$1001,MATCH(ROWS($J$2:J18),$J$2:$J$1001,0),MATCH(COLUMNS($Q$1006:S1006),$Q$1006:$U$1006,0)), HYPERLINK("#",""), HYPERLINK(CONCATENATE("#Metadata!", ADDRESS(INDEX($L$2:$L$1001,MATCH(ROWS($J$2:J18),$J$2:$J$1001,0),0), INDEX($Q$1004:$U$1004,1,MATCH(COLUMNS($Q$1006:S1006),$Q$1006:$U$1006,0)))),"Fix")))</f>
        <v xml:space="preserve"> </v>
      </c>
      <c r="E18" s="3" t="str">
        <f ca="1">IF(OR(INDEX($K$2:$K$1001,MATCH(ROWS($J$2:J18),$J$2:$J$1001,0),1)&gt;=100000,INDEX($Q$1005:$U$1005,1,MATCH(COLUMNS($Q$1006:T1006),$Q$1006:$U$1006,0))&gt;=100000), " ",IF(INDEX($Q$2:$U$1001,MATCH(ROWS($J$2:J18),$J$2:$J$1001,0),MATCH(COLUMNS($Q$1006:T1006),$Q$1006:$U$1006,0)), HYPERLINK("#",""), HYPERLINK(CONCATENATE("#Metadata!", ADDRESS(INDEX($L$2:$L$1001,MATCH(ROWS($J$2:J18),$J$2:$J$1001,0),0), INDEX($Q$1004:$U$1004,1,MATCH(COLUMNS($Q$1006:T1006),$Q$1006:$U$1006,0)))),"Fix")))</f>
        <v xml:space="preserve"> </v>
      </c>
      <c r="F18" s="3" t="str">
        <f ca="1">IF(OR(INDEX($K$2:$K$1001,MATCH(ROWS($J$2:J18),$J$2:$J$1001,0),1)&gt;=100000,INDEX($Q$1005:$U$1005,1,MATCH(COLUMNS($Q$1006:U1006),$Q$1006:$U$1006,0))&gt;=100000), " ",IF(INDEX($Q$2:$U$1001,MATCH(ROWS($J$2:J18),$J$2:$J$1001,0),MATCH(COLUMNS($Q$1006:U1006),$Q$1006:$U$1006,0)), HYPERLINK("#",""), HYPERLINK(CONCATENATE("#Metadata!", ADDRESS(INDEX($L$2:$L$1001,MATCH(ROWS($J$2:J18),$J$2:$J$1001,0),0), INDEX($Q$1004:$U$1004,1,MATCH(COLUMNS($Q$1006:U1006),$Q$1006:$U$1006,0)))),"Fix")))</f>
        <v xml:space="preserve"> </v>
      </c>
      <c r="J18">
        <f ca="1"/>
        <v>17</v>
      </c>
      <c r="K18">
        <v>100018</v>
      </c>
      <c r="L18">
        <v>18</v>
      </c>
      <c r="M18" t="b">
        <f t="shared" si="0"/>
        <v>1</v>
      </c>
      <c r="N18" t="b">
        <f>COUNTBLANK(Metadata!B18:F18)=COLUMNS(Metadata!B18:F18)</f>
        <v>1</v>
      </c>
      <c r="O18" t="str">
        <v/>
      </c>
      <c r="Q18" t="b">
        <f ca="1"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R18" t="b">
        <f>IF(Metadata!C18="",FALSE,TRUE)</f>
        <v>0</v>
      </c>
      <c r="S18" t="b">
        <f>OR(AND(IF(Metadata!D18="",FALSE,TRUE),EXACT(Metadata!D18,"missing: not collected")),AND(IF(Metadata!D18="",FALSE,TRUE),OR(EXACT(Metadata!D18,"t"),EXACT(Metadata!D18,"f"))))</f>
        <v>0</v>
      </c>
      <c r="T18" t="b">
        <f>AND(IF(Metadata!E18="",FALSE,TRUE),OR(EXACT(Metadata!E18,"a"),EXACT(Metadata!E18,"b")))</f>
        <v>0</v>
      </c>
      <c r="U18" t="b">
        <f>OR(AND(IF(Metadata!F18="",FALSE,TRUE),OR(EXACT(Metadata!F18,"missing: not collected"),EXACT(Metadata!F18,"missing: not provided"))),AND(IF(Metadata!F18="",FALSE,TRUE),OR(EXACT(Metadata!F18,"lo"),EXACT(Metadata!F18,"med"),EXACT(Metadata!F18,"hi"))))</f>
        <v>0</v>
      </c>
    </row>
    <row r="19" spans="1:21" x14ac:dyDescent="0.2">
      <c r="A19" s="4" t="str">
        <f ca="1">IF(B19=" "," ",HYPERLINK(CONCATENATE("#metadata!",ADDRESS(INDEX($L$2:$L$1001,MATCH(ROWS($J$2:J19),$J$2:$J$1001,0),0),1)),INDEX($O$2:$O$1001,MATCH(ROWS($J$2:J19),$J$2:$J$1001,0),0)))</f>
        <v xml:space="preserve"> </v>
      </c>
      <c r="B19" s="3" t="str">
        <f ca="1">IF(OR(INDEX($K$2:$K$1001,MATCH(ROWS($J$2:J19),$J$2:$J$1001,0),1)&gt;=100000,INDEX($Q$1005:$U$1005,1,MATCH(COLUMNS($Q$1006:Q1006),$Q$1006:$U$1006,0))&gt;=100000), " ",IF(INDEX($Q$2:$U$1001,MATCH(ROWS($J$2:J19),$J$2:$J$1001,0),MATCH(COLUMNS($Q$1006:Q1006),$Q$1006:$U$1006,0)), HYPERLINK("#",""), HYPERLINK(CONCATENATE("#Metadata!", ADDRESS(INDEX($L$2:$L$1001,MATCH(ROWS($J$2:J19),$J$2:$J$1001,0),0), INDEX($Q$1004:$U$1004,1,MATCH(COLUMNS($Q$1006:Q1006),$Q$1006:$U$1006,0)))),"Fix")))</f>
        <v xml:space="preserve"> </v>
      </c>
      <c r="C19" s="3" t="str">
        <f ca="1">IF(OR(INDEX($K$2:$K$1001,MATCH(ROWS($J$2:J19),$J$2:$J$1001,0),1)&gt;=100000,INDEX($Q$1005:$U$1005,1,MATCH(COLUMNS($Q$1006:R1006),$Q$1006:$U$1006,0))&gt;=100000), " ",IF(INDEX($Q$2:$U$1001,MATCH(ROWS($J$2:J19),$J$2:$J$1001,0),MATCH(COLUMNS($Q$1006:R1006),$Q$1006:$U$1006,0)), HYPERLINK("#",""), HYPERLINK(CONCATENATE("#Metadata!", ADDRESS(INDEX($L$2:$L$1001,MATCH(ROWS($J$2:J19),$J$2:$J$1001,0),0), INDEX($Q$1004:$U$1004,1,MATCH(COLUMNS($Q$1006:R1006),$Q$1006:$U$1006,0)))),"Fix")))</f>
        <v xml:space="preserve"> </v>
      </c>
      <c r="D19" s="3" t="str">
        <f ca="1">IF(OR(INDEX($K$2:$K$1001,MATCH(ROWS($J$2:J19),$J$2:$J$1001,0),1)&gt;=100000,INDEX($Q$1005:$U$1005,1,MATCH(COLUMNS($Q$1006:S1006),$Q$1006:$U$1006,0))&gt;=100000), " ",IF(INDEX($Q$2:$U$1001,MATCH(ROWS($J$2:J19),$J$2:$J$1001,0),MATCH(COLUMNS($Q$1006:S1006),$Q$1006:$U$1006,0)), HYPERLINK("#",""), HYPERLINK(CONCATENATE("#Metadata!", ADDRESS(INDEX($L$2:$L$1001,MATCH(ROWS($J$2:J19),$J$2:$J$1001,0),0), INDEX($Q$1004:$U$1004,1,MATCH(COLUMNS($Q$1006:S1006),$Q$1006:$U$1006,0)))),"Fix")))</f>
        <v xml:space="preserve"> </v>
      </c>
      <c r="E19" s="3" t="str">
        <f ca="1">IF(OR(INDEX($K$2:$K$1001,MATCH(ROWS($J$2:J19),$J$2:$J$1001,0),1)&gt;=100000,INDEX($Q$1005:$U$1005,1,MATCH(COLUMNS($Q$1006:T1006),$Q$1006:$U$1006,0))&gt;=100000), " ",IF(INDEX($Q$2:$U$1001,MATCH(ROWS($J$2:J19),$J$2:$J$1001,0),MATCH(COLUMNS($Q$1006:T1006),$Q$1006:$U$1006,0)), HYPERLINK("#",""), HYPERLINK(CONCATENATE("#Metadata!", ADDRESS(INDEX($L$2:$L$1001,MATCH(ROWS($J$2:J19),$J$2:$J$1001,0),0), INDEX($Q$1004:$U$1004,1,MATCH(COLUMNS($Q$1006:T1006),$Q$1006:$U$1006,0)))),"Fix")))</f>
        <v xml:space="preserve"> </v>
      </c>
      <c r="F19" s="3" t="str">
        <f ca="1">IF(OR(INDEX($K$2:$K$1001,MATCH(ROWS($J$2:J19),$J$2:$J$1001,0),1)&gt;=100000,INDEX($Q$1005:$U$1005,1,MATCH(COLUMNS($Q$1006:U1006),$Q$1006:$U$1006,0))&gt;=100000), " ",IF(INDEX($Q$2:$U$1001,MATCH(ROWS($J$2:J19),$J$2:$J$1001,0),MATCH(COLUMNS($Q$1006:U1006),$Q$1006:$U$1006,0)), HYPERLINK("#",""), HYPERLINK(CONCATENATE("#Metadata!", ADDRESS(INDEX($L$2:$L$1001,MATCH(ROWS($J$2:J19),$J$2:$J$1001,0),0), INDEX($Q$1004:$U$1004,1,MATCH(COLUMNS($Q$1006:U1006),$Q$1006:$U$1006,0)))),"Fix")))</f>
        <v xml:space="preserve"> </v>
      </c>
      <c r="J19">
        <f ca="1"/>
        <v>18</v>
      </c>
      <c r="K19">
        <v>100019</v>
      </c>
      <c r="L19">
        <v>19</v>
      </c>
      <c r="M19" t="b">
        <f t="shared" si="0"/>
        <v>1</v>
      </c>
      <c r="N19" t="b">
        <f>COUNTBLANK(Metadata!B19:F19)=COLUMNS(Metadata!B19:F19)</f>
        <v>1</v>
      </c>
      <c r="O19" t="str">
        <v/>
      </c>
      <c r="Q19" t="b">
        <f ca="1"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R19" t="b">
        <f>IF(Metadata!C19="",FALSE,TRUE)</f>
        <v>0</v>
      </c>
      <c r="S19" t="b">
        <f>OR(AND(IF(Metadata!D19="",FALSE,TRUE),EXACT(Metadata!D19,"missing: not collected")),AND(IF(Metadata!D19="",FALSE,TRUE),OR(EXACT(Metadata!D19,"t"),EXACT(Metadata!D19,"f"))))</f>
        <v>0</v>
      </c>
      <c r="T19" t="b">
        <f>AND(IF(Metadata!E19="",FALSE,TRUE),OR(EXACT(Metadata!E19,"a"),EXACT(Metadata!E19,"b")))</f>
        <v>0</v>
      </c>
      <c r="U19" t="b">
        <f>OR(AND(IF(Metadata!F19="",FALSE,TRUE),OR(EXACT(Metadata!F19,"missing: not collected"),EXACT(Metadata!F19,"missing: not provided"))),AND(IF(Metadata!F19="",FALSE,TRUE),OR(EXACT(Metadata!F19,"lo"),EXACT(Metadata!F19,"med"),EXACT(Metadata!F19,"hi"))))</f>
        <v>0</v>
      </c>
    </row>
    <row r="20" spans="1:21" x14ac:dyDescent="0.2">
      <c r="A20" s="4" t="str">
        <f ca="1">IF(B20=" "," ",HYPERLINK(CONCATENATE("#metadata!",ADDRESS(INDEX($L$2:$L$1001,MATCH(ROWS($J$2:J20),$J$2:$J$1001,0),0),1)),INDEX($O$2:$O$1001,MATCH(ROWS($J$2:J20),$J$2:$J$1001,0),0)))</f>
        <v xml:space="preserve"> </v>
      </c>
      <c r="B20" s="3" t="str">
        <f ca="1">IF(OR(INDEX($K$2:$K$1001,MATCH(ROWS($J$2:J20),$J$2:$J$1001,0),1)&gt;=100000,INDEX($Q$1005:$U$1005,1,MATCH(COLUMNS($Q$1006:Q1006),$Q$1006:$U$1006,0))&gt;=100000), " ",IF(INDEX($Q$2:$U$1001,MATCH(ROWS($J$2:J20),$J$2:$J$1001,0),MATCH(COLUMNS($Q$1006:Q1006),$Q$1006:$U$1006,0)), HYPERLINK("#",""), HYPERLINK(CONCATENATE("#Metadata!", ADDRESS(INDEX($L$2:$L$1001,MATCH(ROWS($J$2:J20),$J$2:$J$1001,0),0), INDEX($Q$1004:$U$1004,1,MATCH(COLUMNS($Q$1006:Q1006),$Q$1006:$U$1006,0)))),"Fix")))</f>
        <v xml:space="preserve"> </v>
      </c>
      <c r="C20" s="3" t="str">
        <f ca="1">IF(OR(INDEX($K$2:$K$1001,MATCH(ROWS($J$2:J20),$J$2:$J$1001,0),1)&gt;=100000,INDEX($Q$1005:$U$1005,1,MATCH(COLUMNS($Q$1006:R1006),$Q$1006:$U$1006,0))&gt;=100000), " ",IF(INDEX($Q$2:$U$1001,MATCH(ROWS($J$2:J20),$J$2:$J$1001,0),MATCH(COLUMNS($Q$1006:R1006),$Q$1006:$U$1006,0)), HYPERLINK("#",""), HYPERLINK(CONCATENATE("#Metadata!", ADDRESS(INDEX($L$2:$L$1001,MATCH(ROWS($J$2:J20),$J$2:$J$1001,0),0), INDEX($Q$1004:$U$1004,1,MATCH(COLUMNS($Q$1006:R1006),$Q$1006:$U$1006,0)))),"Fix")))</f>
        <v xml:space="preserve"> </v>
      </c>
      <c r="D20" s="3" t="str">
        <f ca="1">IF(OR(INDEX($K$2:$K$1001,MATCH(ROWS($J$2:J20),$J$2:$J$1001,0),1)&gt;=100000,INDEX($Q$1005:$U$1005,1,MATCH(COLUMNS($Q$1006:S1006),$Q$1006:$U$1006,0))&gt;=100000), " ",IF(INDEX($Q$2:$U$1001,MATCH(ROWS($J$2:J20),$J$2:$J$1001,0),MATCH(COLUMNS($Q$1006:S1006),$Q$1006:$U$1006,0)), HYPERLINK("#",""), HYPERLINK(CONCATENATE("#Metadata!", ADDRESS(INDEX($L$2:$L$1001,MATCH(ROWS($J$2:J20),$J$2:$J$1001,0),0), INDEX($Q$1004:$U$1004,1,MATCH(COLUMNS($Q$1006:S1006),$Q$1006:$U$1006,0)))),"Fix")))</f>
        <v xml:space="preserve"> </v>
      </c>
      <c r="E20" s="3" t="str">
        <f ca="1">IF(OR(INDEX($K$2:$K$1001,MATCH(ROWS($J$2:J20),$J$2:$J$1001,0),1)&gt;=100000,INDEX($Q$1005:$U$1005,1,MATCH(COLUMNS($Q$1006:T1006),$Q$1006:$U$1006,0))&gt;=100000), " ",IF(INDEX($Q$2:$U$1001,MATCH(ROWS($J$2:J20),$J$2:$J$1001,0),MATCH(COLUMNS($Q$1006:T1006),$Q$1006:$U$1006,0)), HYPERLINK("#",""), HYPERLINK(CONCATENATE("#Metadata!", ADDRESS(INDEX($L$2:$L$1001,MATCH(ROWS($J$2:J20),$J$2:$J$1001,0),0), INDEX($Q$1004:$U$1004,1,MATCH(COLUMNS($Q$1006:T1006),$Q$1006:$U$1006,0)))),"Fix")))</f>
        <v xml:space="preserve"> </v>
      </c>
      <c r="F20" s="3" t="str">
        <f ca="1">IF(OR(INDEX($K$2:$K$1001,MATCH(ROWS($J$2:J20),$J$2:$J$1001,0),1)&gt;=100000,INDEX($Q$1005:$U$1005,1,MATCH(COLUMNS($Q$1006:U1006),$Q$1006:$U$1006,0))&gt;=100000), " ",IF(INDEX($Q$2:$U$1001,MATCH(ROWS($J$2:J20),$J$2:$J$1001,0),MATCH(COLUMNS($Q$1006:U1006),$Q$1006:$U$1006,0)), HYPERLINK("#",""), HYPERLINK(CONCATENATE("#Metadata!", ADDRESS(INDEX($L$2:$L$1001,MATCH(ROWS($J$2:J20),$J$2:$J$1001,0),0), INDEX($Q$1004:$U$1004,1,MATCH(COLUMNS($Q$1006:U1006),$Q$1006:$U$1006,0)))),"Fix")))</f>
        <v xml:space="preserve"> </v>
      </c>
      <c r="J20">
        <f ca="1"/>
        <v>19</v>
      </c>
      <c r="K20">
        <v>100020</v>
      </c>
      <c r="L20">
        <v>20</v>
      </c>
      <c r="M20" t="b">
        <f t="shared" si="0"/>
        <v>1</v>
      </c>
      <c r="N20" t="b">
        <f>COUNTBLANK(Metadata!B20:F20)=COLUMNS(Metadata!B20:F20)</f>
        <v>1</v>
      </c>
      <c r="O20" t="str">
        <v/>
      </c>
      <c r="Q20" t="b">
        <f ca="1"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R20" t="b">
        <f>IF(Metadata!C20="",FALSE,TRUE)</f>
        <v>0</v>
      </c>
      <c r="S20" t="b">
        <f>OR(AND(IF(Metadata!D20="",FALSE,TRUE),EXACT(Metadata!D20,"missing: not collected")),AND(IF(Metadata!D20="",FALSE,TRUE),OR(EXACT(Metadata!D20,"t"),EXACT(Metadata!D20,"f"))))</f>
        <v>0</v>
      </c>
      <c r="T20" t="b">
        <f>AND(IF(Metadata!E20="",FALSE,TRUE),OR(EXACT(Metadata!E20,"a"),EXACT(Metadata!E20,"b")))</f>
        <v>0</v>
      </c>
      <c r="U20" t="b">
        <f>OR(AND(IF(Metadata!F20="",FALSE,TRUE),OR(EXACT(Metadata!F20,"missing: not collected"),EXACT(Metadata!F20,"missing: not provided"))),AND(IF(Metadata!F20="",FALSE,TRUE),OR(EXACT(Metadata!F20,"lo"),EXACT(Metadata!F20,"med"),EXACT(Metadata!F20,"hi"))))</f>
        <v>0</v>
      </c>
    </row>
    <row r="21" spans="1:21" x14ac:dyDescent="0.2">
      <c r="A21" s="4" t="str">
        <f ca="1">IF(B21=" "," ",HYPERLINK(CONCATENATE("#metadata!",ADDRESS(INDEX($L$2:$L$1001,MATCH(ROWS($J$2:J21),$J$2:$J$1001,0),0),1)),INDEX($O$2:$O$1001,MATCH(ROWS($J$2:J21),$J$2:$J$1001,0),0)))</f>
        <v xml:space="preserve"> </v>
      </c>
      <c r="B21" s="3" t="str">
        <f ca="1">IF(OR(INDEX($K$2:$K$1001,MATCH(ROWS($J$2:J21),$J$2:$J$1001,0),1)&gt;=100000,INDEX($Q$1005:$U$1005,1,MATCH(COLUMNS($Q$1006:Q1006),$Q$1006:$U$1006,0))&gt;=100000), " ",IF(INDEX($Q$2:$U$1001,MATCH(ROWS($J$2:J21),$J$2:$J$1001,0),MATCH(COLUMNS($Q$1006:Q1006),$Q$1006:$U$1006,0)), HYPERLINK("#",""), HYPERLINK(CONCATENATE("#Metadata!", ADDRESS(INDEX($L$2:$L$1001,MATCH(ROWS($J$2:J21),$J$2:$J$1001,0),0), INDEX($Q$1004:$U$1004,1,MATCH(COLUMNS($Q$1006:Q1006),$Q$1006:$U$1006,0)))),"Fix")))</f>
        <v xml:space="preserve"> </v>
      </c>
      <c r="C21" s="3" t="str">
        <f ca="1">IF(OR(INDEX($K$2:$K$1001,MATCH(ROWS($J$2:J21),$J$2:$J$1001,0),1)&gt;=100000,INDEX($Q$1005:$U$1005,1,MATCH(COLUMNS($Q$1006:R1006),$Q$1006:$U$1006,0))&gt;=100000), " ",IF(INDEX($Q$2:$U$1001,MATCH(ROWS($J$2:J21),$J$2:$J$1001,0),MATCH(COLUMNS($Q$1006:R1006),$Q$1006:$U$1006,0)), HYPERLINK("#",""), HYPERLINK(CONCATENATE("#Metadata!", ADDRESS(INDEX($L$2:$L$1001,MATCH(ROWS($J$2:J21),$J$2:$J$1001,0),0), INDEX($Q$1004:$U$1004,1,MATCH(COLUMNS($Q$1006:R1006),$Q$1006:$U$1006,0)))),"Fix")))</f>
        <v xml:space="preserve"> </v>
      </c>
      <c r="D21" s="3" t="str">
        <f ca="1">IF(OR(INDEX($K$2:$K$1001,MATCH(ROWS($J$2:J21),$J$2:$J$1001,0),1)&gt;=100000,INDEX($Q$1005:$U$1005,1,MATCH(COLUMNS($Q$1006:S1006),$Q$1006:$U$1006,0))&gt;=100000), " ",IF(INDEX($Q$2:$U$1001,MATCH(ROWS($J$2:J21),$J$2:$J$1001,0),MATCH(COLUMNS($Q$1006:S1006),$Q$1006:$U$1006,0)), HYPERLINK("#",""), HYPERLINK(CONCATENATE("#Metadata!", ADDRESS(INDEX($L$2:$L$1001,MATCH(ROWS($J$2:J21),$J$2:$J$1001,0),0), INDEX($Q$1004:$U$1004,1,MATCH(COLUMNS($Q$1006:S1006),$Q$1006:$U$1006,0)))),"Fix")))</f>
        <v xml:space="preserve"> </v>
      </c>
      <c r="E21" s="3" t="str">
        <f ca="1">IF(OR(INDEX($K$2:$K$1001,MATCH(ROWS($J$2:J21),$J$2:$J$1001,0),1)&gt;=100000,INDEX($Q$1005:$U$1005,1,MATCH(COLUMNS($Q$1006:T1006),$Q$1006:$U$1006,0))&gt;=100000), " ",IF(INDEX($Q$2:$U$1001,MATCH(ROWS($J$2:J21),$J$2:$J$1001,0),MATCH(COLUMNS($Q$1006:T1006),$Q$1006:$U$1006,0)), HYPERLINK("#",""), HYPERLINK(CONCATENATE("#Metadata!", ADDRESS(INDEX($L$2:$L$1001,MATCH(ROWS($J$2:J21),$J$2:$J$1001,0),0), INDEX($Q$1004:$U$1004,1,MATCH(COLUMNS($Q$1006:T1006),$Q$1006:$U$1006,0)))),"Fix")))</f>
        <v xml:space="preserve"> </v>
      </c>
      <c r="F21" s="3" t="str">
        <f ca="1">IF(OR(INDEX($K$2:$K$1001,MATCH(ROWS($J$2:J21),$J$2:$J$1001,0),1)&gt;=100000,INDEX($Q$1005:$U$1005,1,MATCH(COLUMNS($Q$1006:U1006),$Q$1006:$U$1006,0))&gt;=100000), " ",IF(INDEX($Q$2:$U$1001,MATCH(ROWS($J$2:J21),$J$2:$J$1001,0),MATCH(COLUMNS($Q$1006:U1006),$Q$1006:$U$1006,0)), HYPERLINK("#",""), HYPERLINK(CONCATENATE("#Metadata!", ADDRESS(INDEX($L$2:$L$1001,MATCH(ROWS($J$2:J21),$J$2:$J$1001,0),0), INDEX($Q$1004:$U$1004,1,MATCH(COLUMNS($Q$1006:U1006),$Q$1006:$U$1006,0)))),"Fix")))</f>
        <v xml:space="preserve"> </v>
      </c>
      <c r="J21">
        <f ca="1"/>
        <v>20</v>
      </c>
      <c r="K21">
        <v>100021</v>
      </c>
      <c r="L21">
        <v>21</v>
      </c>
      <c r="M21" t="b">
        <f t="shared" si="0"/>
        <v>1</v>
      </c>
      <c r="N21" t="b">
        <f>COUNTBLANK(Metadata!B21:F21)=COLUMNS(Metadata!B21:F21)</f>
        <v>1</v>
      </c>
      <c r="O21" t="str">
        <v/>
      </c>
      <c r="Q21" t="b">
        <f ca="1"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R21" t="b">
        <f>IF(Metadata!C21="",FALSE,TRUE)</f>
        <v>0</v>
      </c>
      <c r="S21" t="b">
        <f>OR(AND(IF(Metadata!D21="",FALSE,TRUE),EXACT(Metadata!D21,"missing: not collected")),AND(IF(Metadata!D21="",FALSE,TRUE),OR(EXACT(Metadata!D21,"t"),EXACT(Metadata!D21,"f"))))</f>
        <v>0</v>
      </c>
      <c r="T21" t="b">
        <f>AND(IF(Metadata!E21="",FALSE,TRUE),OR(EXACT(Metadata!E21,"a"),EXACT(Metadata!E21,"b")))</f>
        <v>0</v>
      </c>
      <c r="U21" t="b">
        <f>OR(AND(IF(Metadata!F21="",FALSE,TRUE),OR(EXACT(Metadata!F21,"missing: not collected"),EXACT(Metadata!F21,"missing: not provided"))),AND(IF(Metadata!F21="",FALSE,TRUE),OR(EXACT(Metadata!F21,"lo"),EXACT(Metadata!F21,"med"),EXACT(Metadata!F21,"hi"))))</f>
        <v>0</v>
      </c>
    </row>
    <row r="22" spans="1:21" x14ac:dyDescent="0.2">
      <c r="A22" s="4" t="str">
        <f ca="1">IF(B22=" "," ",HYPERLINK(CONCATENATE("#metadata!",ADDRESS(INDEX($L$2:$L$1001,MATCH(ROWS($J$2:J22),$J$2:$J$1001,0),0),1)),INDEX($O$2:$O$1001,MATCH(ROWS($J$2:J22),$J$2:$J$1001,0),0)))</f>
        <v xml:space="preserve"> </v>
      </c>
      <c r="B22" s="3" t="str">
        <f ca="1">IF(OR(INDEX($K$2:$K$1001,MATCH(ROWS($J$2:J22),$J$2:$J$1001,0),1)&gt;=100000,INDEX($Q$1005:$U$1005,1,MATCH(COLUMNS($Q$1006:Q1006),$Q$1006:$U$1006,0))&gt;=100000), " ",IF(INDEX($Q$2:$U$1001,MATCH(ROWS($J$2:J22),$J$2:$J$1001,0),MATCH(COLUMNS($Q$1006:Q1006),$Q$1006:$U$1006,0)), HYPERLINK("#",""), HYPERLINK(CONCATENATE("#Metadata!", ADDRESS(INDEX($L$2:$L$1001,MATCH(ROWS($J$2:J22),$J$2:$J$1001,0),0), INDEX($Q$1004:$U$1004,1,MATCH(COLUMNS($Q$1006:Q1006),$Q$1006:$U$1006,0)))),"Fix")))</f>
        <v xml:space="preserve"> </v>
      </c>
      <c r="C22" s="3" t="str">
        <f ca="1">IF(OR(INDEX($K$2:$K$1001,MATCH(ROWS($J$2:J22),$J$2:$J$1001,0),1)&gt;=100000,INDEX($Q$1005:$U$1005,1,MATCH(COLUMNS($Q$1006:R1006),$Q$1006:$U$1006,0))&gt;=100000), " ",IF(INDEX($Q$2:$U$1001,MATCH(ROWS($J$2:J22),$J$2:$J$1001,0),MATCH(COLUMNS($Q$1006:R1006),$Q$1006:$U$1006,0)), HYPERLINK("#",""), HYPERLINK(CONCATENATE("#Metadata!", ADDRESS(INDEX($L$2:$L$1001,MATCH(ROWS($J$2:J22),$J$2:$J$1001,0),0), INDEX($Q$1004:$U$1004,1,MATCH(COLUMNS($Q$1006:R1006),$Q$1006:$U$1006,0)))),"Fix")))</f>
        <v xml:space="preserve"> </v>
      </c>
      <c r="D22" s="3" t="str">
        <f ca="1">IF(OR(INDEX($K$2:$K$1001,MATCH(ROWS($J$2:J22),$J$2:$J$1001,0),1)&gt;=100000,INDEX($Q$1005:$U$1005,1,MATCH(COLUMNS($Q$1006:S1006),$Q$1006:$U$1006,0))&gt;=100000), " ",IF(INDEX($Q$2:$U$1001,MATCH(ROWS($J$2:J22),$J$2:$J$1001,0),MATCH(COLUMNS($Q$1006:S1006),$Q$1006:$U$1006,0)), HYPERLINK("#",""), HYPERLINK(CONCATENATE("#Metadata!", ADDRESS(INDEX($L$2:$L$1001,MATCH(ROWS($J$2:J22),$J$2:$J$1001,0),0), INDEX($Q$1004:$U$1004,1,MATCH(COLUMNS($Q$1006:S1006),$Q$1006:$U$1006,0)))),"Fix")))</f>
        <v xml:space="preserve"> </v>
      </c>
      <c r="E22" s="3" t="str">
        <f ca="1">IF(OR(INDEX($K$2:$K$1001,MATCH(ROWS($J$2:J22),$J$2:$J$1001,0),1)&gt;=100000,INDEX($Q$1005:$U$1005,1,MATCH(COLUMNS($Q$1006:T1006),$Q$1006:$U$1006,0))&gt;=100000), " ",IF(INDEX($Q$2:$U$1001,MATCH(ROWS($J$2:J22),$J$2:$J$1001,0),MATCH(COLUMNS($Q$1006:T1006),$Q$1006:$U$1006,0)), HYPERLINK("#",""), HYPERLINK(CONCATENATE("#Metadata!", ADDRESS(INDEX($L$2:$L$1001,MATCH(ROWS($J$2:J22),$J$2:$J$1001,0),0), INDEX($Q$1004:$U$1004,1,MATCH(COLUMNS($Q$1006:T1006),$Q$1006:$U$1006,0)))),"Fix")))</f>
        <v xml:space="preserve"> </v>
      </c>
      <c r="F22" s="3" t="str">
        <f ca="1">IF(OR(INDEX($K$2:$K$1001,MATCH(ROWS($J$2:J22),$J$2:$J$1001,0),1)&gt;=100000,INDEX($Q$1005:$U$1005,1,MATCH(COLUMNS($Q$1006:U1006),$Q$1006:$U$1006,0))&gt;=100000), " ",IF(INDEX($Q$2:$U$1001,MATCH(ROWS($J$2:J22),$J$2:$J$1001,0),MATCH(COLUMNS($Q$1006:U1006),$Q$1006:$U$1006,0)), HYPERLINK("#",""), HYPERLINK(CONCATENATE("#Metadata!", ADDRESS(INDEX($L$2:$L$1001,MATCH(ROWS($J$2:J22),$J$2:$J$1001,0),0), INDEX($Q$1004:$U$1004,1,MATCH(COLUMNS($Q$1006:U1006),$Q$1006:$U$1006,0)))),"Fix")))</f>
        <v xml:space="preserve"> </v>
      </c>
      <c r="J22">
        <f ca="1"/>
        <v>21</v>
      </c>
      <c r="K22">
        <v>100022</v>
      </c>
      <c r="L22">
        <v>22</v>
      </c>
      <c r="M22" t="b">
        <f t="shared" si="0"/>
        <v>1</v>
      </c>
      <c r="N22" t="b">
        <f>COUNTBLANK(Metadata!B22:F22)=COLUMNS(Metadata!B22:F22)</f>
        <v>1</v>
      </c>
      <c r="O22" t="str">
        <v/>
      </c>
      <c r="Q22" t="b">
        <f ca="1"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R22" t="b">
        <f>IF(Metadata!C22="",FALSE,TRUE)</f>
        <v>0</v>
      </c>
      <c r="S22" t="b">
        <f>OR(AND(IF(Metadata!D22="",FALSE,TRUE),EXACT(Metadata!D22,"missing: not collected")),AND(IF(Metadata!D22="",FALSE,TRUE),OR(EXACT(Metadata!D22,"t"),EXACT(Metadata!D22,"f"))))</f>
        <v>0</v>
      </c>
      <c r="T22" t="b">
        <f>AND(IF(Metadata!E22="",FALSE,TRUE),OR(EXACT(Metadata!E22,"a"),EXACT(Metadata!E22,"b")))</f>
        <v>0</v>
      </c>
      <c r="U22" t="b">
        <f>OR(AND(IF(Metadata!F22="",FALSE,TRUE),OR(EXACT(Metadata!F22,"missing: not collected"),EXACT(Metadata!F22,"missing: not provided"))),AND(IF(Metadata!F22="",FALSE,TRUE),OR(EXACT(Metadata!F22,"lo"),EXACT(Metadata!F22,"med"),EXACT(Metadata!F22,"hi"))))</f>
        <v>0</v>
      </c>
    </row>
    <row r="23" spans="1:21" x14ac:dyDescent="0.2">
      <c r="A23" s="4" t="str">
        <f ca="1">IF(B23=" "," ",HYPERLINK(CONCATENATE("#metadata!",ADDRESS(INDEX($L$2:$L$1001,MATCH(ROWS($J$2:J23),$J$2:$J$1001,0),0),1)),INDEX($O$2:$O$1001,MATCH(ROWS($J$2:J23),$J$2:$J$1001,0),0)))</f>
        <v xml:space="preserve"> </v>
      </c>
      <c r="B23" s="3" t="str">
        <f ca="1">IF(OR(INDEX($K$2:$K$1001,MATCH(ROWS($J$2:J23),$J$2:$J$1001,0),1)&gt;=100000,INDEX($Q$1005:$U$1005,1,MATCH(COLUMNS($Q$1006:Q1006),$Q$1006:$U$1006,0))&gt;=100000), " ",IF(INDEX($Q$2:$U$1001,MATCH(ROWS($J$2:J23),$J$2:$J$1001,0),MATCH(COLUMNS($Q$1006:Q1006),$Q$1006:$U$1006,0)), HYPERLINK("#",""), HYPERLINK(CONCATENATE("#Metadata!", ADDRESS(INDEX($L$2:$L$1001,MATCH(ROWS($J$2:J23),$J$2:$J$1001,0),0), INDEX($Q$1004:$U$1004,1,MATCH(COLUMNS($Q$1006:Q1006),$Q$1006:$U$1006,0)))),"Fix")))</f>
        <v xml:space="preserve"> </v>
      </c>
      <c r="C23" s="3" t="str">
        <f ca="1">IF(OR(INDEX($K$2:$K$1001,MATCH(ROWS($J$2:J23),$J$2:$J$1001,0),1)&gt;=100000,INDEX($Q$1005:$U$1005,1,MATCH(COLUMNS($Q$1006:R1006),$Q$1006:$U$1006,0))&gt;=100000), " ",IF(INDEX($Q$2:$U$1001,MATCH(ROWS($J$2:J23),$J$2:$J$1001,0),MATCH(COLUMNS($Q$1006:R1006),$Q$1006:$U$1006,0)), HYPERLINK("#",""), HYPERLINK(CONCATENATE("#Metadata!", ADDRESS(INDEX($L$2:$L$1001,MATCH(ROWS($J$2:J23),$J$2:$J$1001,0),0), INDEX($Q$1004:$U$1004,1,MATCH(COLUMNS($Q$1006:R1006),$Q$1006:$U$1006,0)))),"Fix")))</f>
        <v xml:space="preserve"> </v>
      </c>
      <c r="D23" s="3" t="str">
        <f ca="1">IF(OR(INDEX($K$2:$K$1001,MATCH(ROWS($J$2:J23),$J$2:$J$1001,0),1)&gt;=100000,INDEX($Q$1005:$U$1005,1,MATCH(COLUMNS($Q$1006:S1006),$Q$1006:$U$1006,0))&gt;=100000), " ",IF(INDEX($Q$2:$U$1001,MATCH(ROWS($J$2:J23),$J$2:$J$1001,0),MATCH(COLUMNS($Q$1006:S1006),$Q$1006:$U$1006,0)), HYPERLINK("#",""), HYPERLINK(CONCATENATE("#Metadata!", ADDRESS(INDEX($L$2:$L$1001,MATCH(ROWS($J$2:J23),$J$2:$J$1001,0),0), INDEX($Q$1004:$U$1004,1,MATCH(COLUMNS($Q$1006:S1006),$Q$1006:$U$1006,0)))),"Fix")))</f>
        <v xml:space="preserve"> </v>
      </c>
      <c r="E23" s="3" t="str">
        <f ca="1">IF(OR(INDEX($K$2:$K$1001,MATCH(ROWS($J$2:J23),$J$2:$J$1001,0),1)&gt;=100000,INDEX($Q$1005:$U$1005,1,MATCH(COLUMNS($Q$1006:T1006),$Q$1006:$U$1006,0))&gt;=100000), " ",IF(INDEX($Q$2:$U$1001,MATCH(ROWS($J$2:J23),$J$2:$J$1001,0),MATCH(COLUMNS($Q$1006:T1006),$Q$1006:$U$1006,0)), HYPERLINK("#",""), HYPERLINK(CONCATENATE("#Metadata!", ADDRESS(INDEX($L$2:$L$1001,MATCH(ROWS($J$2:J23),$J$2:$J$1001,0),0), INDEX($Q$1004:$U$1004,1,MATCH(COLUMNS($Q$1006:T1006),$Q$1006:$U$1006,0)))),"Fix")))</f>
        <v xml:space="preserve"> </v>
      </c>
      <c r="F23" s="3" t="str">
        <f ca="1">IF(OR(INDEX($K$2:$K$1001,MATCH(ROWS($J$2:J23),$J$2:$J$1001,0),1)&gt;=100000,INDEX($Q$1005:$U$1005,1,MATCH(COLUMNS($Q$1006:U1006),$Q$1006:$U$1006,0))&gt;=100000), " ",IF(INDEX($Q$2:$U$1001,MATCH(ROWS($J$2:J23),$J$2:$J$1001,0),MATCH(COLUMNS($Q$1006:U1006),$Q$1006:$U$1006,0)), HYPERLINK("#",""), HYPERLINK(CONCATENATE("#Metadata!", ADDRESS(INDEX($L$2:$L$1001,MATCH(ROWS($J$2:J23),$J$2:$J$1001,0),0), INDEX($Q$1004:$U$1004,1,MATCH(COLUMNS($Q$1006:U1006),$Q$1006:$U$1006,0)))),"Fix")))</f>
        <v xml:space="preserve"> </v>
      </c>
      <c r="J23">
        <f ca="1"/>
        <v>22</v>
      </c>
      <c r="K23">
        <v>100023</v>
      </c>
      <c r="L23">
        <v>23</v>
      </c>
      <c r="M23" t="b">
        <f t="shared" si="0"/>
        <v>1</v>
      </c>
      <c r="N23" t="b">
        <f>COUNTBLANK(Metadata!B23:F23)=COLUMNS(Metadata!B23:F23)</f>
        <v>1</v>
      </c>
      <c r="O23" t="str">
        <v/>
      </c>
      <c r="Q23" t="b">
        <f ca="1"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R23" t="b">
        <f>IF(Metadata!C23="",FALSE,TRUE)</f>
        <v>0</v>
      </c>
      <c r="S23" t="b">
        <f>OR(AND(IF(Metadata!D23="",FALSE,TRUE),EXACT(Metadata!D23,"missing: not collected")),AND(IF(Metadata!D23="",FALSE,TRUE),OR(EXACT(Metadata!D23,"t"),EXACT(Metadata!D23,"f"))))</f>
        <v>0</v>
      </c>
      <c r="T23" t="b">
        <f>AND(IF(Metadata!E23="",FALSE,TRUE),OR(EXACT(Metadata!E23,"a"),EXACT(Metadata!E23,"b")))</f>
        <v>0</v>
      </c>
      <c r="U23" t="b">
        <f>OR(AND(IF(Metadata!F23="",FALSE,TRUE),OR(EXACT(Metadata!F23,"missing: not collected"),EXACT(Metadata!F23,"missing: not provided"))),AND(IF(Metadata!F23="",FALSE,TRUE),OR(EXACT(Metadata!F23,"lo"),EXACT(Metadata!F23,"med"),EXACT(Metadata!F23,"hi"))))</f>
        <v>0</v>
      </c>
    </row>
    <row r="24" spans="1:21" x14ac:dyDescent="0.2">
      <c r="A24" s="4" t="str">
        <f ca="1">IF(B24=" "," ",HYPERLINK(CONCATENATE("#metadata!",ADDRESS(INDEX($L$2:$L$1001,MATCH(ROWS($J$2:J24),$J$2:$J$1001,0),0),1)),INDEX($O$2:$O$1001,MATCH(ROWS($J$2:J24),$J$2:$J$1001,0),0)))</f>
        <v xml:space="preserve"> </v>
      </c>
      <c r="B24" s="3" t="str">
        <f ca="1">IF(OR(INDEX($K$2:$K$1001,MATCH(ROWS($J$2:J24),$J$2:$J$1001,0),1)&gt;=100000,INDEX($Q$1005:$U$1005,1,MATCH(COLUMNS($Q$1006:Q1006),$Q$1006:$U$1006,0))&gt;=100000), " ",IF(INDEX($Q$2:$U$1001,MATCH(ROWS($J$2:J24),$J$2:$J$1001,0),MATCH(COLUMNS($Q$1006:Q1006),$Q$1006:$U$1006,0)), HYPERLINK("#",""), HYPERLINK(CONCATENATE("#Metadata!", ADDRESS(INDEX($L$2:$L$1001,MATCH(ROWS($J$2:J24),$J$2:$J$1001,0),0), INDEX($Q$1004:$U$1004,1,MATCH(COLUMNS($Q$1006:Q1006),$Q$1006:$U$1006,0)))),"Fix")))</f>
        <v xml:space="preserve"> </v>
      </c>
      <c r="C24" s="3" t="str">
        <f ca="1">IF(OR(INDEX($K$2:$K$1001,MATCH(ROWS($J$2:J24),$J$2:$J$1001,0),1)&gt;=100000,INDEX($Q$1005:$U$1005,1,MATCH(COLUMNS($Q$1006:R1006),$Q$1006:$U$1006,0))&gt;=100000), " ",IF(INDEX($Q$2:$U$1001,MATCH(ROWS($J$2:J24),$J$2:$J$1001,0),MATCH(COLUMNS($Q$1006:R1006),$Q$1006:$U$1006,0)), HYPERLINK("#",""), HYPERLINK(CONCATENATE("#Metadata!", ADDRESS(INDEX($L$2:$L$1001,MATCH(ROWS($J$2:J24),$J$2:$J$1001,0),0), INDEX($Q$1004:$U$1004,1,MATCH(COLUMNS($Q$1006:R1006),$Q$1006:$U$1006,0)))),"Fix")))</f>
        <v xml:space="preserve"> </v>
      </c>
      <c r="D24" s="3" t="str">
        <f ca="1">IF(OR(INDEX($K$2:$K$1001,MATCH(ROWS($J$2:J24),$J$2:$J$1001,0),1)&gt;=100000,INDEX($Q$1005:$U$1005,1,MATCH(COLUMNS($Q$1006:S1006),$Q$1006:$U$1006,0))&gt;=100000), " ",IF(INDEX($Q$2:$U$1001,MATCH(ROWS($J$2:J24),$J$2:$J$1001,0),MATCH(COLUMNS($Q$1006:S1006),$Q$1006:$U$1006,0)), HYPERLINK("#",""), HYPERLINK(CONCATENATE("#Metadata!", ADDRESS(INDEX($L$2:$L$1001,MATCH(ROWS($J$2:J24),$J$2:$J$1001,0),0), INDEX($Q$1004:$U$1004,1,MATCH(COLUMNS($Q$1006:S1006),$Q$1006:$U$1006,0)))),"Fix")))</f>
        <v xml:space="preserve"> </v>
      </c>
      <c r="E24" s="3" t="str">
        <f ca="1">IF(OR(INDEX($K$2:$K$1001,MATCH(ROWS($J$2:J24),$J$2:$J$1001,0),1)&gt;=100000,INDEX($Q$1005:$U$1005,1,MATCH(COLUMNS($Q$1006:T1006),$Q$1006:$U$1006,0))&gt;=100000), " ",IF(INDEX($Q$2:$U$1001,MATCH(ROWS($J$2:J24),$J$2:$J$1001,0),MATCH(COLUMNS($Q$1006:T1006),$Q$1006:$U$1006,0)), HYPERLINK("#",""), HYPERLINK(CONCATENATE("#Metadata!", ADDRESS(INDEX($L$2:$L$1001,MATCH(ROWS($J$2:J24),$J$2:$J$1001,0),0), INDEX($Q$1004:$U$1004,1,MATCH(COLUMNS($Q$1006:T1006),$Q$1006:$U$1006,0)))),"Fix")))</f>
        <v xml:space="preserve"> </v>
      </c>
      <c r="F24" s="3" t="str">
        <f ca="1">IF(OR(INDEX($K$2:$K$1001,MATCH(ROWS($J$2:J24),$J$2:$J$1001,0),1)&gt;=100000,INDEX($Q$1005:$U$1005,1,MATCH(COLUMNS($Q$1006:U1006),$Q$1006:$U$1006,0))&gt;=100000), " ",IF(INDEX($Q$2:$U$1001,MATCH(ROWS($J$2:J24),$J$2:$J$1001,0),MATCH(COLUMNS($Q$1006:U1006),$Q$1006:$U$1006,0)), HYPERLINK("#",""), HYPERLINK(CONCATENATE("#Metadata!", ADDRESS(INDEX($L$2:$L$1001,MATCH(ROWS($J$2:J24),$J$2:$J$1001,0),0), INDEX($Q$1004:$U$1004,1,MATCH(COLUMNS($Q$1006:U1006),$Q$1006:$U$1006,0)))),"Fix")))</f>
        <v xml:space="preserve"> </v>
      </c>
      <c r="J24">
        <f ca="1"/>
        <v>23</v>
      </c>
      <c r="K24">
        <v>100024</v>
      </c>
      <c r="L24">
        <v>24</v>
      </c>
      <c r="M24" t="b">
        <f t="shared" si="0"/>
        <v>1</v>
      </c>
      <c r="N24" t="b">
        <f>COUNTBLANK(Metadata!B24:F24)=COLUMNS(Metadata!B24:F24)</f>
        <v>1</v>
      </c>
      <c r="O24" t="str">
        <v/>
      </c>
      <c r="Q24" t="b">
        <f ca="1"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R24" t="b">
        <f>IF(Metadata!C24="",FALSE,TRUE)</f>
        <v>0</v>
      </c>
      <c r="S24" t="b">
        <f>OR(AND(IF(Metadata!D24="",FALSE,TRUE),EXACT(Metadata!D24,"missing: not collected")),AND(IF(Metadata!D24="",FALSE,TRUE),OR(EXACT(Metadata!D24,"t"),EXACT(Metadata!D24,"f"))))</f>
        <v>0</v>
      </c>
      <c r="T24" t="b">
        <f>AND(IF(Metadata!E24="",FALSE,TRUE),OR(EXACT(Metadata!E24,"a"),EXACT(Metadata!E24,"b")))</f>
        <v>0</v>
      </c>
      <c r="U24" t="b">
        <f>OR(AND(IF(Metadata!F24="",FALSE,TRUE),OR(EXACT(Metadata!F24,"missing: not collected"),EXACT(Metadata!F24,"missing: not provided"))),AND(IF(Metadata!F24="",FALSE,TRUE),OR(EXACT(Metadata!F24,"lo"),EXACT(Metadata!F24,"med"),EXACT(Metadata!F24,"hi"))))</f>
        <v>0</v>
      </c>
    </row>
    <row r="25" spans="1:21" x14ac:dyDescent="0.2">
      <c r="A25" s="4" t="str">
        <f ca="1">IF(B25=" "," ",HYPERLINK(CONCATENATE("#metadata!",ADDRESS(INDEX($L$2:$L$1001,MATCH(ROWS($J$2:J25),$J$2:$J$1001,0),0),1)),INDEX($O$2:$O$1001,MATCH(ROWS($J$2:J25),$J$2:$J$1001,0),0)))</f>
        <v xml:space="preserve"> </v>
      </c>
      <c r="B25" s="3" t="str">
        <f ca="1">IF(OR(INDEX($K$2:$K$1001,MATCH(ROWS($J$2:J25),$J$2:$J$1001,0),1)&gt;=100000,INDEX($Q$1005:$U$1005,1,MATCH(COLUMNS($Q$1006:Q1006),$Q$1006:$U$1006,0))&gt;=100000), " ",IF(INDEX($Q$2:$U$1001,MATCH(ROWS($J$2:J25),$J$2:$J$1001,0),MATCH(COLUMNS($Q$1006:Q1006),$Q$1006:$U$1006,0)), HYPERLINK("#",""), HYPERLINK(CONCATENATE("#Metadata!", ADDRESS(INDEX($L$2:$L$1001,MATCH(ROWS($J$2:J25),$J$2:$J$1001,0),0), INDEX($Q$1004:$U$1004,1,MATCH(COLUMNS($Q$1006:Q1006),$Q$1006:$U$1006,0)))),"Fix")))</f>
        <v xml:space="preserve"> </v>
      </c>
      <c r="C25" s="3" t="str">
        <f ca="1">IF(OR(INDEX($K$2:$K$1001,MATCH(ROWS($J$2:J25),$J$2:$J$1001,0),1)&gt;=100000,INDEX($Q$1005:$U$1005,1,MATCH(COLUMNS($Q$1006:R1006),$Q$1006:$U$1006,0))&gt;=100000), " ",IF(INDEX($Q$2:$U$1001,MATCH(ROWS($J$2:J25),$J$2:$J$1001,0),MATCH(COLUMNS($Q$1006:R1006),$Q$1006:$U$1006,0)), HYPERLINK("#",""), HYPERLINK(CONCATENATE("#Metadata!", ADDRESS(INDEX($L$2:$L$1001,MATCH(ROWS($J$2:J25),$J$2:$J$1001,0),0), INDEX($Q$1004:$U$1004,1,MATCH(COLUMNS($Q$1006:R1006),$Q$1006:$U$1006,0)))),"Fix")))</f>
        <v xml:space="preserve"> </v>
      </c>
      <c r="D25" s="3" t="str">
        <f ca="1">IF(OR(INDEX($K$2:$K$1001,MATCH(ROWS($J$2:J25),$J$2:$J$1001,0),1)&gt;=100000,INDEX($Q$1005:$U$1005,1,MATCH(COLUMNS($Q$1006:S1006),$Q$1006:$U$1006,0))&gt;=100000), " ",IF(INDEX($Q$2:$U$1001,MATCH(ROWS($J$2:J25),$J$2:$J$1001,0),MATCH(COLUMNS($Q$1006:S1006),$Q$1006:$U$1006,0)), HYPERLINK("#",""), HYPERLINK(CONCATENATE("#Metadata!", ADDRESS(INDEX($L$2:$L$1001,MATCH(ROWS($J$2:J25),$J$2:$J$1001,0),0), INDEX($Q$1004:$U$1004,1,MATCH(COLUMNS($Q$1006:S1006),$Q$1006:$U$1006,0)))),"Fix")))</f>
        <v xml:space="preserve"> </v>
      </c>
      <c r="E25" s="3" t="str">
        <f ca="1">IF(OR(INDEX($K$2:$K$1001,MATCH(ROWS($J$2:J25),$J$2:$J$1001,0),1)&gt;=100000,INDEX($Q$1005:$U$1005,1,MATCH(COLUMNS($Q$1006:T1006),$Q$1006:$U$1006,0))&gt;=100000), " ",IF(INDEX($Q$2:$U$1001,MATCH(ROWS($J$2:J25),$J$2:$J$1001,0),MATCH(COLUMNS($Q$1006:T1006),$Q$1006:$U$1006,0)), HYPERLINK("#",""), HYPERLINK(CONCATENATE("#Metadata!", ADDRESS(INDEX($L$2:$L$1001,MATCH(ROWS($J$2:J25),$J$2:$J$1001,0),0), INDEX($Q$1004:$U$1004,1,MATCH(COLUMNS($Q$1006:T1006),$Q$1006:$U$1006,0)))),"Fix")))</f>
        <v xml:space="preserve"> </v>
      </c>
      <c r="F25" s="3" t="str">
        <f ca="1">IF(OR(INDEX($K$2:$K$1001,MATCH(ROWS($J$2:J25),$J$2:$J$1001,0),1)&gt;=100000,INDEX($Q$1005:$U$1005,1,MATCH(COLUMNS($Q$1006:U1006),$Q$1006:$U$1006,0))&gt;=100000), " ",IF(INDEX($Q$2:$U$1001,MATCH(ROWS($J$2:J25),$J$2:$J$1001,0),MATCH(COLUMNS($Q$1006:U1006),$Q$1006:$U$1006,0)), HYPERLINK("#",""), HYPERLINK(CONCATENATE("#Metadata!", ADDRESS(INDEX($L$2:$L$1001,MATCH(ROWS($J$2:J25),$J$2:$J$1001,0),0), INDEX($Q$1004:$U$1004,1,MATCH(COLUMNS($Q$1006:U1006),$Q$1006:$U$1006,0)))),"Fix")))</f>
        <v xml:space="preserve"> </v>
      </c>
      <c r="J25">
        <f ca="1"/>
        <v>24</v>
      </c>
      <c r="K25">
        <v>100025</v>
      </c>
      <c r="L25">
        <v>25</v>
      </c>
      <c r="M25" t="b">
        <f t="shared" si="0"/>
        <v>1</v>
      </c>
      <c r="N25" t="b">
        <f>COUNTBLANK(Metadata!B25:F25)=COLUMNS(Metadata!B25:F25)</f>
        <v>1</v>
      </c>
      <c r="O25" t="str">
        <v/>
      </c>
      <c r="Q25" t="b">
        <f ca="1"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R25" t="b">
        <f>IF(Metadata!C25="",FALSE,TRUE)</f>
        <v>0</v>
      </c>
      <c r="S25" t="b">
        <f>OR(AND(IF(Metadata!D25="",FALSE,TRUE),EXACT(Metadata!D25,"missing: not collected")),AND(IF(Metadata!D25="",FALSE,TRUE),OR(EXACT(Metadata!D25,"t"),EXACT(Metadata!D25,"f"))))</f>
        <v>0</v>
      </c>
      <c r="T25" t="b">
        <f>AND(IF(Metadata!E25="",FALSE,TRUE),OR(EXACT(Metadata!E25,"a"),EXACT(Metadata!E25,"b")))</f>
        <v>0</v>
      </c>
      <c r="U25" t="b">
        <f>OR(AND(IF(Metadata!F25="",FALSE,TRUE),OR(EXACT(Metadata!F25,"missing: not collected"),EXACT(Metadata!F25,"missing: not provided"))),AND(IF(Metadata!F25="",FALSE,TRUE),OR(EXACT(Metadata!F25,"lo"),EXACT(Metadata!F25,"med"),EXACT(Metadata!F25,"hi"))))</f>
        <v>0</v>
      </c>
    </row>
    <row r="26" spans="1:21" x14ac:dyDescent="0.2">
      <c r="A26" s="4" t="str">
        <f ca="1">IF(B26=" "," ",HYPERLINK(CONCATENATE("#metadata!",ADDRESS(INDEX($L$2:$L$1001,MATCH(ROWS($J$2:J26),$J$2:$J$1001,0),0),1)),INDEX($O$2:$O$1001,MATCH(ROWS($J$2:J26),$J$2:$J$1001,0),0)))</f>
        <v xml:space="preserve"> </v>
      </c>
      <c r="B26" s="3" t="str">
        <f ca="1">IF(OR(INDEX($K$2:$K$1001,MATCH(ROWS($J$2:J26),$J$2:$J$1001,0),1)&gt;=100000,INDEX($Q$1005:$U$1005,1,MATCH(COLUMNS($Q$1006:Q1006),$Q$1006:$U$1006,0))&gt;=100000), " ",IF(INDEX($Q$2:$U$1001,MATCH(ROWS($J$2:J26),$J$2:$J$1001,0),MATCH(COLUMNS($Q$1006:Q1006),$Q$1006:$U$1006,0)), HYPERLINK("#",""), HYPERLINK(CONCATENATE("#Metadata!", ADDRESS(INDEX($L$2:$L$1001,MATCH(ROWS($J$2:J26),$J$2:$J$1001,0),0), INDEX($Q$1004:$U$1004,1,MATCH(COLUMNS($Q$1006:Q1006),$Q$1006:$U$1006,0)))),"Fix")))</f>
        <v xml:space="preserve"> </v>
      </c>
      <c r="C26" s="3" t="str">
        <f ca="1">IF(OR(INDEX($K$2:$K$1001,MATCH(ROWS($J$2:J26),$J$2:$J$1001,0),1)&gt;=100000,INDEX($Q$1005:$U$1005,1,MATCH(COLUMNS($Q$1006:R1006),$Q$1006:$U$1006,0))&gt;=100000), " ",IF(INDEX($Q$2:$U$1001,MATCH(ROWS($J$2:J26),$J$2:$J$1001,0),MATCH(COLUMNS($Q$1006:R1006),$Q$1006:$U$1006,0)), HYPERLINK("#",""), HYPERLINK(CONCATENATE("#Metadata!", ADDRESS(INDEX($L$2:$L$1001,MATCH(ROWS($J$2:J26),$J$2:$J$1001,0),0), INDEX($Q$1004:$U$1004,1,MATCH(COLUMNS($Q$1006:R1006),$Q$1006:$U$1006,0)))),"Fix")))</f>
        <v xml:space="preserve"> </v>
      </c>
      <c r="D26" s="3" t="str">
        <f ca="1">IF(OR(INDEX($K$2:$K$1001,MATCH(ROWS($J$2:J26),$J$2:$J$1001,0),1)&gt;=100000,INDEX($Q$1005:$U$1005,1,MATCH(COLUMNS($Q$1006:S1006),$Q$1006:$U$1006,0))&gt;=100000), " ",IF(INDEX($Q$2:$U$1001,MATCH(ROWS($J$2:J26),$J$2:$J$1001,0),MATCH(COLUMNS($Q$1006:S1006),$Q$1006:$U$1006,0)), HYPERLINK("#",""), HYPERLINK(CONCATENATE("#Metadata!", ADDRESS(INDEX($L$2:$L$1001,MATCH(ROWS($J$2:J26),$J$2:$J$1001,0),0), INDEX($Q$1004:$U$1004,1,MATCH(COLUMNS($Q$1006:S1006),$Q$1006:$U$1006,0)))),"Fix")))</f>
        <v xml:space="preserve"> </v>
      </c>
      <c r="E26" s="3" t="str">
        <f ca="1">IF(OR(INDEX($K$2:$K$1001,MATCH(ROWS($J$2:J26),$J$2:$J$1001,0),1)&gt;=100000,INDEX($Q$1005:$U$1005,1,MATCH(COLUMNS($Q$1006:T1006),$Q$1006:$U$1006,0))&gt;=100000), " ",IF(INDEX($Q$2:$U$1001,MATCH(ROWS($J$2:J26),$J$2:$J$1001,0),MATCH(COLUMNS($Q$1006:T1006),$Q$1006:$U$1006,0)), HYPERLINK("#",""), HYPERLINK(CONCATENATE("#Metadata!", ADDRESS(INDEX($L$2:$L$1001,MATCH(ROWS($J$2:J26),$J$2:$J$1001,0),0), INDEX($Q$1004:$U$1004,1,MATCH(COLUMNS($Q$1006:T1006),$Q$1006:$U$1006,0)))),"Fix")))</f>
        <v xml:space="preserve"> </v>
      </c>
      <c r="F26" s="3" t="str">
        <f ca="1">IF(OR(INDEX($K$2:$K$1001,MATCH(ROWS($J$2:J26),$J$2:$J$1001,0),1)&gt;=100000,INDEX($Q$1005:$U$1005,1,MATCH(COLUMNS($Q$1006:U1006),$Q$1006:$U$1006,0))&gt;=100000), " ",IF(INDEX($Q$2:$U$1001,MATCH(ROWS($J$2:J26),$J$2:$J$1001,0),MATCH(COLUMNS($Q$1006:U1006),$Q$1006:$U$1006,0)), HYPERLINK("#",""), HYPERLINK(CONCATENATE("#Metadata!", ADDRESS(INDEX($L$2:$L$1001,MATCH(ROWS($J$2:J26),$J$2:$J$1001,0),0), INDEX($Q$1004:$U$1004,1,MATCH(COLUMNS($Q$1006:U1006),$Q$1006:$U$1006,0)))),"Fix")))</f>
        <v xml:space="preserve"> </v>
      </c>
      <c r="J26">
        <f ca="1"/>
        <v>25</v>
      </c>
      <c r="K26">
        <v>100026</v>
      </c>
      <c r="L26">
        <v>26</v>
      </c>
      <c r="M26" t="b">
        <f t="shared" si="0"/>
        <v>1</v>
      </c>
      <c r="N26" t="b">
        <f>COUNTBLANK(Metadata!B26:F26)=COLUMNS(Metadata!B26:F26)</f>
        <v>1</v>
      </c>
      <c r="O26" t="str">
        <v/>
      </c>
      <c r="Q26" t="b">
        <f ca="1"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R26" t="b">
        <f>IF(Metadata!C26="",FALSE,TRUE)</f>
        <v>0</v>
      </c>
      <c r="S26" t="b">
        <f>OR(AND(IF(Metadata!D26="",FALSE,TRUE),EXACT(Metadata!D26,"missing: not collected")),AND(IF(Metadata!D26="",FALSE,TRUE),OR(EXACT(Metadata!D26,"t"),EXACT(Metadata!D26,"f"))))</f>
        <v>0</v>
      </c>
      <c r="T26" t="b">
        <f>AND(IF(Metadata!E26="",FALSE,TRUE),OR(EXACT(Metadata!E26,"a"),EXACT(Metadata!E26,"b")))</f>
        <v>0</v>
      </c>
      <c r="U26" t="b">
        <f>OR(AND(IF(Metadata!F26="",FALSE,TRUE),OR(EXACT(Metadata!F26,"missing: not collected"),EXACT(Metadata!F26,"missing: not provided"))),AND(IF(Metadata!F26="",FALSE,TRUE),OR(EXACT(Metadata!F26,"lo"),EXACT(Metadata!F26,"med"),EXACT(Metadata!F26,"hi"))))</f>
        <v>0</v>
      </c>
    </row>
    <row r="27" spans="1:21" x14ac:dyDescent="0.2">
      <c r="A27" s="4" t="str">
        <f ca="1">IF(B27=" "," ",HYPERLINK(CONCATENATE("#metadata!",ADDRESS(INDEX($L$2:$L$1001,MATCH(ROWS($J$2:J27),$J$2:$J$1001,0),0),1)),INDEX($O$2:$O$1001,MATCH(ROWS($J$2:J27),$J$2:$J$1001,0),0)))</f>
        <v xml:space="preserve"> </v>
      </c>
      <c r="B27" s="3" t="str">
        <f ca="1">IF(OR(INDEX($K$2:$K$1001,MATCH(ROWS($J$2:J27),$J$2:$J$1001,0),1)&gt;=100000,INDEX($Q$1005:$U$1005,1,MATCH(COLUMNS($Q$1006:Q1006),$Q$1006:$U$1006,0))&gt;=100000), " ",IF(INDEX($Q$2:$U$1001,MATCH(ROWS($J$2:J27),$J$2:$J$1001,0),MATCH(COLUMNS($Q$1006:Q1006),$Q$1006:$U$1006,0)), HYPERLINK("#",""), HYPERLINK(CONCATENATE("#Metadata!", ADDRESS(INDEX($L$2:$L$1001,MATCH(ROWS($J$2:J27),$J$2:$J$1001,0),0), INDEX($Q$1004:$U$1004,1,MATCH(COLUMNS($Q$1006:Q1006),$Q$1006:$U$1006,0)))),"Fix")))</f>
        <v xml:space="preserve"> </v>
      </c>
      <c r="C27" s="3" t="str">
        <f ca="1">IF(OR(INDEX($K$2:$K$1001,MATCH(ROWS($J$2:J27),$J$2:$J$1001,0),1)&gt;=100000,INDEX($Q$1005:$U$1005,1,MATCH(COLUMNS($Q$1006:R1006),$Q$1006:$U$1006,0))&gt;=100000), " ",IF(INDEX($Q$2:$U$1001,MATCH(ROWS($J$2:J27),$J$2:$J$1001,0),MATCH(COLUMNS($Q$1006:R1006),$Q$1006:$U$1006,0)), HYPERLINK("#",""), HYPERLINK(CONCATENATE("#Metadata!", ADDRESS(INDEX($L$2:$L$1001,MATCH(ROWS($J$2:J27),$J$2:$J$1001,0),0), INDEX($Q$1004:$U$1004,1,MATCH(COLUMNS($Q$1006:R1006),$Q$1006:$U$1006,0)))),"Fix")))</f>
        <v xml:space="preserve"> </v>
      </c>
      <c r="D27" s="3" t="str">
        <f ca="1">IF(OR(INDEX($K$2:$K$1001,MATCH(ROWS($J$2:J27),$J$2:$J$1001,0),1)&gt;=100000,INDEX($Q$1005:$U$1005,1,MATCH(COLUMNS($Q$1006:S1006),$Q$1006:$U$1006,0))&gt;=100000), " ",IF(INDEX($Q$2:$U$1001,MATCH(ROWS($J$2:J27),$J$2:$J$1001,0),MATCH(COLUMNS($Q$1006:S1006),$Q$1006:$U$1006,0)), HYPERLINK("#",""), HYPERLINK(CONCATENATE("#Metadata!", ADDRESS(INDEX($L$2:$L$1001,MATCH(ROWS($J$2:J27),$J$2:$J$1001,0),0), INDEX($Q$1004:$U$1004,1,MATCH(COLUMNS($Q$1006:S1006),$Q$1006:$U$1006,0)))),"Fix")))</f>
        <v xml:space="preserve"> </v>
      </c>
      <c r="E27" s="3" t="str">
        <f ca="1">IF(OR(INDEX($K$2:$K$1001,MATCH(ROWS($J$2:J27),$J$2:$J$1001,0),1)&gt;=100000,INDEX($Q$1005:$U$1005,1,MATCH(COLUMNS($Q$1006:T1006),$Q$1006:$U$1006,0))&gt;=100000), " ",IF(INDEX($Q$2:$U$1001,MATCH(ROWS($J$2:J27),$J$2:$J$1001,0),MATCH(COLUMNS($Q$1006:T1006),$Q$1006:$U$1006,0)), HYPERLINK("#",""), HYPERLINK(CONCATENATE("#Metadata!", ADDRESS(INDEX($L$2:$L$1001,MATCH(ROWS($J$2:J27),$J$2:$J$1001,0),0), INDEX($Q$1004:$U$1004,1,MATCH(COLUMNS($Q$1006:T1006),$Q$1006:$U$1006,0)))),"Fix")))</f>
        <v xml:space="preserve"> </v>
      </c>
      <c r="F27" s="3" t="str">
        <f ca="1">IF(OR(INDEX($K$2:$K$1001,MATCH(ROWS($J$2:J27),$J$2:$J$1001,0),1)&gt;=100000,INDEX($Q$1005:$U$1005,1,MATCH(COLUMNS($Q$1006:U1006),$Q$1006:$U$1006,0))&gt;=100000), " ",IF(INDEX($Q$2:$U$1001,MATCH(ROWS($J$2:J27),$J$2:$J$1001,0),MATCH(COLUMNS($Q$1006:U1006),$Q$1006:$U$1006,0)), HYPERLINK("#",""), HYPERLINK(CONCATENATE("#Metadata!", ADDRESS(INDEX($L$2:$L$1001,MATCH(ROWS($J$2:J27),$J$2:$J$1001,0),0), INDEX($Q$1004:$U$1004,1,MATCH(COLUMNS($Q$1006:U1006),$Q$1006:$U$1006,0)))),"Fix")))</f>
        <v xml:space="preserve"> </v>
      </c>
      <c r="J27">
        <f ca="1"/>
        <v>26</v>
      </c>
      <c r="K27">
        <v>100027</v>
      </c>
      <c r="L27">
        <v>27</v>
      </c>
      <c r="M27" t="b">
        <f t="shared" si="0"/>
        <v>1</v>
      </c>
      <c r="N27" t="b">
        <f>COUNTBLANK(Metadata!B27:F27)=COLUMNS(Metadata!B27:F27)</f>
        <v>1</v>
      </c>
      <c r="O27" t="str">
        <v/>
      </c>
      <c r="Q27" t="b">
        <f ca="1"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R27" t="b">
        <f>IF(Metadata!C27="",FALSE,TRUE)</f>
        <v>0</v>
      </c>
      <c r="S27" t="b">
        <f>OR(AND(IF(Metadata!D27="",FALSE,TRUE),EXACT(Metadata!D27,"missing: not collected")),AND(IF(Metadata!D27="",FALSE,TRUE),OR(EXACT(Metadata!D27,"t"),EXACT(Metadata!D27,"f"))))</f>
        <v>0</v>
      </c>
      <c r="T27" t="b">
        <f>AND(IF(Metadata!E27="",FALSE,TRUE),OR(EXACT(Metadata!E27,"a"),EXACT(Metadata!E27,"b")))</f>
        <v>0</v>
      </c>
      <c r="U27" t="b">
        <f>OR(AND(IF(Metadata!F27="",FALSE,TRUE),OR(EXACT(Metadata!F27,"missing: not collected"),EXACT(Metadata!F27,"missing: not provided"))),AND(IF(Metadata!F27="",FALSE,TRUE),OR(EXACT(Metadata!F27,"lo"),EXACT(Metadata!F27,"med"),EXACT(Metadata!F27,"hi"))))</f>
        <v>0</v>
      </c>
    </row>
    <row r="28" spans="1:21" x14ac:dyDescent="0.2">
      <c r="A28" s="4" t="str">
        <f ca="1">IF(B28=" "," ",HYPERLINK(CONCATENATE("#metadata!",ADDRESS(INDEX($L$2:$L$1001,MATCH(ROWS($J$2:J28),$J$2:$J$1001,0),0),1)),INDEX($O$2:$O$1001,MATCH(ROWS($J$2:J28),$J$2:$J$1001,0),0)))</f>
        <v xml:space="preserve"> </v>
      </c>
      <c r="B28" s="3" t="str">
        <f ca="1">IF(OR(INDEX($K$2:$K$1001,MATCH(ROWS($J$2:J28),$J$2:$J$1001,0),1)&gt;=100000,INDEX($Q$1005:$U$1005,1,MATCH(COLUMNS($Q$1006:Q1006),$Q$1006:$U$1006,0))&gt;=100000), " ",IF(INDEX($Q$2:$U$1001,MATCH(ROWS($J$2:J28),$J$2:$J$1001,0),MATCH(COLUMNS($Q$1006:Q1006),$Q$1006:$U$1006,0)), HYPERLINK("#",""), HYPERLINK(CONCATENATE("#Metadata!", ADDRESS(INDEX($L$2:$L$1001,MATCH(ROWS($J$2:J28),$J$2:$J$1001,0),0), INDEX($Q$1004:$U$1004,1,MATCH(COLUMNS($Q$1006:Q1006),$Q$1006:$U$1006,0)))),"Fix")))</f>
        <v xml:space="preserve"> </v>
      </c>
      <c r="C28" s="3" t="str">
        <f ca="1">IF(OR(INDEX($K$2:$K$1001,MATCH(ROWS($J$2:J28),$J$2:$J$1001,0),1)&gt;=100000,INDEX($Q$1005:$U$1005,1,MATCH(COLUMNS($Q$1006:R1006),$Q$1006:$U$1006,0))&gt;=100000), " ",IF(INDEX($Q$2:$U$1001,MATCH(ROWS($J$2:J28),$J$2:$J$1001,0),MATCH(COLUMNS($Q$1006:R1006),$Q$1006:$U$1006,0)), HYPERLINK("#",""), HYPERLINK(CONCATENATE("#Metadata!", ADDRESS(INDEX($L$2:$L$1001,MATCH(ROWS($J$2:J28),$J$2:$J$1001,0),0), INDEX($Q$1004:$U$1004,1,MATCH(COLUMNS($Q$1006:R1006),$Q$1006:$U$1006,0)))),"Fix")))</f>
        <v xml:space="preserve"> </v>
      </c>
      <c r="D28" s="3" t="str">
        <f ca="1">IF(OR(INDEX($K$2:$K$1001,MATCH(ROWS($J$2:J28),$J$2:$J$1001,0),1)&gt;=100000,INDEX($Q$1005:$U$1005,1,MATCH(COLUMNS($Q$1006:S1006),$Q$1006:$U$1006,0))&gt;=100000), " ",IF(INDEX($Q$2:$U$1001,MATCH(ROWS($J$2:J28),$J$2:$J$1001,0),MATCH(COLUMNS($Q$1006:S1006),$Q$1006:$U$1006,0)), HYPERLINK("#",""), HYPERLINK(CONCATENATE("#Metadata!", ADDRESS(INDEX($L$2:$L$1001,MATCH(ROWS($J$2:J28),$J$2:$J$1001,0),0), INDEX($Q$1004:$U$1004,1,MATCH(COLUMNS($Q$1006:S1006),$Q$1006:$U$1006,0)))),"Fix")))</f>
        <v xml:space="preserve"> </v>
      </c>
      <c r="E28" s="3" t="str">
        <f ca="1">IF(OR(INDEX($K$2:$K$1001,MATCH(ROWS($J$2:J28),$J$2:$J$1001,0),1)&gt;=100000,INDEX($Q$1005:$U$1005,1,MATCH(COLUMNS($Q$1006:T1006),$Q$1006:$U$1006,0))&gt;=100000), " ",IF(INDEX($Q$2:$U$1001,MATCH(ROWS($J$2:J28),$J$2:$J$1001,0),MATCH(COLUMNS($Q$1006:T1006),$Q$1006:$U$1006,0)), HYPERLINK("#",""), HYPERLINK(CONCATENATE("#Metadata!", ADDRESS(INDEX($L$2:$L$1001,MATCH(ROWS($J$2:J28),$J$2:$J$1001,0),0), INDEX($Q$1004:$U$1004,1,MATCH(COLUMNS($Q$1006:T1006),$Q$1006:$U$1006,0)))),"Fix")))</f>
        <v xml:space="preserve"> </v>
      </c>
      <c r="F28" s="3" t="str">
        <f ca="1">IF(OR(INDEX($K$2:$K$1001,MATCH(ROWS($J$2:J28),$J$2:$J$1001,0),1)&gt;=100000,INDEX($Q$1005:$U$1005,1,MATCH(COLUMNS($Q$1006:U1006),$Q$1006:$U$1006,0))&gt;=100000), " ",IF(INDEX($Q$2:$U$1001,MATCH(ROWS($J$2:J28),$J$2:$J$1001,0),MATCH(COLUMNS($Q$1006:U1006),$Q$1006:$U$1006,0)), HYPERLINK("#",""), HYPERLINK(CONCATENATE("#Metadata!", ADDRESS(INDEX($L$2:$L$1001,MATCH(ROWS($J$2:J28),$J$2:$J$1001,0),0), INDEX($Q$1004:$U$1004,1,MATCH(COLUMNS($Q$1006:U1006),$Q$1006:$U$1006,0)))),"Fix")))</f>
        <v xml:space="preserve"> </v>
      </c>
      <c r="J28">
        <f ca="1"/>
        <v>27</v>
      </c>
      <c r="K28">
        <v>100028</v>
      </c>
      <c r="L28">
        <v>28</v>
      </c>
      <c r="M28" t="b">
        <f t="shared" si="0"/>
        <v>1</v>
      </c>
      <c r="N28" t="b">
        <f>COUNTBLANK(Metadata!B28:F28)=COLUMNS(Metadata!B28:F28)</f>
        <v>1</v>
      </c>
      <c r="O28" t="str">
        <v/>
      </c>
      <c r="Q28" t="b">
        <f ca="1"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R28" t="b">
        <f>IF(Metadata!C28="",FALSE,TRUE)</f>
        <v>0</v>
      </c>
      <c r="S28" t="b">
        <f>OR(AND(IF(Metadata!D28="",FALSE,TRUE),EXACT(Metadata!D28,"missing: not collected")),AND(IF(Metadata!D28="",FALSE,TRUE),OR(EXACT(Metadata!D28,"t"),EXACT(Metadata!D28,"f"))))</f>
        <v>0</v>
      </c>
      <c r="T28" t="b">
        <f>AND(IF(Metadata!E28="",FALSE,TRUE),OR(EXACT(Metadata!E28,"a"),EXACT(Metadata!E28,"b")))</f>
        <v>0</v>
      </c>
      <c r="U28" t="b">
        <f>OR(AND(IF(Metadata!F28="",FALSE,TRUE),OR(EXACT(Metadata!F28,"missing: not collected"),EXACT(Metadata!F28,"missing: not provided"))),AND(IF(Metadata!F28="",FALSE,TRUE),OR(EXACT(Metadata!F28,"lo"),EXACT(Metadata!F28,"med"),EXACT(Metadata!F28,"hi"))))</f>
        <v>0</v>
      </c>
    </row>
    <row r="29" spans="1:21" x14ac:dyDescent="0.2">
      <c r="A29" s="4" t="str">
        <f ca="1">IF(B29=" "," ",HYPERLINK(CONCATENATE("#metadata!",ADDRESS(INDEX($L$2:$L$1001,MATCH(ROWS($J$2:J29),$J$2:$J$1001,0),0),1)),INDEX($O$2:$O$1001,MATCH(ROWS($J$2:J29),$J$2:$J$1001,0),0)))</f>
        <v xml:space="preserve"> </v>
      </c>
      <c r="B29" s="3" t="str">
        <f ca="1">IF(OR(INDEX($K$2:$K$1001,MATCH(ROWS($J$2:J29),$J$2:$J$1001,0),1)&gt;=100000,INDEX($Q$1005:$U$1005,1,MATCH(COLUMNS($Q$1006:Q1006),$Q$1006:$U$1006,0))&gt;=100000), " ",IF(INDEX($Q$2:$U$1001,MATCH(ROWS($J$2:J29),$J$2:$J$1001,0),MATCH(COLUMNS($Q$1006:Q1006),$Q$1006:$U$1006,0)), HYPERLINK("#",""), HYPERLINK(CONCATENATE("#Metadata!", ADDRESS(INDEX($L$2:$L$1001,MATCH(ROWS($J$2:J29),$J$2:$J$1001,0),0), INDEX($Q$1004:$U$1004,1,MATCH(COLUMNS($Q$1006:Q1006),$Q$1006:$U$1006,0)))),"Fix")))</f>
        <v xml:space="preserve"> </v>
      </c>
      <c r="C29" s="3" t="str">
        <f ca="1">IF(OR(INDEX($K$2:$K$1001,MATCH(ROWS($J$2:J29),$J$2:$J$1001,0),1)&gt;=100000,INDEX($Q$1005:$U$1005,1,MATCH(COLUMNS($Q$1006:R1006),$Q$1006:$U$1006,0))&gt;=100000), " ",IF(INDEX($Q$2:$U$1001,MATCH(ROWS($J$2:J29),$J$2:$J$1001,0),MATCH(COLUMNS($Q$1006:R1006),$Q$1006:$U$1006,0)), HYPERLINK("#",""), HYPERLINK(CONCATENATE("#Metadata!", ADDRESS(INDEX($L$2:$L$1001,MATCH(ROWS($J$2:J29),$J$2:$J$1001,0),0), INDEX($Q$1004:$U$1004,1,MATCH(COLUMNS($Q$1006:R1006),$Q$1006:$U$1006,0)))),"Fix")))</f>
        <v xml:space="preserve"> </v>
      </c>
      <c r="D29" s="3" t="str">
        <f ca="1">IF(OR(INDEX($K$2:$K$1001,MATCH(ROWS($J$2:J29),$J$2:$J$1001,0),1)&gt;=100000,INDEX($Q$1005:$U$1005,1,MATCH(COLUMNS($Q$1006:S1006),$Q$1006:$U$1006,0))&gt;=100000), " ",IF(INDEX($Q$2:$U$1001,MATCH(ROWS($J$2:J29),$J$2:$J$1001,0),MATCH(COLUMNS($Q$1006:S1006),$Q$1006:$U$1006,0)), HYPERLINK("#",""), HYPERLINK(CONCATENATE("#Metadata!", ADDRESS(INDEX($L$2:$L$1001,MATCH(ROWS($J$2:J29),$J$2:$J$1001,0),0), INDEX($Q$1004:$U$1004,1,MATCH(COLUMNS($Q$1006:S1006),$Q$1006:$U$1006,0)))),"Fix")))</f>
        <v xml:space="preserve"> </v>
      </c>
      <c r="E29" s="3" t="str">
        <f ca="1">IF(OR(INDEX($K$2:$K$1001,MATCH(ROWS($J$2:J29),$J$2:$J$1001,0),1)&gt;=100000,INDEX($Q$1005:$U$1005,1,MATCH(COLUMNS($Q$1006:T1006),$Q$1006:$U$1006,0))&gt;=100000), " ",IF(INDEX($Q$2:$U$1001,MATCH(ROWS($J$2:J29),$J$2:$J$1001,0),MATCH(COLUMNS($Q$1006:T1006),$Q$1006:$U$1006,0)), HYPERLINK("#",""), HYPERLINK(CONCATENATE("#Metadata!", ADDRESS(INDEX($L$2:$L$1001,MATCH(ROWS($J$2:J29),$J$2:$J$1001,0),0), INDEX($Q$1004:$U$1004,1,MATCH(COLUMNS($Q$1006:T1006),$Q$1006:$U$1006,0)))),"Fix")))</f>
        <v xml:space="preserve"> </v>
      </c>
      <c r="F29" s="3" t="str">
        <f ca="1">IF(OR(INDEX($K$2:$K$1001,MATCH(ROWS($J$2:J29),$J$2:$J$1001,0),1)&gt;=100000,INDEX($Q$1005:$U$1005,1,MATCH(COLUMNS($Q$1006:U1006),$Q$1006:$U$1006,0))&gt;=100000), " ",IF(INDEX($Q$2:$U$1001,MATCH(ROWS($J$2:J29),$J$2:$J$1001,0),MATCH(COLUMNS($Q$1006:U1006),$Q$1006:$U$1006,0)), HYPERLINK("#",""), HYPERLINK(CONCATENATE("#Metadata!", ADDRESS(INDEX($L$2:$L$1001,MATCH(ROWS($J$2:J29),$J$2:$J$1001,0),0), INDEX($Q$1004:$U$1004,1,MATCH(COLUMNS($Q$1006:U1006),$Q$1006:$U$1006,0)))),"Fix")))</f>
        <v xml:space="preserve"> </v>
      </c>
      <c r="J29">
        <f ca="1"/>
        <v>28</v>
      </c>
      <c r="K29">
        <v>100029</v>
      </c>
      <c r="L29">
        <v>29</v>
      </c>
      <c r="M29" t="b">
        <f t="shared" si="0"/>
        <v>1</v>
      </c>
      <c r="N29" t="b">
        <f>COUNTBLANK(Metadata!B29:F29)=COLUMNS(Metadata!B29:F29)</f>
        <v>1</v>
      </c>
      <c r="O29" t="str">
        <v/>
      </c>
      <c r="Q29" t="b">
        <f ca="1"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R29" t="b">
        <f>IF(Metadata!C29="",FALSE,TRUE)</f>
        <v>0</v>
      </c>
      <c r="S29" t="b">
        <f>OR(AND(IF(Metadata!D29="",FALSE,TRUE),EXACT(Metadata!D29,"missing: not collected")),AND(IF(Metadata!D29="",FALSE,TRUE),OR(EXACT(Metadata!D29,"t"),EXACT(Metadata!D29,"f"))))</f>
        <v>0</v>
      </c>
      <c r="T29" t="b">
        <f>AND(IF(Metadata!E29="",FALSE,TRUE),OR(EXACT(Metadata!E29,"a"),EXACT(Metadata!E29,"b")))</f>
        <v>0</v>
      </c>
      <c r="U29" t="b">
        <f>OR(AND(IF(Metadata!F29="",FALSE,TRUE),OR(EXACT(Metadata!F29,"missing: not collected"),EXACT(Metadata!F29,"missing: not provided"))),AND(IF(Metadata!F29="",FALSE,TRUE),OR(EXACT(Metadata!F29,"lo"),EXACT(Metadata!F29,"med"),EXACT(Metadata!F29,"hi"))))</f>
        <v>0</v>
      </c>
    </row>
    <row r="30" spans="1:21" x14ac:dyDescent="0.2">
      <c r="A30" s="4" t="str">
        <f ca="1">IF(B30=" "," ",HYPERLINK(CONCATENATE("#metadata!",ADDRESS(INDEX($L$2:$L$1001,MATCH(ROWS($J$2:J30),$J$2:$J$1001,0),0),1)),INDEX($O$2:$O$1001,MATCH(ROWS($J$2:J30),$J$2:$J$1001,0),0)))</f>
        <v xml:space="preserve"> </v>
      </c>
      <c r="B30" s="3" t="str">
        <f ca="1">IF(OR(INDEX($K$2:$K$1001,MATCH(ROWS($J$2:J30),$J$2:$J$1001,0),1)&gt;=100000,INDEX($Q$1005:$U$1005,1,MATCH(COLUMNS($Q$1006:Q1006),$Q$1006:$U$1006,0))&gt;=100000), " ",IF(INDEX($Q$2:$U$1001,MATCH(ROWS($J$2:J30),$J$2:$J$1001,0),MATCH(COLUMNS($Q$1006:Q1006),$Q$1006:$U$1006,0)), HYPERLINK("#",""), HYPERLINK(CONCATENATE("#Metadata!", ADDRESS(INDEX($L$2:$L$1001,MATCH(ROWS($J$2:J30),$J$2:$J$1001,0),0), INDEX($Q$1004:$U$1004,1,MATCH(COLUMNS($Q$1006:Q1006),$Q$1006:$U$1006,0)))),"Fix")))</f>
        <v xml:space="preserve"> </v>
      </c>
      <c r="C30" s="3" t="str">
        <f ca="1">IF(OR(INDEX($K$2:$K$1001,MATCH(ROWS($J$2:J30),$J$2:$J$1001,0),1)&gt;=100000,INDEX($Q$1005:$U$1005,1,MATCH(COLUMNS($Q$1006:R1006),$Q$1006:$U$1006,0))&gt;=100000), " ",IF(INDEX($Q$2:$U$1001,MATCH(ROWS($J$2:J30),$J$2:$J$1001,0),MATCH(COLUMNS($Q$1006:R1006),$Q$1006:$U$1006,0)), HYPERLINK("#",""), HYPERLINK(CONCATENATE("#Metadata!", ADDRESS(INDEX($L$2:$L$1001,MATCH(ROWS($J$2:J30),$J$2:$J$1001,0),0), INDEX($Q$1004:$U$1004,1,MATCH(COLUMNS($Q$1006:R1006),$Q$1006:$U$1006,0)))),"Fix")))</f>
        <v xml:space="preserve"> </v>
      </c>
      <c r="D30" s="3" t="str">
        <f ca="1">IF(OR(INDEX($K$2:$K$1001,MATCH(ROWS($J$2:J30),$J$2:$J$1001,0),1)&gt;=100000,INDEX($Q$1005:$U$1005,1,MATCH(COLUMNS($Q$1006:S1006),$Q$1006:$U$1006,0))&gt;=100000), " ",IF(INDEX($Q$2:$U$1001,MATCH(ROWS($J$2:J30),$J$2:$J$1001,0),MATCH(COLUMNS($Q$1006:S1006),$Q$1006:$U$1006,0)), HYPERLINK("#",""), HYPERLINK(CONCATENATE("#Metadata!", ADDRESS(INDEX($L$2:$L$1001,MATCH(ROWS($J$2:J30),$J$2:$J$1001,0),0), INDEX($Q$1004:$U$1004,1,MATCH(COLUMNS($Q$1006:S1006),$Q$1006:$U$1006,0)))),"Fix")))</f>
        <v xml:space="preserve"> </v>
      </c>
      <c r="E30" s="3" t="str">
        <f ca="1">IF(OR(INDEX($K$2:$K$1001,MATCH(ROWS($J$2:J30),$J$2:$J$1001,0),1)&gt;=100000,INDEX($Q$1005:$U$1005,1,MATCH(COLUMNS($Q$1006:T1006),$Q$1006:$U$1006,0))&gt;=100000), " ",IF(INDEX($Q$2:$U$1001,MATCH(ROWS($J$2:J30),$J$2:$J$1001,0),MATCH(COLUMNS($Q$1006:T1006),$Q$1006:$U$1006,0)), HYPERLINK("#",""), HYPERLINK(CONCATENATE("#Metadata!", ADDRESS(INDEX($L$2:$L$1001,MATCH(ROWS($J$2:J30),$J$2:$J$1001,0),0), INDEX($Q$1004:$U$1004,1,MATCH(COLUMNS($Q$1006:T1006),$Q$1006:$U$1006,0)))),"Fix")))</f>
        <v xml:space="preserve"> </v>
      </c>
      <c r="F30" s="3" t="str">
        <f ca="1">IF(OR(INDEX($K$2:$K$1001,MATCH(ROWS($J$2:J30),$J$2:$J$1001,0),1)&gt;=100000,INDEX($Q$1005:$U$1005,1,MATCH(COLUMNS($Q$1006:U1006),$Q$1006:$U$1006,0))&gt;=100000), " ",IF(INDEX($Q$2:$U$1001,MATCH(ROWS($J$2:J30),$J$2:$J$1001,0),MATCH(COLUMNS($Q$1006:U1006),$Q$1006:$U$1006,0)), HYPERLINK("#",""), HYPERLINK(CONCATENATE("#Metadata!", ADDRESS(INDEX($L$2:$L$1001,MATCH(ROWS($J$2:J30),$J$2:$J$1001,0),0), INDEX($Q$1004:$U$1004,1,MATCH(COLUMNS($Q$1006:U1006),$Q$1006:$U$1006,0)))),"Fix")))</f>
        <v xml:space="preserve"> </v>
      </c>
      <c r="J30">
        <f ca="1"/>
        <v>29</v>
      </c>
      <c r="K30">
        <v>100030</v>
      </c>
      <c r="L30">
        <v>30</v>
      </c>
      <c r="M30" t="b">
        <f t="shared" si="0"/>
        <v>1</v>
      </c>
      <c r="N30" t="b">
        <f>COUNTBLANK(Metadata!B30:F30)=COLUMNS(Metadata!B30:F30)</f>
        <v>1</v>
      </c>
      <c r="O30" t="str">
        <v/>
      </c>
      <c r="Q30" t="b">
        <f ca="1"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R30" t="b">
        <f>IF(Metadata!C30="",FALSE,TRUE)</f>
        <v>0</v>
      </c>
      <c r="S30" t="b">
        <f>OR(AND(IF(Metadata!D30="",FALSE,TRUE),EXACT(Metadata!D30,"missing: not collected")),AND(IF(Metadata!D30="",FALSE,TRUE),OR(EXACT(Metadata!D30,"t"),EXACT(Metadata!D30,"f"))))</f>
        <v>0</v>
      </c>
      <c r="T30" t="b">
        <f>AND(IF(Metadata!E30="",FALSE,TRUE),OR(EXACT(Metadata!E30,"a"),EXACT(Metadata!E30,"b")))</f>
        <v>0</v>
      </c>
      <c r="U30" t="b">
        <f>OR(AND(IF(Metadata!F30="",FALSE,TRUE),OR(EXACT(Metadata!F30,"missing: not collected"),EXACT(Metadata!F30,"missing: not provided"))),AND(IF(Metadata!F30="",FALSE,TRUE),OR(EXACT(Metadata!F30,"lo"),EXACT(Metadata!F30,"med"),EXACT(Metadata!F30,"hi"))))</f>
        <v>0</v>
      </c>
    </row>
    <row r="31" spans="1:21" x14ac:dyDescent="0.2">
      <c r="A31" s="4" t="str">
        <f ca="1">IF(B31=" "," ",HYPERLINK(CONCATENATE("#metadata!",ADDRESS(INDEX($L$2:$L$1001,MATCH(ROWS($J$2:J31),$J$2:$J$1001,0),0),1)),INDEX($O$2:$O$1001,MATCH(ROWS($J$2:J31),$J$2:$J$1001,0),0)))</f>
        <v xml:space="preserve"> </v>
      </c>
      <c r="B31" s="3" t="str">
        <f ca="1">IF(OR(INDEX($K$2:$K$1001,MATCH(ROWS($J$2:J31),$J$2:$J$1001,0),1)&gt;=100000,INDEX($Q$1005:$U$1005,1,MATCH(COLUMNS($Q$1006:Q1006),$Q$1006:$U$1006,0))&gt;=100000), " ",IF(INDEX($Q$2:$U$1001,MATCH(ROWS($J$2:J31),$J$2:$J$1001,0),MATCH(COLUMNS($Q$1006:Q1006),$Q$1006:$U$1006,0)), HYPERLINK("#",""), HYPERLINK(CONCATENATE("#Metadata!", ADDRESS(INDEX($L$2:$L$1001,MATCH(ROWS($J$2:J31),$J$2:$J$1001,0),0), INDEX($Q$1004:$U$1004,1,MATCH(COLUMNS($Q$1006:Q1006),$Q$1006:$U$1006,0)))),"Fix")))</f>
        <v xml:space="preserve"> </v>
      </c>
      <c r="C31" s="3" t="str">
        <f ca="1">IF(OR(INDEX($K$2:$K$1001,MATCH(ROWS($J$2:J31),$J$2:$J$1001,0),1)&gt;=100000,INDEX($Q$1005:$U$1005,1,MATCH(COLUMNS($Q$1006:R1006),$Q$1006:$U$1006,0))&gt;=100000), " ",IF(INDEX($Q$2:$U$1001,MATCH(ROWS($J$2:J31),$J$2:$J$1001,0),MATCH(COLUMNS($Q$1006:R1006),$Q$1006:$U$1006,0)), HYPERLINK("#",""), HYPERLINK(CONCATENATE("#Metadata!", ADDRESS(INDEX($L$2:$L$1001,MATCH(ROWS($J$2:J31),$J$2:$J$1001,0),0), INDEX($Q$1004:$U$1004,1,MATCH(COLUMNS($Q$1006:R1006),$Q$1006:$U$1006,0)))),"Fix")))</f>
        <v xml:space="preserve"> </v>
      </c>
      <c r="D31" s="3" t="str">
        <f ca="1">IF(OR(INDEX($K$2:$K$1001,MATCH(ROWS($J$2:J31),$J$2:$J$1001,0),1)&gt;=100000,INDEX($Q$1005:$U$1005,1,MATCH(COLUMNS($Q$1006:S1006),$Q$1006:$U$1006,0))&gt;=100000), " ",IF(INDEX($Q$2:$U$1001,MATCH(ROWS($J$2:J31),$J$2:$J$1001,0),MATCH(COLUMNS($Q$1006:S1006),$Q$1006:$U$1006,0)), HYPERLINK("#",""), HYPERLINK(CONCATENATE("#Metadata!", ADDRESS(INDEX($L$2:$L$1001,MATCH(ROWS($J$2:J31),$J$2:$J$1001,0),0), INDEX($Q$1004:$U$1004,1,MATCH(COLUMNS($Q$1006:S1006),$Q$1006:$U$1006,0)))),"Fix")))</f>
        <v xml:space="preserve"> </v>
      </c>
      <c r="E31" s="3" t="str">
        <f ca="1">IF(OR(INDEX($K$2:$K$1001,MATCH(ROWS($J$2:J31),$J$2:$J$1001,0),1)&gt;=100000,INDEX($Q$1005:$U$1005,1,MATCH(COLUMNS($Q$1006:T1006),$Q$1006:$U$1006,0))&gt;=100000), " ",IF(INDEX($Q$2:$U$1001,MATCH(ROWS($J$2:J31),$J$2:$J$1001,0),MATCH(COLUMNS($Q$1006:T1006),$Q$1006:$U$1006,0)), HYPERLINK("#",""), HYPERLINK(CONCATENATE("#Metadata!", ADDRESS(INDEX($L$2:$L$1001,MATCH(ROWS($J$2:J31),$J$2:$J$1001,0),0), INDEX($Q$1004:$U$1004,1,MATCH(COLUMNS($Q$1006:T1006),$Q$1006:$U$1006,0)))),"Fix")))</f>
        <v xml:space="preserve"> </v>
      </c>
      <c r="F31" s="3" t="str">
        <f ca="1">IF(OR(INDEX($K$2:$K$1001,MATCH(ROWS($J$2:J31),$J$2:$J$1001,0),1)&gt;=100000,INDEX($Q$1005:$U$1005,1,MATCH(COLUMNS($Q$1006:U1006),$Q$1006:$U$1006,0))&gt;=100000), " ",IF(INDEX($Q$2:$U$1001,MATCH(ROWS($J$2:J31),$J$2:$J$1001,0),MATCH(COLUMNS($Q$1006:U1006),$Q$1006:$U$1006,0)), HYPERLINK("#",""), HYPERLINK(CONCATENATE("#Metadata!", ADDRESS(INDEX($L$2:$L$1001,MATCH(ROWS($J$2:J31),$J$2:$J$1001,0),0), INDEX($Q$1004:$U$1004,1,MATCH(COLUMNS($Q$1006:U1006),$Q$1006:$U$1006,0)))),"Fix")))</f>
        <v xml:space="preserve"> </v>
      </c>
      <c r="J31">
        <f ca="1"/>
        <v>30</v>
      </c>
      <c r="K31">
        <v>100031</v>
      </c>
      <c r="L31">
        <v>31</v>
      </c>
      <c r="M31" t="b">
        <f t="shared" si="0"/>
        <v>1</v>
      </c>
      <c r="N31" t="b">
        <f>COUNTBLANK(Metadata!B31:F31)=COLUMNS(Metadata!B31:F31)</f>
        <v>1</v>
      </c>
      <c r="O31" t="str">
        <v/>
      </c>
      <c r="Q31" t="b">
        <f ca="1"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R31" t="b">
        <f>IF(Metadata!C31="",FALSE,TRUE)</f>
        <v>0</v>
      </c>
      <c r="S31" t="b">
        <f>OR(AND(IF(Metadata!D31="",FALSE,TRUE),EXACT(Metadata!D31,"missing: not collected")),AND(IF(Metadata!D31="",FALSE,TRUE),OR(EXACT(Metadata!D31,"t"),EXACT(Metadata!D31,"f"))))</f>
        <v>0</v>
      </c>
      <c r="T31" t="b">
        <f>AND(IF(Metadata!E31="",FALSE,TRUE),OR(EXACT(Metadata!E31,"a"),EXACT(Metadata!E31,"b")))</f>
        <v>0</v>
      </c>
      <c r="U31" t="b">
        <f>OR(AND(IF(Metadata!F31="",FALSE,TRUE),OR(EXACT(Metadata!F31,"missing: not collected"),EXACT(Metadata!F31,"missing: not provided"))),AND(IF(Metadata!F31="",FALSE,TRUE),OR(EXACT(Metadata!F31,"lo"),EXACT(Metadata!F31,"med"),EXACT(Metadata!F31,"hi"))))</f>
        <v>0</v>
      </c>
    </row>
    <row r="32" spans="1:21" x14ac:dyDescent="0.2">
      <c r="A32" s="4" t="str">
        <f ca="1">IF(B32=" "," ",HYPERLINK(CONCATENATE("#metadata!",ADDRESS(INDEX($L$2:$L$1001,MATCH(ROWS($J$2:J32),$J$2:$J$1001,0),0),1)),INDEX($O$2:$O$1001,MATCH(ROWS($J$2:J32),$J$2:$J$1001,0),0)))</f>
        <v xml:space="preserve"> </v>
      </c>
      <c r="B32" s="3" t="str">
        <f ca="1">IF(OR(INDEX($K$2:$K$1001,MATCH(ROWS($J$2:J32),$J$2:$J$1001,0),1)&gt;=100000,INDEX($Q$1005:$U$1005,1,MATCH(COLUMNS($Q$1006:Q1006),$Q$1006:$U$1006,0))&gt;=100000), " ",IF(INDEX($Q$2:$U$1001,MATCH(ROWS($J$2:J32),$J$2:$J$1001,0),MATCH(COLUMNS($Q$1006:Q1006),$Q$1006:$U$1006,0)), HYPERLINK("#",""), HYPERLINK(CONCATENATE("#Metadata!", ADDRESS(INDEX($L$2:$L$1001,MATCH(ROWS($J$2:J32),$J$2:$J$1001,0),0), INDEX($Q$1004:$U$1004,1,MATCH(COLUMNS($Q$1006:Q1006),$Q$1006:$U$1006,0)))),"Fix")))</f>
        <v xml:space="preserve"> </v>
      </c>
      <c r="C32" s="3" t="str">
        <f ca="1">IF(OR(INDEX($K$2:$K$1001,MATCH(ROWS($J$2:J32),$J$2:$J$1001,0),1)&gt;=100000,INDEX($Q$1005:$U$1005,1,MATCH(COLUMNS($Q$1006:R1006),$Q$1006:$U$1006,0))&gt;=100000), " ",IF(INDEX($Q$2:$U$1001,MATCH(ROWS($J$2:J32),$J$2:$J$1001,0),MATCH(COLUMNS($Q$1006:R1006),$Q$1006:$U$1006,0)), HYPERLINK("#",""), HYPERLINK(CONCATENATE("#Metadata!", ADDRESS(INDEX($L$2:$L$1001,MATCH(ROWS($J$2:J32),$J$2:$J$1001,0),0), INDEX($Q$1004:$U$1004,1,MATCH(COLUMNS($Q$1006:R1006),$Q$1006:$U$1006,0)))),"Fix")))</f>
        <v xml:space="preserve"> </v>
      </c>
      <c r="D32" s="3" t="str">
        <f ca="1">IF(OR(INDEX($K$2:$K$1001,MATCH(ROWS($J$2:J32),$J$2:$J$1001,0),1)&gt;=100000,INDEX($Q$1005:$U$1005,1,MATCH(COLUMNS($Q$1006:S1006),$Q$1006:$U$1006,0))&gt;=100000), " ",IF(INDEX($Q$2:$U$1001,MATCH(ROWS($J$2:J32),$J$2:$J$1001,0),MATCH(COLUMNS($Q$1006:S1006),$Q$1006:$U$1006,0)), HYPERLINK("#",""), HYPERLINK(CONCATENATE("#Metadata!", ADDRESS(INDEX($L$2:$L$1001,MATCH(ROWS($J$2:J32),$J$2:$J$1001,0),0), INDEX($Q$1004:$U$1004,1,MATCH(COLUMNS($Q$1006:S1006),$Q$1006:$U$1006,0)))),"Fix")))</f>
        <v xml:space="preserve"> </v>
      </c>
      <c r="E32" s="3" t="str">
        <f ca="1">IF(OR(INDEX($K$2:$K$1001,MATCH(ROWS($J$2:J32),$J$2:$J$1001,0),1)&gt;=100000,INDEX($Q$1005:$U$1005,1,MATCH(COLUMNS($Q$1006:T1006),$Q$1006:$U$1006,0))&gt;=100000), " ",IF(INDEX($Q$2:$U$1001,MATCH(ROWS($J$2:J32),$J$2:$J$1001,0),MATCH(COLUMNS($Q$1006:T1006),$Q$1006:$U$1006,0)), HYPERLINK("#",""), HYPERLINK(CONCATENATE("#Metadata!", ADDRESS(INDEX($L$2:$L$1001,MATCH(ROWS($J$2:J32),$J$2:$J$1001,0),0), INDEX($Q$1004:$U$1004,1,MATCH(COLUMNS($Q$1006:T1006),$Q$1006:$U$1006,0)))),"Fix")))</f>
        <v xml:space="preserve"> </v>
      </c>
      <c r="F32" s="3" t="str">
        <f ca="1">IF(OR(INDEX($K$2:$K$1001,MATCH(ROWS($J$2:J32),$J$2:$J$1001,0),1)&gt;=100000,INDEX($Q$1005:$U$1005,1,MATCH(COLUMNS($Q$1006:U1006),$Q$1006:$U$1006,0))&gt;=100000), " ",IF(INDEX($Q$2:$U$1001,MATCH(ROWS($J$2:J32),$J$2:$J$1001,0),MATCH(COLUMNS($Q$1006:U1006),$Q$1006:$U$1006,0)), HYPERLINK("#",""), HYPERLINK(CONCATENATE("#Metadata!", ADDRESS(INDEX($L$2:$L$1001,MATCH(ROWS($J$2:J32),$J$2:$J$1001,0),0), INDEX($Q$1004:$U$1004,1,MATCH(COLUMNS($Q$1006:U1006),$Q$1006:$U$1006,0)))),"Fix")))</f>
        <v xml:space="preserve"> </v>
      </c>
      <c r="J32">
        <f ca="1"/>
        <v>31</v>
      </c>
      <c r="K32">
        <v>100032</v>
      </c>
      <c r="L32">
        <v>32</v>
      </c>
      <c r="M32" t="b">
        <f t="shared" si="0"/>
        <v>1</v>
      </c>
      <c r="N32" t="b">
        <f>COUNTBLANK(Metadata!B32:F32)=COLUMNS(Metadata!B32:F32)</f>
        <v>1</v>
      </c>
      <c r="O32" t="str">
        <v/>
      </c>
      <c r="Q32" t="b">
        <f ca="1"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R32" t="b">
        <f>IF(Metadata!C32="",FALSE,TRUE)</f>
        <v>0</v>
      </c>
      <c r="S32" t="b">
        <f>OR(AND(IF(Metadata!D32="",FALSE,TRUE),EXACT(Metadata!D32,"missing: not collected")),AND(IF(Metadata!D32="",FALSE,TRUE),OR(EXACT(Metadata!D32,"t"),EXACT(Metadata!D32,"f"))))</f>
        <v>0</v>
      </c>
      <c r="T32" t="b">
        <f>AND(IF(Metadata!E32="",FALSE,TRUE),OR(EXACT(Metadata!E32,"a"),EXACT(Metadata!E32,"b")))</f>
        <v>0</v>
      </c>
      <c r="U32" t="b">
        <f>OR(AND(IF(Metadata!F32="",FALSE,TRUE),OR(EXACT(Metadata!F32,"missing: not collected"),EXACT(Metadata!F32,"missing: not provided"))),AND(IF(Metadata!F32="",FALSE,TRUE),OR(EXACT(Metadata!F32,"lo"),EXACT(Metadata!F32,"med"),EXACT(Metadata!F32,"hi"))))</f>
        <v>0</v>
      </c>
    </row>
    <row r="33" spans="1:21" x14ac:dyDescent="0.2">
      <c r="A33" s="4" t="str">
        <f ca="1">IF(B33=" "," ",HYPERLINK(CONCATENATE("#metadata!",ADDRESS(INDEX($L$2:$L$1001,MATCH(ROWS($J$2:J33),$J$2:$J$1001,0),0),1)),INDEX($O$2:$O$1001,MATCH(ROWS($J$2:J33),$J$2:$J$1001,0),0)))</f>
        <v xml:space="preserve"> </v>
      </c>
      <c r="B33" s="3" t="str">
        <f ca="1">IF(OR(INDEX($K$2:$K$1001,MATCH(ROWS($J$2:J33),$J$2:$J$1001,0),1)&gt;=100000,INDEX($Q$1005:$U$1005,1,MATCH(COLUMNS($Q$1006:Q1006),$Q$1006:$U$1006,0))&gt;=100000), " ",IF(INDEX($Q$2:$U$1001,MATCH(ROWS($J$2:J33),$J$2:$J$1001,0),MATCH(COLUMNS($Q$1006:Q1006),$Q$1006:$U$1006,0)), HYPERLINK("#",""), HYPERLINK(CONCATENATE("#Metadata!", ADDRESS(INDEX($L$2:$L$1001,MATCH(ROWS($J$2:J33),$J$2:$J$1001,0),0), INDEX($Q$1004:$U$1004,1,MATCH(COLUMNS($Q$1006:Q1006),$Q$1006:$U$1006,0)))),"Fix")))</f>
        <v xml:space="preserve"> </v>
      </c>
      <c r="C33" s="3" t="str">
        <f ca="1">IF(OR(INDEX($K$2:$K$1001,MATCH(ROWS($J$2:J33),$J$2:$J$1001,0),1)&gt;=100000,INDEX($Q$1005:$U$1005,1,MATCH(COLUMNS($Q$1006:R1006),$Q$1006:$U$1006,0))&gt;=100000), " ",IF(INDEX($Q$2:$U$1001,MATCH(ROWS($J$2:J33),$J$2:$J$1001,0),MATCH(COLUMNS($Q$1006:R1006),$Q$1006:$U$1006,0)), HYPERLINK("#",""), HYPERLINK(CONCATENATE("#Metadata!", ADDRESS(INDEX($L$2:$L$1001,MATCH(ROWS($J$2:J33),$J$2:$J$1001,0),0), INDEX($Q$1004:$U$1004,1,MATCH(COLUMNS($Q$1006:R1006),$Q$1006:$U$1006,0)))),"Fix")))</f>
        <v xml:space="preserve"> </v>
      </c>
      <c r="D33" s="3" t="str">
        <f ca="1">IF(OR(INDEX($K$2:$K$1001,MATCH(ROWS($J$2:J33),$J$2:$J$1001,0),1)&gt;=100000,INDEX($Q$1005:$U$1005,1,MATCH(COLUMNS($Q$1006:S1006),$Q$1006:$U$1006,0))&gt;=100000), " ",IF(INDEX($Q$2:$U$1001,MATCH(ROWS($J$2:J33),$J$2:$J$1001,0),MATCH(COLUMNS($Q$1006:S1006),$Q$1006:$U$1006,0)), HYPERLINK("#",""), HYPERLINK(CONCATENATE("#Metadata!", ADDRESS(INDEX($L$2:$L$1001,MATCH(ROWS($J$2:J33),$J$2:$J$1001,0),0), INDEX($Q$1004:$U$1004,1,MATCH(COLUMNS($Q$1006:S1006),$Q$1006:$U$1006,0)))),"Fix")))</f>
        <v xml:space="preserve"> </v>
      </c>
      <c r="E33" s="3" t="str">
        <f ca="1">IF(OR(INDEX($K$2:$K$1001,MATCH(ROWS($J$2:J33),$J$2:$J$1001,0),1)&gt;=100000,INDEX($Q$1005:$U$1005,1,MATCH(COLUMNS($Q$1006:T1006),$Q$1006:$U$1006,0))&gt;=100000), " ",IF(INDEX($Q$2:$U$1001,MATCH(ROWS($J$2:J33),$J$2:$J$1001,0),MATCH(COLUMNS($Q$1006:T1006),$Q$1006:$U$1006,0)), HYPERLINK("#",""), HYPERLINK(CONCATENATE("#Metadata!", ADDRESS(INDEX($L$2:$L$1001,MATCH(ROWS($J$2:J33),$J$2:$J$1001,0),0), INDEX($Q$1004:$U$1004,1,MATCH(COLUMNS($Q$1006:T1006),$Q$1006:$U$1006,0)))),"Fix")))</f>
        <v xml:space="preserve"> </v>
      </c>
      <c r="F33" s="3" t="str">
        <f ca="1">IF(OR(INDEX($K$2:$K$1001,MATCH(ROWS($J$2:J33),$J$2:$J$1001,0),1)&gt;=100000,INDEX($Q$1005:$U$1005,1,MATCH(COLUMNS($Q$1006:U1006),$Q$1006:$U$1006,0))&gt;=100000), " ",IF(INDEX($Q$2:$U$1001,MATCH(ROWS($J$2:J33),$J$2:$J$1001,0),MATCH(COLUMNS($Q$1006:U1006),$Q$1006:$U$1006,0)), HYPERLINK("#",""), HYPERLINK(CONCATENATE("#Metadata!", ADDRESS(INDEX($L$2:$L$1001,MATCH(ROWS($J$2:J33),$J$2:$J$1001,0),0), INDEX($Q$1004:$U$1004,1,MATCH(COLUMNS($Q$1006:U1006),$Q$1006:$U$1006,0)))),"Fix")))</f>
        <v xml:space="preserve"> </v>
      </c>
      <c r="J33">
        <f ca="1"/>
        <v>32</v>
      </c>
      <c r="K33">
        <v>100033</v>
      </c>
      <c r="L33">
        <v>33</v>
      </c>
      <c r="M33" t="b">
        <f t="shared" si="0"/>
        <v>1</v>
      </c>
      <c r="N33" t="b">
        <f>COUNTBLANK(Metadata!B33:F33)=COLUMNS(Metadata!B33:F33)</f>
        <v>1</v>
      </c>
      <c r="O33" t="str">
        <v/>
      </c>
      <c r="Q33" t="b">
        <f ca="1"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R33" t="b">
        <f>IF(Metadata!C33="",FALSE,TRUE)</f>
        <v>0</v>
      </c>
      <c r="S33" t="b">
        <f>OR(AND(IF(Metadata!D33="",FALSE,TRUE),EXACT(Metadata!D33,"missing: not collected")),AND(IF(Metadata!D33="",FALSE,TRUE),OR(EXACT(Metadata!D33,"t"),EXACT(Metadata!D33,"f"))))</f>
        <v>0</v>
      </c>
      <c r="T33" t="b">
        <f>AND(IF(Metadata!E33="",FALSE,TRUE),OR(EXACT(Metadata!E33,"a"),EXACT(Metadata!E33,"b")))</f>
        <v>0</v>
      </c>
      <c r="U33" t="b">
        <f>OR(AND(IF(Metadata!F33="",FALSE,TRUE),OR(EXACT(Metadata!F33,"missing: not collected"),EXACT(Metadata!F33,"missing: not provided"))),AND(IF(Metadata!F33="",FALSE,TRUE),OR(EXACT(Metadata!F33,"lo"),EXACT(Metadata!F33,"med"),EXACT(Metadata!F33,"hi"))))</f>
        <v>0</v>
      </c>
    </row>
    <row r="34" spans="1:21" x14ac:dyDescent="0.2">
      <c r="A34" s="4" t="str">
        <f ca="1">IF(B34=" "," ",HYPERLINK(CONCATENATE("#metadata!",ADDRESS(INDEX($L$2:$L$1001,MATCH(ROWS($J$2:J34),$J$2:$J$1001,0),0),1)),INDEX($O$2:$O$1001,MATCH(ROWS($J$2:J34),$J$2:$J$1001,0),0)))</f>
        <v xml:space="preserve"> </v>
      </c>
      <c r="B34" s="3" t="str">
        <f ca="1">IF(OR(INDEX($K$2:$K$1001,MATCH(ROWS($J$2:J34),$J$2:$J$1001,0),1)&gt;=100000,INDEX($Q$1005:$U$1005,1,MATCH(COLUMNS($Q$1006:Q1006),$Q$1006:$U$1006,0))&gt;=100000), " ",IF(INDEX($Q$2:$U$1001,MATCH(ROWS($J$2:J34),$J$2:$J$1001,0),MATCH(COLUMNS($Q$1006:Q1006),$Q$1006:$U$1006,0)), HYPERLINK("#",""), HYPERLINK(CONCATENATE("#Metadata!", ADDRESS(INDEX($L$2:$L$1001,MATCH(ROWS($J$2:J34),$J$2:$J$1001,0),0), INDEX($Q$1004:$U$1004,1,MATCH(COLUMNS($Q$1006:Q1006),$Q$1006:$U$1006,0)))),"Fix")))</f>
        <v xml:space="preserve"> </v>
      </c>
      <c r="C34" s="3" t="str">
        <f ca="1">IF(OR(INDEX($K$2:$K$1001,MATCH(ROWS($J$2:J34),$J$2:$J$1001,0),1)&gt;=100000,INDEX($Q$1005:$U$1005,1,MATCH(COLUMNS($Q$1006:R1006),$Q$1006:$U$1006,0))&gt;=100000), " ",IF(INDEX($Q$2:$U$1001,MATCH(ROWS($J$2:J34),$J$2:$J$1001,0),MATCH(COLUMNS($Q$1006:R1006),$Q$1006:$U$1006,0)), HYPERLINK("#",""), HYPERLINK(CONCATENATE("#Metadata!", ADDRESS(INDEX($L$2:$L$1001,MATCH(ROWS($J$2:J34),$J$2:$J$1001,0),0), INDEX($Q$1004:$U$1004,1,MATCH(COLUMNS($Q$1006:R1006),$Q$1006:$U$1006,0)))),"Fix")))</f>
        <v xml:space="preserve"> </v>
      </c>
      <c r="D34" s="3" t="str">
        <f ca="1">IF(OR(INDEX($K$2:$K$1001,MATCH(ROWS($J$2:J34),$J$2:$J$1001,0),1)&gt;=100000,INDEX($Q$1005:$U$1005,1,MATCH(COLUMNS($Q$1006:S1006),$Q$1006:$U$1006,0))&gt;=100000), " ",IF(INDEX($Q$2:$U$1001,MATCH(ROWS($J$2:J34),$J$2:$J$1001,0),MATCH(COLUMNS($Q$1006:S1006),$Q$1006:$U$1006,0)), HYPERLINK("#",""), HYPERLINK(CONCATENATE("#Metadata!", ADDRESS(INDEX($L$2:$L$1001,MATCH(ROWS($J$2:J34),$J$2:$J$1001,0),0), INDEX($Q$1004:$U$1004,1,MATCH(COLUMNS($Q$1006:S1006),$Q$1006:$U$1006,0)))),"Fix")))</f>
        <v xml:space="preserve"> </v>
      </c>
      <c r="E34" s="3" t="str">
        <f ca="1">IF(OR(INDEX($K$2:$K$1001,MATCH(ROWS($J$2:J34),$J$2:$J$1001,0),1)&gt;=100000,INDEX($Q$1005:$U$1005,1,MATCH(COLUMNS($Q$1006:T1006),$Q$1006:$U$1006,0))&gt;=100000), " ",IF(INDEX($Q$2:$U$1001,MATCH(ROWS($J$2:J34),$J$2:$J$1001,0),MATCH(COLUMNS($Q$1006:T1006),$Q$1006:$U$1006,0)), HYPERLINK("#",""), HYPERLINK(CONCATENATE("#Metadata!", ADDRESS(INDEX($L$2:$L$1001,MATCH(ROWS($J$2:J34),$J$2:$J$1001,0),0), INDEX($Q$1004:$U$1004,1,MATCH(COLUMNS($Q$1006:T1006),$Q$1006:$U$1006,0)))),"Fix")))</f>
        <v xml:space="preserve"> </v>
      </c>
      <c r="F34" s="3" t="str">
        <f ca="1">IF(OR(INDEX($K$2:$K$1001,MATCH(ROWS($J$2:J34),$J$2:$J$1001,0),1)&gt;=100000,INDEX($Q$1005:$U$1005,1,MATCH(COLUMNS($Q$1006:U1006),$Q$1006:$U$1006,0))&gt;=100000), " ",IF(INDEX($Q$2:$U$1001,MATCH(ROWS($J$2:J34),$J$2:$J$1001,0),MATCH(COLUMNS($Q$1006:U1006),$Q$1006:$U$1006,0)), HYPERLINK("#",""), HYPERLINK(CONCATENATE("#Metadata!", ADDRESS(INDEX($L$2:$L$1001,MATCH(ROWS($J$2:J34),$J$2:$J$1001,0),0), INDEX($Q$1004:$U$1004,1,MATCH(COLUMNS($Q$1006:U1006),$Q$1006:$U$1006,0)))),"Fix")))</f>
        <v xml:space="preserve"> </v>
      </c>
      <c r="J34">
        <f ca="1"/>
        <v>33</v>
      </c>
      <c r="K34">
        <v>100034</v>
      </c>
      <c r="L34">
        <v>34</v>
      </c>
      <c r="M34" t="b">
        <f t="shared" si="0"/>
        <v>1</v>
      </c>
      <c r="N34" t="b">
        <f>COUNTBLANK(Metadata!B34:F34)=COLUMNS(Metadata!B34:F34)</f>
        <v>1</v>
      </c>
      <c r="O34" t="str">
        <v/>
      </c>
      <c r="Q34" t="b">
        <f ca="1"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R34" t="b">
        <f>IF(Metadata!C34="",FALSE,TRUE)</f>
        <v>0</v>
      </c>
      <c r="S34" t="b">
        <f>OR(AND(IF(Metadata!D34="",FALSE,TRUE),EXACT(Metadata!D34,"missing: not collected")),AND(IF(Metadata!D34="",FALSE,TRUE),OR(EXACT(Metadata!D34,"t"),EXACT(Metadata!D34,"f"))))</f>
        <v>0</v>
      </c>
      <c r="T34" t="b">
        <f>AND(IF(Metadata!E34="",FALSE,TRUE),OR(EXACT(Metadata!E34,"a"),EXACT(Metadata!E34,"b")))</f>
        <v>0</v>
      </c>
      <c r="U34" t="b">
        <f>OR(AND(IF(Metadata!F34="",FALSE,TRUE),OR(EXACT(Metadata!F34,"missing: not collected"),EXACT(Metadata!F34,"missing: not provided"))),AND(IF(Metadata!F34="",FALSE,TRUE),OR(EXACT(Metadata!F34,"lo"),EXACT(Metadata!F34,"med"),EXACT(Metadata!F34,"hi"))))</f>
        <v>0</v>
      </c>
    </row>
    <row r="35" spans="1:21" x14ac:dyDescent="0.2">
      <c r="A35" s="4" t="str">
        <f ca="1">IF(B35=" "," ",HYPERLINK(CONCATENATE("#metadata!",ADDRESS(INDEX($L$2:$L$1001,MATCH(ROWS($J$2:J35),$J$2:$J$1001,0),0),1)),INDEX($O$2:$O$1001,MATCH(ROWS($J$2:J35),$J$2:$J$1001,0),0)))</f>
        <v xml:space="preserve"> </v>
      </c>
      <c r="B35" s="3" t="str">
        <f ca="1">IF(OR(INDEX($K$2:$K$1001,MATCH(ROWS($J$2:J35),$J$2:$J$1001,0),1)&gt;=100000,INDEX($Q$1005:$U$1005,1,MATCH(COLUMNS($Q$1006:Q1006),$Q$1006:$U$1006,0))&gt;=100000), " ",IF(INDEX($Q$2:$U$1001,MATCH(ROWS($J$2:J35),$J$2:$J$1001,0),MATCH(COLUMNS($Q$1006:Q1006),$Q$1006:$U$1006,0)), HYPERLINK("#",""), HYPERLINK(CONCATENATE("#Metadata!", ADDRESS(INDEX($L$2:$L$1001,MATCH(ROWS($J$2:J35),$J$2:$J$1001,0),0), INDEX($Q$1004:$U$1004,1,MATCH(COLUMNS($Q$1006:Q1006),$Q$1006:$U$1006,0)))),"Fix")))</f>
        <v xml:space="preserve"> </v>
      </c>
      <c r="C35" s="3" t="str">
        <f ca="1">IF(OR(INDEX($K$2:$K$1001,MATCH(ROWS($J$2:J35),$J$2:$J$1001,0),1)&gt;=100000,INDEX($Q$1005:$U$1005,1,MATCH(COLUMNS($Q$1006:R1006),$Q$1006:$U$1006,0))&gt;=100000), " ",IF(INDEX($Q$2:$U$1001,MATCH(ROWS($J$2:J35),$J$2:$J$1001,0),MATCH(COLUMNS($Q$1006:R1006),$Q$1006:$U$1006,0)), HYPERLINK("#",""), HYPERLINK(CONCATENATE("#Metadata!", ADDRESS(INDEX($L$2:$L$1001,MATCH(ROWS($J$2:J35),$J$2:$J$1001,0),0), INDEX($Q$1004:$U$1004,1,MATCH(COLUMNS($Q$1006:R1006),$Q$1006:$U$1006,0)))),"Fix")))</f>
        <v xml:space="preserve"> </v>
      </c>
      <c r="D35" s="3" t="str">
        <f ca="1">IF(OR(INDEX($K$2:$K$1001,MATCH(ROWS($J$2:J35),$J$2:$J$1001,0),1)&gt;=100000,INDEX($Q$1005:$U$1005,1,MATCH(COLUMNS($Q$1006:S1006),$Q$1006:$U$1006,0))&gt;=100000), " ",IF(INDEX($Q$2:$U$1001,MATCH(ROWS($J$2:J35),$J$2:$J$1001,0),MATCH(COLUMNS($Q$1006:S1006),$Q$1006:$U$1006,0)), HYPERLINK("#",""), HYPERLINK(CONCATENATE("#Metadata!", ADDRESS(INDEX($L$2:$L$1001,MATCH(ROWS($J$2:J35),$J$2:$J$1001,0),0), INDEX($Q$1004:$U$1004,1,MATCH(COLUMNS($Q$1006:S1006),$Q$1006:$U$1006,0)))),"Fix")))</f>
        <v xml:space="preserve"> </v>
      </c>
      <c r="E35" s="3" t="str">
        <f ca="1">IF(OR(INDEX($K$2:$K$1001,MATCH(ROWS($J$2:J35),$J$2:$J$1001,0),1)&gt;=100000,INDEX($Q$1005:$U$1005,1,MATCH(COLUMNS($Q$1006:T1006),$Q$1006:$U$1006,0))&gt;=100000), " ",IF(INDEX($Q$2:$U$1001,MATCH(ROWS($J$2:J35),$J$2:$J$1001,0),MATCH(COLUMNS($Q$1006:T1006),$Q$1006:$U$1006,0)), HYPERLINK("#",""), HYPERLINK(CONCATENATE("#Metadata!", ADDRESS(INDEX($L$2:$L$1001,MATCH(ROWS($J$2:J35),$J$2:$J$1001,0),0), INDEX($Q$1004:$U$1004,1,MATCH(COLUMNS($Q$1006:T1006),$Q$1006:$U$1006,0)))),"Fix")))</f>
        <v xml:space="preserve"> </v>
      </c>
      <c r="F35" s="3" t="str">
        <f ca="1">IF(OR(INDEX($K$2:$K$1001,MATCH(ROWS($J$2:J35),$J$2:$J$1001,0),1)&gt;=100000,INDEX($Q$1005:$U$1005,1,MATCH(COLUMNS($Q$1006:U1006),$Q$1006:$U$1006,0))&gt;=100000), " ",IF(INDEX($Q$2:$U$1001,MATCH(ROWS($J$2:J35),$J$2:$J$1001,0),MATCH(COLUMNS($Q$1006:U1006),$Q$1006:$U$1006,0)), HYPERLINK("#",""), HYPERLINK(CONCATENATE("#Metadata!", ADDRESS(INDEX($L$2:$L$1001,MATCH(ROWS($J$2:J35),$J$2:$J$1001,0),0), INDEX($Q$1004:$U$1004,1,MATCH(COLUMNS($Q$1006:U1006),$Q$1006:$U$1006,0)))),"Fix")))</f>
        <v xml:space="preserve"> </v>
      </c>
      <c r="J35">
        <f ca="1"/>
        <v>34</v>
      </c>
      <c r="K35">
        <v>100035</v>
      </c>
      <c r="L35">
        <v>35</v>
      </c>
      <c r="M35" t="b">
        <f t="shared" si="0"/>
        <v>1</v>
      </c>
      <c r="N35" t="b">
        <f>COUNTBLANK(Metadata!B35:F35)=COLUMNS(Metadata!B35:F35)</f>
        <v>1</v>
      </c>
      <c r="O35" t="str">
        <v/>
      </c>
      <c r="Q35" t="b">
        <f ca="1"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R35" t="b">
        <f>IF(Metadata!C35="",FALSE,TRUE)</f>
        <v>0</v>
      </c>
      <c r="S35" t="b">
        <f>OR(AND(IF(Metadata!D35="",FALSE,TRUE),EXACT(Metadata!D35,"missing: not collected")),AND(IF(Metadata!D35="",FALSE,TRUE),OR(EXACT(Metadata!D35,"t"),EXACT(Metadata!D35,"f"))))</f>
        <v>0</v>
      </c>
      <c r="T35" t="b">
        <f>AND(IF(Metadata!E35="",FALSE,TRUE),OR(EXACT(Metadata!E35,"a"),EXACT(Metadata!E35,"b")))</f>
        <v>0</v>
      </c>
      <c r="U35" t="b">
        <f>OR(AND(IF(Metadata!F35="",FALSE,TRUE),OR(EXACT(Metadata!F35,"missing: not collected"),EXACT(Metadata!F35,"missing: not provided"))),AND(IF(Metadata!F35="",FALSE,TRUE),OR(EXACT(Metadata!F35,"lo"),EXACT(Metadata!F35,"med"),EXACT(Metadata!F35,"hi"))))</f>
        <v>0</v>
      </c>
    </row>
    <row r="36" spans="1:21" x14ac:dyDescent="0.2">
      <c r="A36" s="4" t="str">
        <f ca="1">IF(B36=" "," ",HYPERLINK(CONCATENATE("#metadata!",ADDRESS(INDEX($L$2:$L$1001,MATCH(ROWS($J$2:J36),$J$2:$J$1001,0),0),1)),INDEX($O$2:$O$1001,MATCH(ROWS($J$2:J36),$J$2:$J$1001,0),0)))</f>
        <v xml:space="preserve"> </v>
      </c>
      <c r="B36" s="3" t="str">
        <f ca="1">IF(OR(INDEX($K$2:$K$1001,MATCH(ROWS($J$2:J36),$J$2:$J$1001,0),1)&gt;=100000,INDEX($Q$1005:$U$1005,1,MATCH(COLUMNS($Q$1006:Q1006),$Q$1006:$U$1006,0))&gt;=100000), " ",IF(INDEX($Q$2:$U$1001,MATCH(ROWS($J$2:J36),$J$2:$J$1001,0),MATCH(COLUMNS($Q$1006:Q1006),$Q$1006:$U$1006,0)), HYPERLINK("#",""), HYPERLINK(CONCATENATE("#Metadata!", ADDRESS(INDEX($L$2:$L$1001,MATCH(ROWS($J$2:J36),$J$2:$J$1001,0),0), INDEX($Q$1004:$U$1004,1,MATCH(COLUMNS($Q$1006:Q1006),$Q$1006:$U$1006,0)))),"Fix")))</f>
        <v xml:space="preserve"> </v>
      </c>
      <c r="C36" s="3" t="str">
        <f ca="1">IF(OR(INDEX($K$2:$K$1001,MATCH(ROWS($J$2:J36),$J$2:$J$1001,0),1)&gt;=100000,INDEX($Q$1005:$U$1005,1,MATCH(COLUMNS($Q$1006:R1006),$Q$1006:$U$1006,0))&gt;=100000), " ",IF(INDEX($Q$2:$U$1001,MATCH(ROWS($J$2:J36),$J$2:$J$1001,0),MATCH(COLUMNS($Q$1006:R1006),$Q$1006:$U$1006,0)), HYPERLINK("#",""), HYPERLINK(CONCATENATE("#Metadata!", ADDRESS(INDEX($L$2:$L$1001,MATCH(ROWS($J$2:J36),$J$2:$J$1001,0),0), INDEX($Q$1004:$U$1004,1,MATCH(COLUMNS($Q$1006:R1006),$Q$1006:$U$1006,0)))),"Fix")))</f>
        <v xml:space="preserve"> </v>
      </c>
      <c r="D36" s="3" t="str">
        <f ca="1">IF(OR(INDEX($K$2:$K$1001,MATCH(ROWS($J$2:J36),$J$2:$J$1001,0),1)&gt;=100000,INDEX($Q$1005:$U$1005,1,MATCH(COLUMNS($Q$1006:S1006),$Q$1006:$U$1006,0))&gt;=100000), " ",IF(INDEX($Q$2:$U$1001,MATCH(ROWS($J$2:J36),$J$2:$J$1001,0),MATCH(COLUMNS($Q$1006:S1006),$Q$1006:$U$1006,0)), HYPERLINK("#",""), HYPERLINK(CONCATENATE("#Metadata!", ADDRESS(INDEX($L$2:$L$1001,MATCH(ROWS($J$2:J36),$J$2:$J$1001,0),0), INDEX($Q$1004:$U$1004,1,MATCH(COLUMNS($Q$1006:S1006),$Q$1006:$U$1006,0)))),"Fix")))</f>
        <v xml:space="preserve"> </v>
      </c>
      <c r="E36" s="3" t="str">
        <f ca="1">IF(OR(INDEX($K$2:$K$1001,MATCH(ROWS($J$2:J36),$J$2:$J$1001,0),1)&gt;=100000,INDEX($Q$1005:$U$1005,1,MATCH(COLUMNS($Q$1006:T1006),$Q$1006:$U$1006,0))&gt;=100000), " ",IF(INDEX($Q$2:$U$1001,MATCH(ROWS($J$2:J36),$J$2:$J$1001,0),MATCH(COLUMNS($Q$1006:T1006),$Q$1006:$U$1006,0)), HYPERLINK("#",""), HYPERLINK(CONCATENATE("#Metadata!", ADDRESS(INDEX($L$2:$L$1001,MATCH(ROWS($J$2:J36),$J$2:$J$1001,0),0), INDEX($Q$1004:$U$1004,1,MATCH(COLUMNS($Q$1006:T1006),$Q$1006:$U$1006,0)))),"Fix")))</f>
        <v xml:space="preserve"> </v>
      </c>
      <c r="F36" s="3" t="str">
        <f ca="1">IF(OR(INDEX($K$2:$K$1001,MATCH(ROWS($J$2:J36),$J$2:$J$1001,0),1)&gt;=100000,INDEX($Q$1005:$U$1005,1,MATCH(COLUMNS($Q$1006:U1006),$Q$1006:$U$1006,0))&gt;=100000), " ",IF(INDEX($Q$2:$U$1001,MATCH(ROWS($J$2:J36),$J$2:$J$1001,0),MATCH(COLUMNS($Q$1006:U1006),$Q$1006:$U$1006,0)), HYPERLINK("#",""), HYPERLINK(CONCATENATE("#Metadata!", ADDRESS(INDEX($L$2:$L$1001,MATCH(ROWS($J$2:J36),$J$2:$J$1001,0),0), INDEX($Q$1004:$U$1004,1,MATCH(COLUMNS($Q$1006:U1006),$Q$1006:$U$1006,0)))),"Fix")))</f>
        <v xml:space="preserve"> </v>
      </c>
      <c r="J36">
        <f ca="1"/>
        <v>35</v>
      </c>
      <c r="K36">
        <v>100036</v>
      </c>
      <c r="L36">
        <v>36</v>
      </c>
      <c r="M36" t="b">
        <f t="shared" si="0"/>
        <v>1</v>
      </c>
      <c r="N36" t="b">
        <f>COUNTBLANK(Metadata!B36:F36)=COLUMNS(Metadata!B36:F36)</f>
        <v>1</v>
      </c>
      <c r="O36" t="str">
        <v/>
      </c>
      <c r="Q36" t="b">
        <f ca="1"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R36" t="b">
        <f>IF(Metadata!C36="",FALSE,TRUE)</f>
        <v>0</v>
      </c>
      <c r="S36" t="b">
        <f>OR(AND(IF(Metadata!D36="",FALSE,TRUE),EXACT(Metadata!D36,"missing: not collected")),AND(IF(Metadata!D36="",FALSE,TRUE),OR(EXACT(Metadata!D36,"t"),EXACT(Metadata!D36,"f"))))</f>
        <v>0</v>
      </c>
      <c r="T36" t="b">
        <f>AND(IF(Metadata!E36="",FALSE,TRUE),OR(EXACT(Metadata!E36,"a"),EXACT(Metadata!E36,"b")))</f>
        <v>0</v>
      </c>
      <c r="U36" t="b">
        <f>OR(AND(IF(Metadata!F36="",FALSE,TRUE),OR(EXACT(Metadata!F36,"missing: not collected"),EXACT(Metadata!F36,"missing: not provided"))),AND(IF(Metadata!F36="",FALSE,TRUE),OR(EXACT(Metadata!F36,"lo"),EXACT(Metadata!F36,"med"),EXACT(Metadata!F36,"hi"))))</f>
        <v>0</v>
      </c>
    </row>
    <row r="37" spans="1:21" x14ac:dyDescent="0.2">
      <c r="A37" s="4" t="str">
        <f ca="1">IF(B37=" "," ",HYPERLINK(CONCATENATE("#metadata!",ADDRESS(INDEX($L$2:$L$1001,MATCH(ROWS($J$2:J37),$J$2:$J$1001,0),0),1)),INDEX($O$2:$O$1001,MATCH(ROWS($J$2:J37),$J$2:$J$1001,0),0)))</f>
        <v xml:space="preserve"> </v>
      </c>
      <c r="B37" s="3" t="str">
        <f ca="1">IF(OR(INDEX($K$2:$K$1001,MATCH(ROWS($J$2:J37),$J$2:$J$1001,0),1)&gt;=100000,INDEX($Q$1005:$U$1005,1,MATCH(COLUMNS($Q$1006:Q1006),$Q$1006:$U$1006,0))&gt;=100000), " ",IF(INDEX($Q$2:$U$1001,MATCH(ROWS($J$2:J37),$J$2:$J$1001,0),MATCH(COLUMNS($Q$1006:Q1006),$Q$1006:$U$1006,0)), HYPERLINK("#",""), HYPERLINK(CONCATENATE("#Metadata!", ADDRESS(INDEX($L$2:$L$1001,MATCH(ROWS($J$2:J37),$J$2:$J$1001,0),0), INDEX($Q$1004:$U$1004,1,MATCH(COLUMNS($Q$1006:Q1006),$Q$1006:$U$1006,0)))),"Fix")))</f>
        <v xml:space="preserve"> </v>
      </c>
      <c r="C37" s="3" t="str">
        <f ca="1">IF(OR(INDEX($K$2:$K$1001,MATCH(ROWS($J$2:J37),$J$2:$J$1001,0),1)&gt;=100000,INDEX($Q$1005:$U$1005,1,MATCH(COLUMNS($Q$1006:R1006),$Q$1006:$U$1006,0))&gt;=100000), " ",IF(INDEX($Q$2:$U$1001,MATCH(ROWS($J$2:J37),$J$2:$J$1001,0),MATCH(COLUMNS($Q$1006:R1006),$Q$1006:$U$1006,0)), HYPERLINK("#",""), HYPERLINK(CONCATENATE("#Metadata!", ADDRESS(INDEX($L$2:$L$1001,MATCH(ROWS($J$2:J37),$J$2:$J$1001,0),0), INDEX($Q$1004:$U$1004,1,MATCH(COLUMNS($Q$1006:R1006),$Q$1006:$U$1006,0)))),"Fix")))</f>
        <v xml:space="preserve"> </v>
      </c>
      <c r="D37" s="3" t="str">
        <f ca="1">IF(OR(INDEX($K$2:$K$1001,MATCH(ROWS($J$2:J37),$J$2:$J$1001,0),1)&gt;=100000,INDEX($Q$1005:$U$1005,1,MATCH(COLUMNS($Q$1006:S1006),$Q$1006:$U$1006,0))&gt;=100000), " ",IF(INDEX($Q$2:$U$1001,MATCH(ROWS($J$2:J37),$J$2:$J$1001,0),MATCH(COLUMNS($Q$1006:S1006),$Q$1006:$U$1006,0)), HYPERLINK("#",""), HYPERLINK(CONCATENATE("#Metadata!", ADDRESS(INDEX($L$2:$L$1001,MATCH(ROWS($J$2:J37),$J$2:$J$1001,0),0), INDEX($Q$1004:$U$1004,1,MATCH(COLUMNS($Q$1006:S1006),$Q$1006:$U$1006,0)))),"Fix")))</f>
        <v xml:space="preserve"> </v>
      </c>
      <c r="E37" s="3" t="str">
        <f ca="1">IF(OR(INDEX($K$2:$K$1001,MATCH(ROWS($J$2:J37),$J$2:$J$1001,0),1)&gt;=100000,INDEX($Q$1005:$U$1005,1,MATCH(COLUMNS($Q$1006:T1006),$Q$1006:$U$1006,0))&gt;=100000), " ",IF(INDEX($Q$2:$U$1001,MATCH(ROWS($J$2:J37),$J$2:$J$1001,0),MATCH(COLUMNS($Q$1006:T1006),$Q$1006:$U$1006,0)), HYPERLINK("#",""), HYPERLINK(CONCATENATE("#Metadata!", ADDRESS(INDEX($L$2:$L$1001,MATCH(ROWS($J$2:J37),$J$2:$J$1001,0),0), INDEX($Q$1004:$U$1004,1,MATCH(COLUMNS($Q$1006:T1006),$Q$1006:$U$1006,0)))),"Fix")))</f>
        <v xml:space="preserve"> </v>
      </c>
      <c r="F37" s="3" t="str">
        <f ca="1">IF(OR(INDEX($K$2:$K$1001,MATCH(ROWS($J$2:J37),$J$2:$J$1001,0),1)&gt;=100000,INDEX($Q$1005:$U$1005,1,MATCH(COLUMNS($Q$1006:U1006),$Q$1006:$U$1006,0))&gt;=100000), " ",IF(INDEX($Q$2:$U$1001,MATCH(ROWS($J$2:J37),$J$2:$J$1001,0),MATCH(COLUMNS($Q$1006:U1006),$Q$1006:$U$1006,0)), HYPERLINK("#",""), HYPERLINK(CONCATENATE("#Metadata!", ADDRESS(INDEX($L$2:$L$1001,MATCH(ROWS($J$2:J37),$J$2:$J$1001,0),0), INDEX($Q$1004:$U$1004,1,MATCH(COLUMNS($Q$1006:U1006),$Q$1006:$U$1006,0)))),"Fix")))</f>
        <v xml:space="preserve"> </v>
      </c>
      <c r="J37">
        <f ca="1"/>
        <v>36</v>
      </c>
      <c r="K37">
        <v>100037</v>
      </c>
      <c r="L37">
        <v>37</v>
      </c>
      <c r="M37" t="b">
        <f t="shared" si="0"/>
        <v>1</v>
      </c>
      <c r="N37" t="b">
        <f>COUNTBLANK(Metadata!B37:F37)=COLUMNS(Metadata!B37:F37)</f>
        <v>1</v>
      </c>
      <c r="O37" t="str">
        <v/>
      </c>
      <c r="Q37" t="b">
        <f ca="1"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R37" t="b">
        <f>IF(Metadata!C37="",FALSE,TRUE)</f>
        <v>0</v>
      </c>
      <c r="S37" t="b">
        <f>OR(AND(IF(Metadata!D37="",FALSE,TRUE),EXACT(Metadata!D37,"missing: not collected")),AND(IF(Metadata!D37="",FALSE,TRUE),OR(EXACT(Metadata!D37,"t"),EXACT(Metadata!D37,"f"))))</f>
        <v>0</v>
      </c>
      <c r="T37" t="b">
        <f>AND(IF(Metadata!E37="",FALSE,TRUE),OR(EXACT(Metadata!E37,"a"),EXACT(Metadata!E37,"b")))</f>
        <v>0</v>
      </c>
      <c r="U37" t="b">
        <f>OR(AND(IF(Metadata!F37="",FALSE,TRUE),OR(EXACT(Metadata!F37,"missing: not collected"),EXACT(Metadata!F37,"missing: not provided"))),AND(IF(Metadata!F37="",FALSE,TRUE),OR(EXACT(Metadata!F37,"lo"),EXACT(Metadata!F37,"med"),EXACT(Metadata!F37,"hi"))))</f>
        <v>0</v>
      </c>
    </row>
    <row r="38" spans="1:21" x14ac:dyDescent="0.2">
      <c r="A38" s="4" t="str">
        <f ca="1">IF(B38=" "," ",HYPERLINK(CONCATENATE("#metadata!",ADDRESS(INDEX($L$2:$L$1001,MATCH(ROWS($J$2:J38),$J$2:$J$1001,0),0),1)),INDEX($O$2:$O$1001,MATCH(ROWS($J$2:J38),$J$2:$J$1001,0),0)))</f>
        <v xml:space="preserve"> </v>
      </c>
      <c r="B38" s="3" t="str">
        <f ca="1">IF(OR(INDEX($K$2:$K$1001,MATCH(ROWS($J$2:J38),$J$2:$J$1001,0),1)&gt;=100000,INDEX($Q$1005:$U$1005,1,MATCH(COLUMNS($Q$1006:Q1006),$Q$1006:$U$1006,0))&gt;=100000), " ",IF(INDEX($Q$2:$U$1001,MATCH(ROWS($J$2:J38),$J$2:$J$1001,0),MATCH(COLUMNS($Q$1006:Q1006),$Q$1006:$U$1006,0)), HYPERLINK("#",""), HYPERLINK(CONCATENATE("#Metadata!", ADDRESS(INDEX($L$2:$L$1001,MATCH(ROWS($J$2:J38),$J$2:$J$1001,0),0), INDEX($Q$1004:$U$1004,1,MATCH(COLUMNS($Q$1006:Q1006),$Q$1006:$U$1006,0)))),"Fix")))</f>
        <v xml:space="preserve"> </v>
      </c>
      <c r="C38" s="3" t="str">
        <f ca="1">IF(OR(INDEX($K$2:$K$1001,MATCH(ROWS($J$2:J38),$J$2:$J$1001,0),1)&gt;=100000,INDEX($Q$1005:$U$1005,1,MATCH(COLUMNS($Q$1006:R1006),$Q$1006:$U$1006,0))&gt;=100000), " ",IF(INDEX($Q$2:$U$1001,MATCH(ROWS($J$2:J38),$J$2:$J$1001,0),MATCH(COLUMNS($Q$1006:R1006),$Q$1006:$U$1006,0)), HYPERLINK("#",""), HYPERLINK(CONCATENATE("#Metadata!", ADDRESS(INDEX($L$2:$L$1001,MATCH(ROWS($J$2:J38),$J$2:$J$1001,0),0), INDEX($Q$1004:$U$1004,1,MATCH(COLUMNS($Q$1006:R1006),$Q$1006:$U$1006,0)))),"Fix")))</f>
        <v xml:space="preserve"> </v>
      </c>
      <c r="D38" s="3" t="str">
        <f ca="1">IF(OR(INDEX($K$2:$K$1001,MATCH(ROWS($J$2:J38),$J$2:$J$1001,0),1)&gt;=100000,INDEX($Q$1005:$U$1005,1,MATCH(COLUMNS($Q$1006:S1006),$Q$1006:$U$1006,0))&gt;=100000), " ",IF(INDEX($Q$2:$U$1001,MATCH(ROWS($J$2:J38),$J$2:$J$1001,0),MATCH(COLUMNS($Q$1006:S1006),$Q$1006:$U$1006,0)), HYPERLINK("#",""), HYPERLINK(CONCATENATE("#Metadata!", ADDRESS(INDEX($L$2:$L$1001,MATCH(ROWS($J$2:J38),$J$2:$J$1001,0),0), INDEX($Q$1004:$U$1004,1,MATCH(COLUMNS($Q$1006:S1006),$Q$1006:$U$1006,0)))),"Fix")))</f>
        <v xml:space="preserve"> </v>
      </c>
      <c r="E38" s="3" t="str">
        <f ca="1">IF(OR(INDEX($K$2:$K$1001,MATCH(ROWS($J$2:J38),$J$2:$J$1001,0),1)&gt;=100000,INDEX($Q$1005:$U$1005,1,MATCH(COLUMNS($Q$1006:T1006),$Q$1006:$U$1006,0))&gt;=100000), " ",IF(INDEX($Q$2:$U$1001,MATCH(ROWS($J$2:J38),$J$2:$J$1001,0),MATCH(COLUMNS($Q$1006:T1006),$Q$1006:$U$1006,0)), HYPERLINK("#",""), HYPERLINK(CONCATENATE("#Metadata!", ADDRESS(INDEX($L$2:$L$1001,MATCH(ROWS($J$2:J38),$J$2:$J$1001,0),0), INDEX($Q$1004:$U$1004,1,MATCH(COLUMNS($Q$1006:T1006),$Q$1006:$U$1006,0)))),"Fix")))</f>
        <v xml:space="preserve"> </v>
      </c>
      <c r="F38" s="3" t="str">
        <f ca="1">IF(OR(INDEX($K$2:$K$1001,MATCH(ROWS($J$2:J38),$J$2:$J$1001,0),1)&gt;=100000,INDEX($Q$1005:$U$1005,1,MATCH(COLUMNS($Q$1006:U1006),$Q$1006:$U$1006,0))&gt;=100000), " ",IF(INDEX($Q$2:$U$1001,MATCH(ROWS($J$2:J38),$J$2:$J$1001,0),MATCH(COLUMNS($Q$1006:U1006),$Q$1006:$U$1006,0)), HYPERLINK("#",""), HYPERLINK(CONCATENATE("#Metadata!", ADDRESS(INDEX($L$2:$L$1001,MATCH(ROWS($J$2:J38),$J$2:$J$1001,0),0), INDEX($Q$1004:$U$1004,1,MATCH(COLUMNS($Q$1006:U1006),$Q$1006:$U$1006,0)))),"Fix")))</f>
        <v xml:space="preserve"> </v>
      </c>
      <c r="J38">
        <f ca="1"/>
        <v>37</v>
      </c>
      <c r="K38">
        <v>100038</v>
      </c>
      <c r="L38">
        <v>38</v>
      </c>
      <c r="M38" t="b">
        <f t="shared" si="0"/>
        <v>1</v>
      </c>
      <c r="N38" t="b">
        <f>COUNTBLANK(Metadata!B38:F38)=COLUMNS(Metadata!B38:F38)</f>
        <v>1</v>
      </c>
      <c r="O38" t="str">
        <v/>
      </c>
      <c r="Q38" t="b">
        <f ca="1"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R38" t="b">
        <f>IF(Metadata!C38="",FALSE,TRUE)</f>
        <v>0</v>
      </c>
      <c r="S38" t="b">
        <f>OR(AND(IF(Metadata!D38="",FALSE,TRUE),EXACT(Metadata!D38,"missing: not collected")),AND(IF(Metadata!D38="",FALSE,TRUE),OR(EXACT(Metadata!D38,"t"),EXACT(Metadata!D38,"f"))))</f>
        <v>0</v>
      </c>
      <c r="T38" t="b">
        <f>AND(IF(Metadata!E38="",FALSE,TRUE),OR(EXACT(Metadata!E38,"a"),EXACT(Metadata!E38,"b")))</f>
        <v>0</v>
      </c>
      <c r="U38" t="b">
        <f>OR(AND(IF(Metadata!F38="",FALSE,TRUE),OR(EXACT(Metadata!F38,"missing: not collected"),EXACT(Metadata!F38,"missing: not provided"))),AND(IF(Metadata!F38="",FALSE,TRUE),OR(EXACT(Metadata!F38,"lo"),EXACT(Metadata!F38,"med"),EXACT(Metadata!F38,"hi"))))</f>
        <v>0</v>
      </c>
    </row>
    <row r="39" spans="1:21" x14ac:dyDescent="0.2">
      <c r="A39" s="4" t="str">
        <f ca="1">IF(B39=" "," ",HYPERLINK(CONCATENATE("#metadata!",ADDRESS(INDEX($L$2:$L$1001,MATCH(ROWS($J$2:J39),$J$2:$J$1001,0),0),1)),INDEX($O$2:$O$1001,MATCH(ROWS($J$2:J39),$J$2:$J$1001,0),0)))</f>
        <v xml:space="preserve"> </v>
      </c>
      <c r="B39" s="3" t="str">
        <f ca="1">IF(OR(INDEX($K$2:$K$1001,MATCH(ROWS($J$2:J39),$J$2:$J$1001,0),1)&gt;=100000,INDEX($Q$1005:$U$1005,1,MATCH(COLUMNS($Q$1006:Q1006),$Q$1006:$U$1006,0))&gt;=100000), " ",IF(INDEX($Q$2:$U$1001,MATCH(ROWS($J$2:J39),$J$2:$J$1001,0),MATCH(COLUMNS($Q$1006:Q1006),$Q$1006:$U$1006,0)), HYPERLINK("#",""), HYPERLINK(CONCATENATE("#Metadata!", ADDRESS(INDEX($L$2:$L$1001,MATCH(ROWS($J$2:J39),$J$2:$J$1001,0),0), INDEX($Q$1004:$U$1004,1,MATCH(COLUMNS($Q$1006:Q1006),$Q$1006:$U$1006,0)))),"Fix")))</f>
        <v xml:space="preserve"> </v>
      </c>
      <c r="C39" s="3" t="str">
        <f ca="1">IF(OR(INDEX($K$2:$K$1001,MATCH(ROWS($J$2:J39),$J$2:$J$1001,0),1)&gt;=100000,INDEX($Q$1005:$U$1005,1,MATCH(COLUMNS($Q$1006:R1006),$Q$1006:$U$1006,0))&gt;=100000), " ",IF(INDEX($Q$2:$U$1001,MATCH(ROWS($J$2:J39),$J$2:$J$1001,0),MATCH(COLUMNS($Q$1006:R1006),$Q$1006:$U$1006,0)), HYPERLINK("#",""), HYPERLINK(CONCATENATE("#Metadata!", ADDRESS(INDEX($L$2:$L$1001,MATCH(ROWS($J$2:J39),$J$2:$J$1001,0),0), INDEX($Q$1004:$U$1004,1,MATCH(COLUMNS($Q$1006:R1006),$Q$1006:$U$1006,0)))),"Fix")))</f>
        <v xml:space="preserve"> </v>
      </c>
      <c r="D39" s="3" t="str">
        <f ca="1">IF(OR(INDEX($K$2:$K$1001,MATCH(ROWS($J$2:J39),$J$2:$J$1001,0),1)&gt;=100000,INDEX($Q$1005:$U$1005,1,MATCH(COLUMNS($Q$1006:S1006),$Q$1006:$U$1006,0))&gt;=100000), " ",IF(INDEX($Q$2:$U$1001,MATCH(ROWS($J$2:J39),$J$2:$J$1001,0),MATCH(COLUMNS($Q$1006:S1006),$Q$1006:$U$1006,0)), HYPERLINK("#",""), HYPERLINK(CONCATENATE("#Metadata!", ADDRESS(INDEX($L$2:$L$1001,MATCH(ROWS($J$2:J39),$J$2:$J$1001,0),0), INDEX($Q$1004:$U$1004,1,MATCH(COLUMNS($Q$1006:S1006),$Q$1006:$U$1006,0)))),"Fix")))</f>
        <v xml:space="preserve"> </v>
      </c>
      <c r="E39" s="3" t="str">
        <f ca="1">IF(OR(INDEX($K$2:$K$1001,MATCH(ROWS($J$2:J39),$J$2:$J$1001,0),1)&gt;=100000,INDEX($Q$1005:$U$1005,1,MATCH(COLUMNS($Q$1006:T1006),$Q$1006:$U$1006,0))&gt;=100000), " ",IF(INDEX($Q$2:$U$1001,MATCH(ROWS($J$2:J39),$J$2:$J$1001,0),MATCH(COLUMNS($Q$1006:T1006),$Q$1006:$U$1006,0)), HYPERLINK("#",""), HYPERLINK(CONCATENATE("#Metadata!", ADDRESS(INDEX($L$2:$L$1001,MATCH(ROWS($J$2:J39),$J$2:$J$1001,0),0), INDEX($Q$1004:$U$1004,1,MATCH(COLUMNS($Q$1006:T1006),$Q$1006:$U$1006,0)))),"Fix")))</f>
        <v xml:space="preserve"> </v>
      </c>
      <c r="F39" s="3" t="str">
        <f ca="1">IF(OR(INDEX($K$2:$K$1001,MATCH(ROWS($J$2:J39),$J$2:$J$1001,0),1)&gt;=100000,INDEX($Q$1005:$U$1005,1,MATCH(COLUMNS($Q$1006:U1006),$Q$1006:$U$1006,0))&gt;=100000), " ",IF(INDEX($Q$2:$U$1001,MATCH(ROWS($J$2:J39),$J$2:$J$1001,0),MATCH(COLUMNS($Q$1006:U1006),$Q$1006:$U$1006,0)), HYPERLINK("#",""), HYPERLINK(CONCATENATE("#Metadata!", ADDRESS(INDEX($L$2:$L$1001,MATCH(ROWS($J$2:J39),$J$2:$J$1001,0),0), INDEX($Q$1004:$U$1004,1,MATCH(COLUMNS($Q$1006:U1006),$Q$1006:$U$1006,0)))),"Fix")))</f>
        <v xml:space="preserve"> </v>
      </c>
      <c r="J39">
        <f ca="1"/>
        <v>38</v>
      </c>
      <c r="K39">
        <v>100039</v>
      </c>
      <c r="L39">
        <v>39</v>
      </c>
      <c r="M39" t="b">
        <f t="shared" si="0"/>
        <v>1</v>
      </c>
      <c r="N39" t="b">
        <f>COUNTBLANK(Metadata!B39:F39)=COLUMNS(Metadata!B39:F39)</f>
        <v>1</v>
      </c>
      <c r="O39" t="str">
        <v/>
      </c>
      <c r="Q39" t="b">
        <f ca="1"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R39" t="b">
        <f>IF(Metadata!C39="",FALSE,TRUE)</f>
        <v>0</v>
      </c>
      <c r="S39" t="b">
        <f>OR(AND(IF(Metadata!D39="",FALSE,TRUE),EXACT(Metadata!D39,"missing: not collected")),AND(IF(Metadata!D39="",FALSE,TRUE),OR(EXACT(Metadata!D39,"t"),EXACT(Metadata!D39,"f"))))</f>
        <v>0</v>
      </c>
      <c r="T39" t="b">
        <f>AND(IF(Metadata!E39="",FALSE,TRUE),OR(EXACT(Metadata!E39,"a"),EXACT(Metadata!E39,"b")))</f>
        <v>0</v>
      </c>
      <c r="U39" t="b">
        <f>OR(AND(IF(Metadata!F39="",FALSE,TRUE),OR(EXACT(Metadata!F39,"missing: not collected"),EXACT(Metadata!F39,"missing: not provided"))),AND(IF(Metadata!F39="",FALSE,TRUE),OR(EXACT(Metadata!F39,"lo"),EXACT(Metadata!F39,"med"),EXACT(Metadata!F39,"hi"))))</f>
        <v>0</v>
      </c>
    </row>
    <row r="40" spans="1:21" x14ac:dyDescent="0.2">
      <c r="A40" s="4" t="str">
        <f ca="1">IF(B40=" "," ",HYPERLINK(CONCATENATE("#metadata!",ADDRESS(INDEX($L$2:$L$1001,MATCH(ROWS($J$2:J40),$J$2:$J$1001,0),0),1)),INDEX($O$2:$O$1001,MATCH(ROWS($J$2:J40),$J$2:$J$1001,0),0)))</f>
        <v xml:space="preserve"> </v>
      </c>
      <c r="B40" s="3" t="str">
        <f ca="1">IF(OR(INDEX($K$2:$K$1001,MATCH(ROWS($J$2:J40),$J$2:$J$1001,0),1)&gt;=100000,INDEX($Q$1005:$U$1005,1,MATCH(COLUMNS($Q$1006:Q1006),$Q$1006:$U$1006,0))&gt;=100000), " ",IF(INDEX($Q$2:$U$1001,MATCH(ROWS($J$2:J40),$J$2:$J$1001,0),MATCH(COLUMNS($Q$1006:Q1006),$Q$1006:$U$1006,0)), HYPERLINK("#",""), HYPERLINK(CONCATENATE("#Metadata!", ADDRESS(INDEX($L$2:$L$1001,MATCH(ROWS($J$2:J40),$J$2:$J$1001,0),0), INDEX($Q$1004:$U$1004,1,MATCH(COLUMNS($Q$1006:Q1006),$Q$1006:$U$1006,0)))),"Fix")))</f>
        <v xml:space="preserve"> </v>
      </c>
      <c r="C40" s="3" t="str">
        <f ca="1">IF(OR(INDEX($K$2:$K$1001,MATCH(ROWS($J$2:J40),$J$2:$J$1001,0),1)&gt;=100000,INDEX($Q$1005:$U$1005,1,MATCH(COLUMNS($Q$1006:R1006),$Q$1006:$U$1006,0))&gt;=100000), " ",IF(INDEX($Q$2:$U$1001,MATCH(ROWS($J$2:J40),$J$2:$J$1001,0),MATCH(COLUMNS($Q$1006:R1006),$Q$1006:$U$1006,0)), HYPERLINK("#",""), HYPERLINK(CONCATENATE("#Metadata!", ADDRESS(INDEX($L$2:$L$1001,MATCH(ROWS($J$2:J40),$J$2:$J$1001,0),0), INDEX($Q$1004:$U$1004,1,MATCH(COLUMNS($Q$1006:R1006),$Q$1006:$U$1006,0)))),"Fix")))</f>
        <v xml:space="preserve"> </v>
      </c>
      <c r="D40" s="3" t="str">
        <f ca="1">IF(OR(INDEX($K$2:$K$1001,MATCH(ROWS($J$2:J40),$J$2:$J$1001,0),1)&gt;=100000,INDEX($Q$1005:$U$1005,1,MATCH(COLUMNS($Q$1006:S1006),$Q$1006:$U$1006,0))&gt;=100000), " ",IF(INDEX($Q$2:$U$1001,MATCH(ROWS($J$2:J40),$J$2:$J$1001,0),MATCH(COLUMNS($Q$1006:S1006),$Q$1006:$U$1006,0)), HYPERLINK("#",""), HYPERLINK(CONCATENATE("#Metadata!", ADDRESS(INDEX($L$2:$L$1001,MATCH(ROWS($J$2:J40),$J$2:$J$1001,0),0), INDEX($Q$1004:$U$1004,1,MATCH(COLUMNS($Q$1006:S1006),$Q$1006:$U$1006,0)))),"Fix")))</f>
        <v xml:space="preserve"> </v>
      </c>
      <c r="E40" s="3" t="str">
        <f ca="1">IF(OR(INDEX($K$2:$K$1001,MATCH(ROWS($J$2:J40),$J$2:$J$1001,0),1)&gt;=100000,INDEX($Q$1005:$U$1005,1,MATCH(COLUMNS($Q$1006:T1006),$Q$1006:$U$1006,0))&gt;=100000), " ",IF(INDEX($Q$2:$U$1001,MATCH(ROWS($J$2:J40),$J$2:$J$1001,0),MATCH(COLUMNS($Q$1006:T1006),$Q$1006:$U$1006,0)), HYPERLINK("#",""), HYPERLINK(CONCATENATE("#Metadata!", ADDRESS(INDEX($L$2:$L$1001,MATCH(ROWS($J$2:J40),$J$2:$J$1001,0),0), INDEX($Q$1004:$U$1004,1,MATCH(COLUMNS($Q$1006:T1006),$Q$1006:$U$1006,0)))),"Fix")))</f>
        <v xml:space="preserve"> </v>
      </c>
      <c r="F40" s="3" t="str">
        <f ca="1">IF(OR(INDEX($K$2:$K$1001,MATCH(ROWS($J$2:J40),$J$2:$J$1001,0),1)&gt;=100000,INDEX($Q$1005:$U$1005,1,MATCH(COLUMNS($Q$1006:U1006),$Q$1006:$U$1006,0))&gt;=100000), " ",IF(INDEX($Q$2:$U$1001,MATCH(ROWS($J$2:J40),$J$2:$J$1001,0),MATCH(COLUMNS($Q$1006:U1006),$Q$1006:$U$1006,0)), HYPERLINK("#",""), HYPERLINK(CONCATENATE("#Metadata!", ADDRESS(INDEX($L$2:$L$1001,MATCH(ROWS($J$2:J40),$J$2:$J$1001,0),0), INDEX($Q$1004:$U$1004,1,MATCH(COLUMNS($Q$1006:U1006),$Q$1006:$U$1006,0)))),"Fix")))</f>
        <v xml:space="preserve"> </v>
      </c>
      <c r="J40">
        <f ca="1"/>
        <v>39</v>
      </c>
      <c r="K40">
        <v>100040</v>
      </c>
      <c r="L40">
        <v>40</v>
      </c>
      <c r="M40" t="b">
        <f t="shared" si="0"/>
        <v>1</v>
      </c>
      <c r="N40" t="b">
        <f>COUNTBLANK(Metadata!B40:F40)=COLUMNS(Metadata!B40:F40)</f>
        <v>1</v>
      </c>
      <c r="O40" t="str">
        <v/>
      </c>
      <c r="Q40" t="b">
        <f ca="1"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R40" t="b">
        <f>IF(Metadata!C40="",FALSE,TRUE)</f>
        <v>0</v>
      </c>
      <c r="S40" t="b">
        <f>OR(AND(IF(Metadata!D40="",FALSE,TRUE),EXACT(Metadata!D40,"missing: not collected")),AND(IF(Metadata!D40="",FALSE,TRUE),OR(EXACT(Metadata!D40,"t"),EXACT(Metadata!D40,"f"))))</f>
        <v>0</v>
      </c>
      <c r="T40" t="b">
        <f>AND(IF(Metadata!E40="",FALSE,TRUE),OR(EXACT(Metadata!E40,"a"),EXACT(Metadata!E40,"b")))</f>
        <v>0</v>
      </c>
      <c r="U40" t="b">
        <f>OR(AND(IF(Metadata!F40="",FALSE,TRUE),OR(EXACT(Metadata!F40,"missing: not collected"),EXACT(Metadata!F40,"missing: not provided"))),AND(IF(Metadata!F40="",FALSE,TRUE),OR(EXACT(Metadata!F40,"lo"),EXACT(Metadata!F40,"med"),EXACT(Metadata!F40,"hi"))))</f>
        <v>0</v>
      </c>
    </row>
    <row r="41" spans="1:21" x14ac:dyDescent="0.2">
      <c r="A41" s="4" t="str">
        <f ca="1">IF(B41=" "," ",HYPERLINK(CONCATENATE("#metadata!",ADDRESS(INDEX($L$2:$L$1001,MATCH(ROWS($J$2:J41),$J$2:$J$1001,0),0),1)),INDEX($O$2:$O$1001,MATCH(ROWS($J$2:J41),$J$2:$J$1001,0),0)))</f>
        <v xml:space="preserve"> </v>
      </c>
      <c r="B41" s="3" t="str">
        <f ca="1">IF(OR(INDEX($K$2:$K$1001,MATCH(ROWS($J$2:J41),$J$2:$J$1001,0),1)&gt;=100000,INDEX($Q$1005:$U$1005,1,MATCH(COLUMNS($Q$1006:Q1006),$Q$1006:$U$1006,0))&gt;=100000), " ",IF(INDEX($Q$2:$U$1001,MATCH(ROWS($J$2:J41),$J$2:$J$1001,0),MATCH(COLUMNS($Q$1006:Q1006),$Q$1006:$U$1006,0)), HYPERLINK("#",""), HYPERLINK(CONCATENATE("#Metadata!", ADDRESS(INDEX($L$2:$L$1001,MATCH(ROWS($J$2:J41),$J$2:$J$1001,0),0), INDEX($Q$1004:$U$1004,1,MATCH(COLUMNS($Q$1006:Q1006),$Q$1006:$U$1006,0)))),"Fix")))</f>
        <v xml:space="preserve"> </v>
      </c>
      <c r="C41" s="3" t="str">
        <f ca="1">IF(OR(INDEX($K$2:$K$1001,MATCH(ROWS($J$2:J41),$J$2:$J$1001,0),1)&gt;=100000,INDEX($Q$1005:$U$1005,1,MATCH(COLUMNS($Q$1006:R1006),$Q$1006:$U$1006,0))&gt;=100000), " ",IF(INDEX($Q$2:$U$1001,MATCH(ROWS($J$2:J41),$J$2:$J$1001,0),MATCH(COLUMNS($Q$1006:R1006),$Q$1006:$U$1006,0)), HYPERLINK("#",""), HYPERLINK(CONCATENATE("#Metadata!", ADDRESS(INDEX($L$2:$L$1001,MATCH(ROWS($J$2:J41),$J$2:$J$1001,0),0), INDEX($Q$1004:$U$1004,1,MATCH(COLUMNS($Q$1006:R1006),$Q$1006:$U$1006,0)))),"Fix")))</f>
        <v xml:space="preserve"> </v>
      </c>
      <c r="D41" s="3" t="str">
        <f ca="1">IF(OR(INDEX($K$2:$K$1001,MATCH(ROWS($J$2:J41),$J$2:$J$1001,0),1)&gt;=100000,INDEX($Q$1005:$U$1005,1,MATCH(COLUMNS($Q$1006:S1006),$Q$1006:$U$1006,0))&gt;=100000), " ",IF(INDEX($Q$2:$U$1001,MATCH(ROWS($J$2:J41),$J$2:$J$1001,0),MATCH(COLUMNS($Q$1006:S1006),$Q$1006:$U$1006,0)), HYPERLINK("#",""), HYPERLINK(CONCATENATE("#Metadata!", ADDRESS(INDEX($L$2:$L$1001,MATCH(ROWS($J$2:J41),$J$2:$J$1001,0),0), INDEX($Q$1004:$U$1004,1,MATCH(COLUMNS($Q$1006:S1006),$Q$1006:$U$1006,0)))),"Fix")))</f>
        <v xml:space="preserve"> </v>
      </c>
      <c r="E41" s="3" t="str">
        <f ca="1">IF(OR(INDEX($K$2:$K$1001,MATCH(ROWS($J$2:J41),$J$2:$J$1001,0),1)&gt;=100000,INDEX($Q$1005:$U$1005,1,MATCH(COLUMNS($Q$1006:T1006),$Q$1006:$U$1006,0))&gt;=100000), " ",IF(INDEX($Q$2:$U$1001,MATCH(ROWS($J$2:J41),$J$2:$J$1001,0),MATCH(COLUMNS($Q$1006:T1006),$Q$1006:$U$1006,0)), HYPERLINK("#",""), HYPERLINK(CONCATENATE("#Metadata!", ADDRESS(INDEX($L$2:$L$1001,MATCH(ROWS($J$2:J41),$J$2:$J$1001,0),0), INDEX($Q$1004:$U$1004,1,MATCH(COLUMNS($Q$1006:T1006),$Q$1006:$U$1006,0)))),"Fix")))</f>
        <v xml:space="preserve"> </v>
      </c>
      <c r="F41" s="3" t="str">
        <f ca="1">IF(OR(INDEX($K$2:$K$1001,MATCH(ROWS($J$2:J41),$J$2:$J$1001,0),1)&gt;=100000,INDEX($Q$1005:$U$1005,1,MATCH(COLUMNS($Q$1006:U1006),$Q$1006:$U$1006,0))&gt;=100000), " ",IF(INDEX($Q$2:$U$1001,MATCH(ROWS($J$2:J41),$J$2:$J$1001,0),MATCH(COLUMNS($Q$1006:U1006),$Q$1006:$U$1006,0)), HYPERLINK("#",""), HYPERLINK(CONCATENATE("#Metadata!", ADDRESS(INDEX($L$2:$L$1001,MATCH(ROWS($J$2:J41),$J$2:$J$1001,0),0), INDEX($Q$1004:$U$1004,1,MATCH(COLUMNS($Q$1006:U1006),$Q$1006:$U$1006,0)))),"Fix")))</f>
        <v xml:space="preserve"> </v>
      </c>
      <c r="J41">
        <f ca="1"/>
        <v>40</v>
      </c>
      <c r="K41">
        <v>100041</v>
      </c>
      <c r="L41">
        <v>41</v>
      </c>
      <c r="M41" t="b">
        <f t="shared" si="0"/>
        <v>1</v>
      </c>
      <c r="N41" t="b">
        <f>COUNTBLANK(Metadata!B41:F41)=COLUMNS(Metadata!B41:F41)</f>
        <v>1</v>
      </c>
      <c r="O41" t="str">
        <v/>
      </c>
      <c r="Q41" t="b">
        <f ca="1"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R41" t="b">
        <f>IF(Metadata!C41="",FALSE,TRUE)</f>
        <v>0</v>
      </c>
      <c r="S41" t="b">
        <f>OR(AND(IF(Metadata!D41="",FALSE,TRUE),EXACT(Metadata!D41,"missing: not collected")),AND(IF(Metadata!D41="",FALSE,TRUE),OR(EXACT(Metadata!D41,"t"),EXACT(Metadata!D41,"f"))))</f>
        <v>0</v>
      </c>
      <c r="T41" t="b">
        <f>AND(IF(Metadata!E41="",FALSE,TRUE),OR(EXACT(Metadata!E41,"a"),EXACT(Metadata!E41,"b")))</f>
        <v>0</v>
      </c>
      <c r="U41" t="b">
        <f>OR(AND(IF(Metadata!F41="",FALSE,TRUE),OR(EXACT(Metadata!F41,"missing: not collected"),EXACT(Metadata!F41,"missing: not provided"))),AND(IF(Metadata!F41="",FALSE,TRUE),OR(EXACT(Metadata!F41,"lo"),EXACT(Metadata!F41,"med"),EXACT(Metadata!F41,"hi"))))</f>
        <v>0</v>
      </c>
    </row>
    <row r="42" spans="1:21" x14ac:dyDescent="0.2">
      <c r="A42" s="4" t="str">
        <f ca="1">IF(B42=" "," ",HYPERLINK(CONCATENATE("#metadata!",ADDRESS(INDEX($L$2:$L$1001,MATCH(ROWS($J$2:J42),$J$2:$J$1001,0),0),1)),INDEX($O$2:$O$1001,MATCH(ROWS($J$2:J42),$J$2:$J$1001,0),0)))</f>
        <v xml:space="preserve"> </v>
      </c>
      <c r="B42" s="3" t="str">
        <f ca="1">IF(OR(INDEX($K$2:$K$1001,MATCH(ROWS($J$2:J42),$J$2:$J$1001,0),1)&gt;=100000,INDEX($Q$1005:$U$1005,1,MATCH(COLUMNS($Q$1006:Q1006),$Q$1006:$U$1006,0))&gt;=100000), " ",IF(INDEX($Q$2:$U$1001,MATCH(ROWS($J$2:J42),$J$2:$J$1001,0),MATCH(COLUMNS($Q$1006:Q1006),$Q$1006:$U$1006,0)), HYPERLINK("#",""), HYPERLINK(CONCATENATE("#Metadata!", ADDRESS(INDEX($L$2:$L$1001,MATCH(ROWS($J$2:J42),$J$2:$J$1001,0),0), INDEX($Q$1004:$U$1004,1,MATCH(COLUMNS($Q$1006:Q1006),$Q$1006:$U$1006,0)))),"Fix")))</f>
        <v xml:space="preserve"> </v>
      </c>
      <c r="C42" s="3" t="str">
        <f ca="1">IF(OR(INDEX($K$2:$K$1001,MATCH(ROWS($J$2:J42),$J$2:$J$1001,0),1)&gt;=100000,INDEX($Q$1005:$U$1005,1,MATCH(COLUMNS($Q$1006:R1006),$Q$1006:$U$1006,0))&gt;=100000), " ",IF(INDEX($Q$2:$U$1001,MATCH(ROWS($J$2:J42),$J$2:$J$1001,0),MATCH(COLUMNS($Q$1006:R1006),$Q$1006:$U$1006,0)), HYPERLINK("#",""), HYPERLINK(CONCATENATE("#Metadata!", ADDRESS(INDEX($L$2:$L$1001,MATCH(ROWS($J$2:J42),$J$2:$J$1001,0),0), INDEX($Q$1004:$U$1004,1,MATCH(COLUMNS($Q$1006:R1006),$Q$1006:$U$1006,0)))),"Fix")))</f>
        <v xml:space="preserve"> </v>
      </c>
      <c r="D42" s="3" t="str">
        <f ca="1">IF(OR(INDEX($K$2:$K$1001,MATCH(ROWS($J$2:J42),$J$2:$J$1001,0),1)&gt;=100000,INDEX($Q$1005:$U$1005,1,MATCH(COLUMNS($Q$1006:S1006),$Q$1006:$U$1006,0))&gt;=100000), " ",IF(INDEX($Q$2:$U$1001,MATCH(ROWS($J$2:J42),$J$2:$J$1001,0),MATCH(COLUMNS($Q$1006:S1006),$Q$1006:$U$1006,0)), HYPERLINK("#",""), HYPERLINK(CONCATENATE("#Metadata!", ADDRESS(INDEX($L$2:$L$1001,MATCH(ROWS($J$2:J42),$J$2:$J$1001,0),0), INDEX($Q$1004:$U$1004,1,MATCH(COLUMNS($Q$1006:S1006),$Q$1006:$U$1006,0)))),"Fix")))</f>
        <v xml:space="preserve"> </v>
      </c>
      <c r="E42" s="3" t="str">
        <f ca="1">IF(OR(INDEX($K$2:$K$1001,MATCH(ROWS($J$2:J42),$J$2:$J$1001,0),1)&gt;=100000,INDEX($Q$1005:$U$1005,1,MATCH(COLUMNS($Q$1006:T1006),$Q$1006:$U$1006,0))&gt;=100000), " ",IF(INDEX($Q$2:$U$1001,MATCH(ROWS($J$2:J42),$J$2:$J$1001,0),MATCH(COLUMNS($Q$1006:T1006),$Q$1006:$U$1006,0)), HYPERLINK("#",""), HYPERLINK(CONCATENATE("#Metadata!", ADDRESS(INDEX($L$2:$L$1001,MATCH(ROWS($J$2:J42),$J$2:$J$1001,0),0), INDEX($Q$1004:$U$1004,1,MATCH(COLUMNS($Q$1006:T1006),$Q$1006:$U$1006,0)))),"Fix")))</f>
        <v xml:space="preserve"> </v>
      </c>
      <c r="F42" s="3" t="str">
        <f ca="1">IF(OR(INDEX($K$2:$K$1001,MATCH(ROWS($J$2:J42),$J$2:$J$1001,0),1)&gt;=100000,INDEX($Q$1005:$U$1005,1,MATCH(COLUMNS($Q$1006:U1006),$Q$1006:$U$1006,0))&gt;=100000), " ",IF(INDEX($Q$2:$U$1001,MATCH(ROWS($J$2:J42),$J$2:$J$1001,0),MATCH(COLUMNS($Q$1006:U1006),$Q$1006:$U$1006,0)), HYPERLINK("#",""), HYPERLINK(CONCATENATE("#Metadata!", ADDRESS(INDEX($L$2:$L$1001,MATCH(ROWS($J$2:J42),$J$2:$J$1001,0),0), INDEX($Q$1004:$U$1004,1,MATCH(COLUMNS($Q$1006:U1006),$Q$1006:$U$1006,0)))),"Fix")))</f>
        <v xml:space="preserve"> </v>
      </c>
      <c r="J42">
        <f ca="1"/>
        <v>41</v>
      </c>
      <c r="K42">
        <v>100042</v>
      </c>
      <c r="L42">
        <v>42</v>
      </c>
      <c r="M42" t="b">
        <f t="shared" si="0"/>
        <v>1</v>
      </c>
      <c r="N42" t="b">
        <f>COUNTBLANK(Metadata!B42:F42)=COLUMNS(Metadata!B42:F42)</f>
        <v>1</v>
      </c>
      <c r="O42" t="str">
        <v/>
      </c>
      <c r="Q42" t="b">
        <f ca="1"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R42" t="b">
        <f>IF(Metadata!C42="",FALSE,TRUE)</f>
        <v>0</v>
      </c>
      <c r="S42" t="b">
        <f>OR(AND(IF(Metadata!D42="",FALSE,TRUE),EXACT(Metadata!D42,"missing: not collected")),AND(IF(Metadata!D42="",FALSE,TRUE),OR(EXACT(Metadata!D42,"t"),EXACT(Metadata!D42,"f"))))</f>
        <v>0</v>
      </c>
      <c r="T42" t="b">
        <f>AND(IF(Metadata!E42="",FALSE,TRUE),OR(EXACT(Metadata!E42,"a"),EXACT(Metadata!E42,"b")))</f>
        <v>0</v>
      </c>
      <c r="U42" t="b">
        <f>OR(AND(IF(Metadata!F42="",FALSE,TRUE),OR(EXACT(Metadata!F42,"missing: not collected"),EXACT(Metadata!F42,"missing: not provided"))),AND(IF(Metadata!F42="",FALSE,TRUE),OR(EXACT(Metadata!F42,"lo"),EXACT(Metadata!F42,"med"),EXACT(Metadata!F42,"hi"))))</f>
        <v>0</v>
      </c>
    </row>
    <row r="43" spans="1:21" x14ac:dyDescent="0.2">
      <c r="A43" s="4" t="str">
        <f ca="1">IF(B43=" "," ",HYPERLINK(CONCATENATE("#metadata!",ADDRESS(INDEX($L$2:$L$1001,MATCH(ROWS($J$2:J43),$J$2:$J$1001,0),0),1)),INDEX($O$2:$O$1001,MATCH(ROWS($J$2:J43),$J$2:$J$1001,0),0)))</f>
        <v xml:space="preserve"> </v>
      </c>
      <c r="B43" s="3" t="str">
        <f ca="1">IF(OR(INDEX($K$2:$K$1001,MATCH(ROWS($J$2:J43),$J$2:$J$1001,0),1)&gt;=100000,INDEX($Q$1005:$U$1005,1,MATCH(COLUMNS($Q$1006:Q1006),$Q$1006:$U$1006,0))&gt;=100000), " ",IF(INDEX($Q$2:$U$1001,MATCH(ROWS($J$2:J43),$J$2:$J$1001,0),MATCH(COLUMNS($Q$1006:Q1006),$Q$1006:$U$1006,0)), HYPERLINK("#",""), HYPERLINK(CONCATENATE("#Metadata!", ADDRESS(INDEX($L$2:$L$1001,MATCH(ROWS($J$2:J43),$J$2:$J$1001,0),0), INDEX($Q$1004:$U$1004,1,MATCH(COLUMNS($Q$1006:Q1006),$Q$1006:$U$1006,0)))),"Fix")))</f>
        <v xml:space="preserve"> </v>
      </c>
      <c r="C43" s="3" t="str">
        <f ca="1">IF(OR(INDEX($K$2:$K$1001,MATCH(ROWS($J$2:J43),$J$2:$J$1001,0),1)&gt;=100000,INDEX($Q$1005:$U$1005,1,MATCH(COLUMNS($Q$1006:R1006),$Q$1006:$U$1006,0))&gt;=100000), " ",IF(INDEX($Q$2:$U$1001,MATCH(ROWS($J$2:J43),$J$2:$J$1001,0),MATCH(COLUMNS($Q$1006:R1006),$Q$1006:$U$1006,0)), HYPERLINK("#",""), HYPERLINK(CONCATENATE("#Metadata!", ADDRESS(INDEX($L$2:$L$1001,MATCH(ROWS($J$2:J43),$J$2:$J$1001,0),0), INDEX($Q$1004:$U$1004,1,MATCH(COLUMNS($Q$1006:R1006),$Q$1006:$U$1006,0)))),"Fix")))</f>
        <v xml:space="preserve"> </v>
      </c>
      <c r="D43" s="3" t="str">
        <f ca="1">IF(OR(INDEX($K$2:$K$1001,MATCH(ROWS($J$2:J43),$J$2:$J$1001,0),1)&gt;=100000,INDEX($Q$1005:$U$1005,1,MATCH(COLUMNS($Q$1006:S1006),$Q$1006:$U$1006,0))&gt;=100000), " ",IF(INDEX($Q$2:$U$1001,MATCH(ROWS($J$2:J43),$J$2:$J$1001,0),MATCH(COLUMNS($Q$1006:S1006),$Q$1006:$U$1006,0)), HYPERLINK("#",""), HYPERLINK(CONCATENATE("#Metadata!", ADDRESS(INDEX($L$2:$L$1001,MATCH(ROWS($J$2:J43),$J$2:$J$1001,0),0), INDEX($Q$1004:$U$1004,1,MATCH(COLUMNS($Q$1006:S1006),$Q$1006:$U$1006,0)))),"Fix")))</f>
        <v xml:space="preserve"> </v>
      </c>
      <c r="E43" s="3" t="str">
        <f ca="1">IF(OR(INDEX($K$2:$K$1001,MATCH(ROWS($J$2:J43),$J$2:$J$1001,0),1)&gt;=100000,INDEX($Q$1005:$U$1005,1,MATCH(COLUMNS($Q$1006:T1006),$Q$1006:$U$1006,0))&gt;=100000), " ",IF(INDEX($Q$2:$U$1001,MATCH(ROWS($J$2:J43),$J$2:$J$1001,0),MATCH(COLUMNS($Q$1006:T1006),$Q$1006:$U$1006,0)), HYPERLINK("#",""), HYPERLINK(CONCATENATE("#Metadata!", ADDRESS(INDEX($L$2:$L$1001,MATCH(ROWS($J$2:J43),$J$2:$J$1001,0),0), INDEX($Q$1004:$U$1004,1,MATCH(COLUMNS($Q$1006:T1006),$Q$1006:$U$1006,0)))),"Fix")))</f>
        <v xml:space="preserve"> </v>
      </c>
      <c r="F43" s="3" t="str">
        <f ca="1">IF(OR(INDEX($K$2:$K$1001,MATCH(ROWS($J$2:J43),$J$2:$J$1001,0),1)&gt;=100000,INDEX($Q$1005:$U$1005,1,MATCH(COLUMNS($Q$1006:U1006),$Q$1006:$U$1006,0))&gt;=100000), " ",IF(INDEX($Q$2:$U$1001,MATCH(ROWS($J$2:J43),$J$2:$J$1001,0),MATCH(COLUMNS($Q$1006:U1006),$Q$1006:$U$1006,0)), HYPERLINK("#",""), HYPERLINK(CONCATENATE("#Metadata!", ADDRESS(INDEX($L$2:$L$1001,MATCH(ROWS($J$2:J43),$J$2:$J$1001,0),0), INDEX($Q$1004:$U$1004,1,MATCH(COLUMNS($Q$1006:U1006),$Q$1006:$U$1006,0)))),"Fix")))</f>
        <v xml:space="preserve"> </v>
      </c>
      <c r="J43">
        <f ca="1"/>
        <v>42</v>
      </c>
      <c r="K43">
        <v>100043</v>
      </c>
      <c r="L43">
        <v>43</v>
      </c>
      <c r="M43" t="b">
        <f t="shared" si="0"/>
        <v>1</v>
      </c>
      <c r="N43" t="b">
        <f>COUNTBLANK(Metadata!B43:F43)=COLUMNS(Metadata!B43:F43)</f>
        <v>1</v>
      </c>
      <c r="O43" t="str">
        <v/>
      </c>
      <c r="Q43" t="b">
        <f ca="1"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R43" t="b">
        <f>IF(Metadata!C43="",FALSE,TRUE)</f>
        <v>0</v>
      </c>
      <c r="S43" t="b">
        <f>OR(AND(IF(Metadata!D43="",FALSE,TRUE),EXACT(Metadata!D43,"missing: not collected")),AND(IF(Metadata!D43="",FALSE,TRUE),OR(EXACT(Metadata!D43,"t"),EXACT(Metadata!D43,"f"))))</f>
        <v>0</v>
      </c>
      <c r="T43" t="b">
        <f>AND(IF(Metadata!E43="",FALSE,TRUE),OR(EXACT(Metadata!E43,"a"),EXACT(Metadata!E43,"b")))</f>
        <v>0</v>
      </c>
      <c r="U43" t="b">
        <f>OR(AND(IF(Metadata!F43="",FALSE,TRUE),OR(EXACT(Metadata!F43,"missing: not collected"),EXACT(Metadata!F43,"missing: not provided"))),AND(IF(Metadata!F43="",FALSE,TRUE),OR(EXACT(Metadata!F43,"lo"),EXACT(Metadata!F43,"med"),EXACT(Metadata!F43,"hi"))))</f>
        <v>0</v>
      </c>
    </row>
    <row r="44" spans="1:21" x14ac:dyDescent="0.2">
      <c r="A44" s="4" t="str">
        <f ca="1">IF(B44=" "," ",HYPERLINK(CONCATENATE("#metadata!",ADDRESS(INDEX($L$2:$L$1001,MATCH(ROWS($J$2:J44),$J$2:$J$1001,0),0),1)),INDEX($O$2:$O$1001,MATCH(ROWS($J$2:J44),$J$2:$J$1001,0),0)))</f>
        <v xml:space="preserve"> </v>
      </c>
      <c r="B44" s="3" t="str">
        <f ca="1">IF(OR(INDEX($K$2:$K$1001,MATCH(ROWS($J$2:J44),$J$2:$J$1001,0),1)&gt;=100000,INDEX($Q$1005:$U$1005,1,MATCH(COLUMNS($Q$1006:Q1006),$Q$1006:$U$1006,0))&gt;=100000), " ",IF(INDEX($Q$2:$U$1001,MATCH(ROWS($J$2:J44),$J$2:$J$1001,0),MATCH(COLUMNS($Q$1006:Q1006),$Q$1006:$U$1006,0)), HYPERLINK("#",""), HYPERLINK(CONCATENATE("#Metadata!", ADDRESS(INDEX($L$2:$L$1001,MATCH(ROWS($J$2:J44),$J$2:$J$1001,0),0), INDEX($Q$1004:$U$1004,1,MATCH(COLUMNS($Q$1006:Q1006),$Q$1006:$U$1006,0)))),"Fix")))</f>
        <v xml:space="preserve"> </v>
      </c>
      <c r="C44" s="3" t="str">
        <f ca="1">IF(OR(INDEX($K$2:$K$1001,MATCH(ROWS($J$2:J44),$J$2:$J$1001,0),1)&gt;=100000,INDEX($Q$1005:$U$1005,1,MATCH(COLUMNS($Q$1006:R1006),$Q$1006:$U$1006,0))&gt;=100000), " ",IF(INDEX($Q$2:$U$1001,MATCH(ROWS($J$2:J44),$J$2:$J$1001,0),MATCH(COLUMNS($Q$1006:R1006),$Q$1006:$U$1006,0)), HYPERLINK("#",""), HYPERLINK(CONCATENATE("#Metadata!", ADDRESS(INDEX($L$2:$L$1001,MATCH(ROWS($J$2:J44),$J$2:$J$1001,0),0), INDEX($Q$1004:$U$1004,1,MATCH(COLUMNS($Q$1006:R1006),$Q$1006:$U$1006,0)))),"Fix")))</f>
        <v xml:space="preserve"> </v>
      </c>
      <c r="D44" s="3" t="str">
        <f ca="1">IF(OR(INDEX($K$2:$K$1001,MATCH(ROWS($J$2:J44),$J$2:$J$1001,0),1)&gt;=100000,INDEX($Q$1005:$U$1005,1,MATCH(COLUMNS($Q$1006:S1006),$Q$1006:$U$1006,0))&gt;=100000), " ",IF(INDEX($Q$2:$U$1001,MATCH(ROWS($J$2:J44),$J$2:$J$1001,0),MATCH(COLUMNS($Q$1006:S1006),$Q$1006:$U$1006,0)), HYPERLINK("#",""), HYPERLINK(CONCATENATE("#Metadata!", ADDRESS(INDEX($L$2:$L$1001,MATCH(ROWS($J$2:J44),$J$2:$J$1001,0),0), INDEX($Q$1004:$U$1004,1,MATCH(COLUMNS($Q$1006:S1006),$Q$1006:$U$1006,0)))),"Fix")))</f>
        <v xml:space="preserve"> </v>
      </c>
      <c r="E44" s="3" t="str">
        <f ca="1">IF(OR(INDEX($K$2:$K$1001,MATCH(ROWS($J$2:J44),$J$2:$J$1001,0),1)&gt;=100000,INDEX($Q$1005:$U$1005,1,MATCH(COLUMNS($Q$1006:T1006),$Q$1006:$U$1006,0))&gt;=100000), " ",IF(INDEX($Q$2:$U$1001,MATCH(ROWS($J$2:J44),$J$2:$J$1001,0),MATCH(COLUMNS($Q$1006:T1006),$Q$1006:$U$1006,0)), HYPERLINK("#",""), HYPERLINK(CONCATENATE("#Metadata!", ADDRESS(INDEX($L$2:$L$1001,MATCH(ROWS($J$2:J44),$J$2:$J$1001,0),0), INDEX($Q$1004:$U$1004,1,MATCH(COLUMNS($Q$1006:T1006),$Q$1006:$U$1006,0)))),"Fix")))</f>
        <v xml:space="preserve"> </v>
      </c>
      <c r="F44" s="3" t="str">
        <f ca="1">IF(OR(INDEX($K$2:$K$1001,MATCH(ROWS($J$2:J44),$J$2:$J$1001,0),1)&gt;=100000,INDEX($Q$1005:$U$1005,1,MATCH(COLUMNS($Q$1006:U1006),$Q$1006:$U$1006,0))&gt;=100000), " ",IF(INDEX($Q$2:$U$1001,MATCH(ROWS($J$2:J44),$J$2:$J$1001,0),MATCH(COLUMNS($Q$1006:U1006),$Q$1006:$U$1006,0)), HYPERLINK("#",""), HYPERLINK(CONCATENATE("#Metadata!", ADDRESS(INDEX($L$2:$L$1001,MATCH(ROWS($J$2:J44),$J$2:$J$1001,0),0), INDEX($Q$1004:$U$1004,1,MATCH(COLUMNS($Q$1006:U1006),$Q$1006:$U$1006,0)))),"Fix")))</f>
        <v xml:space="preserve"> </v>
      </c>
      <c r="J44">
        <f ca="1"/>
        <v>43</v>
      </c>
      <c r="K44">
        <v>100044</v>
      </c>
      <c r="L44">
        <v>44</v>
      </c>
      <c r="M44" t="b">
        <f t="shared" si="0"/>
        <v>1</v>
      </c>
      <c r="N44" t="b">
        <f>COUNTBLANK(Metadata!B44:F44)=COLUMNS(Metadata!B44:F44)</f>
        <v>1</v>
      </c>
      <c r="O44" t="str">
        <v/>
      </c>
      <c r="Q44" t="b">
        <f ca="1"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R44" t="b">
        <f>IF(Metadata!C44="",FALSE,TRUE)</f>
        <v>0</v>
      </c>
      <c r="S44" t="b">
        <f>OR(AND(IF(Metadata!D44="",FALSE,TRUE),EXACT(Metadata!D44,"missing: not collected")),AND(IF(Metadata!D44="",FALSE,TRUE),OR(EXACT(Metadata!D44,"t"),EXACT(Metadata!D44,"f"))))</f>
        <v>0</v>
      </c>
      <c r="T44" t="b">
        <f>AND(IF(Metadata!E44="",FALSE,TRUE),OR(EXACT(Metadata!E44,"a"),EXACT(Metadata!E44,"b")))</f>
        <v>0</v>
      </c>
      <c r="U44" t="b">
        <f>OR(AND(IF(Metadata!F44="",FALSE,TRUE),OR(EXACT(Metadata!F44,"missing: not collected"),EXACT(Metadata!F44,"missing: not provided"))),AND(IF(Metadata!F44="",FALSE,TRUE),OR(EXACT(Metadata!F44,"lo"),EXACT(Metadata!F44,"med"),EXACT(Metadata!F44,"hi"))))</f>
        <v>0</v>
      </c>
    </row>
    <row r="45" spans="1:21" x14ac:dyDescent="0.2">
      <c r="A45" s="4" t="str">
        <f ca="1">IF(B45=" "," ",HYPERLINK(CONCATENATE("#metadata!",ADDRESS(INDEX($L$2:$L$1001,MATCH(ROWS($J$2:J45),$J$2:$J$1001,0),0),1)),INDEX($O$2:$O$1001,MATCH(ROWS($J$2:J45),$J$2:$J$1001,0),0)))</f>
        <v xml:space="preserve"> </v>
      </c>
      <c r="B45" s="3" t="str">
        <f ca="1">IF(OR(INDEX($K$2:$K$1001,MATCH(ROWS($J$2:J45),$J$2:$J$1001,0),1)&gt;=100000,INDEX($Q$1005:$U$1005,1,MATCH(COLUMNS($Q$1006:Q1006),$Q$1006:$U$1006,0))&gt;=100000), " ",IF(INDEX($Q$2:$U$1001,MATCH(ROWS($J$2:J45),$J$2:$J$1001,0),MATCH(COLUMNS($Q$1006:Q1006),$Q$1006:$U$1006,0)), HYPERLINK("#",""), HYPERLINK(CONCATENATE("#Metadata!", ADDRESS(INDEX($L$2:$L$1001,MATCH(ROWS($J$2:J45),$J$2:$J$1001,0),0), INDEX($Q$1004:$U$1004,1,MATCH(COLUMNS($Q$1006:Q1006),$Q$1006:$U$1006,0)))),"Fix")))</f>
        <v xml:space="preserve"> </v>
      </c>
      <c r="C45" s="3" t="str">
        <f ca="1">IF(OR(INDEX($K$2:$K$1001,MATCH(ROWS($J$2:J45),$J$2:$J$1001,0),1)&gt;=100000,INDEX($Q$1005:$U$1005,1,MATCH(COLUMNS($Q$1006:R1006),$Q$1006:$U$1006,0))&gt;=100000), " ",IF(INDEX($Q$2:$U$1001,MATCH(ROWS($J$2:J45),$J$2:$J$1001,0),MATCH(COLUMNS($Q$1006:R1006),$Q$1006:$U$1006,0)), HYPERLINK("#",""), HYPERLINK(CONCATENATE("#Metadata!", ADDRESS(INDEX($L$2:$L$1001,MATCH(ROWS($J$2:J45),$J$2:$J$1001,0),0), INDEX($Q$1004:$U$1004,1,MATCH(COLUMNS($Q$1006:R1006),$Q$1006:$U$1006,0)))),"Fix")))</f>
        <v xml:space="preserve"> </v>
      </c>
      <c r="D45" s="3" t="str">
        <f ca="1">IF(OR(INDEX($K$2:$K$1001,MATCH(ROWS($J$2:J45),$J$2:$J$1001,0),1)&gt;=100000,INDEX($Q$1005:$U$1005,1,MATCH(COLUMNS($Q$1006:S1006),$Q$1006:$U$1006,0))&gt;=100000), " ",IF(INDEX($Q$2:$U$1001,MATCH(ROWS($J$2:J45),$J$2:$J$1001,0),MATCH(COLUMNS($Q$1006:S1006),$Q$1006:$U$1006,0)), HYPERLINK("#",""), HYPERLINK(CONCATENATE("#Metadata!", ADDRESS(INDEX($L$2:$L$1001,MATCH(ROWS($J$2:J45),$J$2:$J$1001,0),0), INDEX($Q$1004:$U$1004,1,MATCH(COLUMNS($Q$1006:S1006),$Q$1006:$U$1006,0)))),"Fix")))</f>
        <v xml:space="preserve"> </v>
      </c>
      <c r="E45" s="3" t="str">
        <f ca="1">IF(OR(INDEX($K$2:$K$1001,MATCH(ROWS($J$2:J45),$J$2:$J$1001,0),1)&gt;=100000,INDEX($Q$1005:$U$1005,1,MATCH(COLUMNS($Q$1006:T1006),$Q$1006:$U$1006,0))&gt;=100000), " ",IF(INDEX($Q$2:$U$1001,MATCH(ROWS($J$2:J45),$J$2:$J$1001,0),MATCH(COLUMNS($Q$1006:T1006),$Q$1006:$U$1006,0)), HYPERLINK("#",""), HYPERLINK(CONCATENATE("#Metadata!", ADDRESS(INDEX($L$2:$L$1001,MATCH(ROWS($J$2:J45),$J$2:$J$1001,0),0), INDEX($Q$1004:$U$1004,1,MATCH(COLUMNS($Q$1006:T1006),$Q$1006:$U$1006,0)))),"Fix")))</f>
        <v xml:space="preserve"> </v>
      </c>
      <c r="F45" s="3" t="str">
        <f ca="1">IF(OR(INDEX($K$2:$K$1001,MATCH(ROWS($J$2:J45),$J$2:$J$1001,0),1)&gt;=100000,INDEX($Q$1005:$U$1005,1,MATCH(COLUMNS($Q$1006:U1006),$Q$1006:$U$1006,0))&gt;=100000), " ",IF(INDEX($Q$2:$U$1001,MATCH(ROWS($J$2:J45),$J$2:$J$1001,0),MATCH(COLUMNS($Q$1006:U1006),$Q$1006:$U$1006,0)), HYPERLINK("#",""), HYPERLINK(CONCATENATE("#Metadata!", ADDRESS(INDEX($L$2:$L$1001,MATCH(ROWS($J$2:J45),$J$2:$J$1001,0),0), INDEX($Q$1004:$U$1004,1,MATCH(COLUMNS($Q$1006:U1006),$Q$1006:$U$1006,0)))),"Fix")))</f>
        <v xml:space="preserve"> </v>
      </c>
      <c r="J45">
        <f ca="1"/>
        <v>44</v>
      </c>
      <c r="K45">
        <v>100045</v>
      </c>
      <c r="L45">
        <v>45</v>
      </c>
      <c r="M45" t="b">
        <f t="shared" si="0"/>
        <v>1</v>
      </c>
      <c r="N45" t="b">
        <f>COUNTBLANK(Metadata!B45:F45)=COLUMNS(Metadata!B45:F45)</f>
        <v>1</v>
      </c>
      <c r="O45" t="str">
        <v/>
      </c>
      <c r="Q45" t="b">
        <f ca="1"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R45" t="b">
        <f>IF(Metadata!C45="",FALSE,TRUE)</f>
        <v>0</v>
      </c>
      <c r="S45" t="b">
        <f>OR(AND(IF(Metadata!D45="",FALSE,TRUE),EXACT(Metadata!D45,"missing: not collected")),AND(IF(Metadata!D45="",FALSE,TRUE),OR(EXACT(Metadata!D45,"t"),EXACT(Metadata!D45,"f"))))</f>
        <v>0</v>
      </c>
      <c r="T45" t="b">
        <f>AND(IF(Metadata!E45="",FALSE,TRUE),OR(EXACT(Metadata!E45,"a"),EXACT(Metadata!E45,"b")))</f>
        <v>0</v>
      </c>
      <c r="U45" t="b">
        <f>OR(AND(IF(Metadata!F45="",FALSE,TRUE),OR(EXACT(Metadata!F45,"missing: not collected"),EXACT(Metadata!F45,"missing: not provided"))),AND(IF(Metadata!F45="",FALSE,TRUE),OR(EXACT(Metadata!F45,"lo"),EXACT(Metadata!F45,"med"),EXACT(Metadata!F45,"hi"))))</f>
        <v>0</v>
      </c>
    </row>
    <row r="46" spans="1:21" x14ac:dyDescent="0.2">
      <c r="A46" s="4" t="str">
        <f ca="1">IF(B46=" "," ",HYPERLINK(CONCATENATE("#metadata!",ADDRESS(INDEX($L$2:$L$1001,MATCH(ROWS($J$2:J46),$J$2:$J$1001,0),0),1)),INDEX($O$2:$O$1001,MATCH(ROWS($J$2:J46),$J$2:$J$1001,0),0)))</f>
        <v xml:space="preserve"> </v>
      </c>
      <c r="B46" s="3" t="str">
        <f ca="1">IF(OR(INDEX($K$2:$K$1001,MATCH(ROWS($J$2:J46),$J$2:$J$1001,0),1)&gt;=100000,INDEX($Q$1005:$U$1005,1,MATCH(COLUMNS($Q$1006:Q1006),$Q$1006:$U$1006,0))&gt;=100000), " ",IF(INDEX($Q$2:$U$1001,MATCH(ROWS($J$2:J46),$J$2:$J$1001,0),MATCH(COLUMNS($Q$1006:Q1006),$Q$1006:$U$1006,0)), HYPERLINK("#",""), HYPERLINK(CONCATENATE("#Metadata!", ADDRESS(INDEX($L$2:$L$1001,MATCH(ROWS($J$2:J46),$J$2:$J$1001,0),0), INDEX($Q$1004:$U$1004,1,MATCH(COLUMNS($Q$1006:Q1006),$Q$1006:$U$1006,0)))),"Fix")))</f>
        <v xml:space="preserve"> </v>
      </c>
      <c r="C46" s="3" t="str">
        <f ca="1">IF(OR(INDEX($K$2:$K$1001,MATCH(ROWS($J$2:J46),$J$2:$J$1001,0),1)&gt;=100000,INDEX($Q$1005:$U$1005,1,MATCH(COLUMNS($Q$1006:R1006),$Q$1006:$U$1006,0))&gt;=100000), " ",IF(INDEX($Q$2:$U$1001,MATCH(ROWS($J$2:J46),$J$2:$J$1001,0),MATCH(COLUMNS($Q$1006:R1006),$Q$1006:$U$1006,0)), HYPERLINK("#",""), HYPERLINK(CONCATENATE("#Metadata!", ADDRESS(INDEX($L$2:$L$1001,MATCH(ROWS($J$2:J46),$J$2:$J$1001,0),0), INDEX($Q$1004:$U$1004,1,MATCH(COLUMNS($Q$1006:R1006),$Q$1006:$U$1006,0)))),"Fix")))</f>
        <v xml:space="preserve"> </v>
      </c>
      <c r="D46" s="3" t="str">
        <f ca="1">IF(OR(INDEX($K$2:$K$1001,MATCH(ROWS($J$2:J46),$J$2:$J$1001,0),1)&gt;=100000,INDEX($Q$1005:$U$1005,1,MATCH(COLUMNS($Q$1006:S1006),$Q$1006:$U$1006,0))&gt;=100000), " ",IF(INDEX($Q$2:$U$1001,MATCH(ROWS($J$2:J46),$J$2:$J$1001,0),MATCH(COLUMNS($Q$1006:S1006),$Q$1006:$U$1006,0)), HYPERLINK("#",""), HYPERLINK(CONCATENATE("#Metadata!", ADDRESS(INDEX($L$2:$L$1001,MATCH(ROWS($J$2:J46),$J$2:$J$1001,0),0), INDEX($Q$1004:$U$1004,1,MATCH(COLUMNS($Q$1006:S1006),$Q$1006:$U$1006,0)))),"Fix")))</f>
        <v xml:space="preserve"> </v>
      </c>
      <c r="E46" s="3" t="str">
        <f ca="1">IF(OR(INDEX($K$2:$K$1001,MATCH(ROWS($J$2:J46),$J$2:$J$1001,0),1)&gt;=100000,INDEX($Q$1005:$U$1005,1,MATCH(COLUMNS($Q$1006:T1006),$Q$1006:$U$1006,0))&gt;=100000), " ",IF(INDEX($Q$2:$U$1001,MATCH(ROWS($J$2:J46),$J$2:$J$1001,0),MATCH(COLUMNS($Q$1006:T1006),$Q$1006:$U$1006,0)), HYPERLINK("#",""), HYPERLINK(CONCATENATE("#Metadata!", ADDRESS(INDEX($L$2:$L$1001,MATCH(ROWS($J$2:J46),$J$2:$J$1001,0),0), INDEX($Q$1004:$U$1004,1,MATCH(COLUMNS($Q$1006:T1006),$Q$1006:$U$1006,0)))),"Fix")))</f>
        <v xml:space="preserve"> </v>
      </c>
      <c r="F46" s="3" t="str">
        <f ca="1">IF(OR(INDEX($K$2:$K$1001,MATCH(ROWS($J$2:J46),$J$2:$J$1001,0),1)&gt;=100000,INDEX($Q$1005:$U$1005,1,MATCH(COLUMNS($Q$1006:U1006),$Q$1006:$U$1006,0))&gt;=100000), " ",IF(INDEX($Q$2:$U$1001,MATCH(ROWS($J$2:J46),$J$2:$J$1001,0),MATCH(COLUMNS($Q$1006:U1006),$Q$1006:$U$1006,0)), HYPERLINK("#",""), HYPERLINK(CONCATENATE("#Metadata!", ADDRESS(INDEX($L$2:$L$1001,MATCH(ROWS($J$2:J46),$J$2:$J$1001,0),0), INDEX($Q$1004:$U$1004,1,MATCH(COLUMNS($Q$1006:U1006),$Q$1006:$U$1006,0)))),"Fix")))</f>
        <v xml:space="preserve"> </v>
      </c>
      <c r="J46">
        <f ca="1"/>
        <v>45</v>
      </c>
      <c r="K46">
        <v>100046</v>
      </c>
      <c r="L46">
        <v>46</v>
      </c>
      <c r="M46" t="b">
        <f t="shared" si="0"/>
        <v>1</v>
      </c>
      <c r="N46" t="b">
        <f>COUNTBLANK(Metadata!B46:F46)=COLUMNS(Metadata!B46:F46)</f>
        <v>1</v>
      </c>
      <c r="O46" t="str">
        <v/>
      </c>
      <c r="Q46" t="b">
        <f ca="1"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R46" t="b">
        <f>IF(Metadata!C46="",FALSE,TRUE)</f>
        <v>0</v>
      </c>
      <c r="S46" t="b">
        <f>OR(AND(IF(Metadata!D46="",FALSE,TRUE),EXACT(Metadata!D46,"missing: not collected")),AND(IF(Metadata!D46="",FALSE,TRUE),OR(EXACT(Metadata!D46,"t"),EXACT(Metadata!D46,"f"))))</f>
        <v>0</v>
      </c>
      <c r="T46" t="b">
        <f>AND(IF(Metadata!E46="",FALSE,TRUE),OR(EXACT(Metadata!E46,"a"),EXACT(Metadata!E46,"b")))</f>
        <v>0</v>
      </c>
      <c r="U46" t="b">
        <f>OR(AND(IF(Metadata!F46="",FALSE,TRUE),OR(EXACT(Metadata!F46,"missing: not collected"),EXACT(Metadata!F46,"missing: not provided"))),AND(IF(Metadata!F46="",FALSE,TRUE),OR(EXACT(Metadata!F46,"lo"),EXACT(Metadata!F46,"med"),EXACT(Metadata!F46,"hi"))))</f>
        <v>0</v>
      </c>
    </row>
    <row r="47" spans="1:21" x14ac:dyDescent="0.2">
      <c r="A47" s="4" t="str">
        <f ca="1">IF(B47=" "," ",HYPERLINK(CONCATENATE("#metadata!",ADDRESS(INDEX($L$2:$L$1001,MATCH(ROWS($J$2:J47),$J$2:$J$1001,0),0),1)),INDEX($O$2:$O$1001,MATCH(ROWS($J$2:J47),$J$2:$J$1001,0),0)))</f>
        <v xml:space="preserve"> </v>
      </c>
      <c r="B47" s="3" t="str">
        <f ca="1">IF(OR(INDEX($K$2:$K$1001,MATCH(ROWS($J$2:J47),$J$2:$J$1001,0),1)&gt;=100000,INDEX($Q$1005:$U$1005,1,MATCH(COLUMNS($Q$1006:Q1006),$Q$1006:$U$1006,0))&gt;=100000), " ",IF(INDEX($Q$2:$U$1001,MATCH(ROWS($J$2:J47),$J$2:$J$1001,0),MATCH(COLUMNS($Q$1006:Q1006),$Q$1006:$U$1006,0)), HYPERLINK("#",""), HYPERLINK(CONCATENATE("#Metadata!", ADDRESS(INDEX($L$2:$L$1001,MATCH(ROWS($J$2:J47),$J$2:$J$1001,0),0), INDEX($Q$1004:$U$1004,1,MATCH(COLUMNS($Q$1006:Q1006),$Q$1006:$U$1006,0)))),"Fix")))</f>
        <v xml:space="preserve"> </v>
      </c>
      <c r="C47" s="3" t="str">
        <f ca="1">IF(OR(INDEX($K$2:$K$1001,MATCH(ROWS($J$2:J47),$J$2:$J$1001,0),1)&gt;=100000,INDEX($Q$1005:$U$1005,1,MATCH(COLUMNS($Q$1006:R1006),$Q$1006:$U$1006,0))&gt;=100000), " ",IF(INDEX($Q$2:$U$1001,MATCH(ROWS($J$2:J47),$J$2:$J$1001,0),MATCH(COLUMNS($Q$1006:R1006),$Q$1006:$U$1006,0)), HYPERLINK("#",""), HYPERLINK(CONCATENATE("#Metadata!", ADDRESS(INDEX($L$2:$L$1001,MATCH(ROWS($J$2:J47),$J$2:$J$1001,0),0), INDEX($Q$1004:$U$1004,1,MATCH(COLUMNS($Q$1006:R1006),$Q$1006:$U$1006,0)))),"Fix")))</f>
        <v xml:space="preserve"> </v>
      </c>
      <c r="D47" s="3" t="str">
        <f ca="1">IF(OR(INDEX($K$2:$K$1001,MATCH(ROWS($J$2:J47),$J$2:$J$1001,0),1)&gt;=100000,INDEX($Q$1005:$U$1005,1,MATCH(COLUMNS($Q$1006:S1006),$Q$1006:$U$1006,0))&gt;=100000), " ",IF(INDEX($Q$2:$U$1001,MATCH(ROWS($J$2:J47),$J$2:$J$1001,0),MATCH(COLUMNS($Q$1006:S1006),$Q$1006:$U$1006,0)), HYPERLINK("#",""), HYPERLINK(CONCATENATE("#Metadata!", ADDRESS(INDEX($L$2:$L$1001,MATCH(ROWS($J$2:J47),$J$2:$J$1001,0),0), INDEX($Q$1004:$U$1004,1,MATCH(COLUMNS($Q$1006:S1006),$Q$1006:$U$1006,0)))),"Fix")))</f>
        <v xml:space="preserve"> </v>
      </c>
      <c r="E47" s="3" t="str">
        <f ca="1">IF(OR(INDEX($K$2:$K$1001,MATCH(ROWS($J$2:J47),$J$2:$J$1001,0),1)&gt;=100000,INDEX($Q$1005:$U$1005,1,MATCH(COLUMNS($Q$1006:T1006),$Q$1006:$U$1006,0))&gt;=100000), " ",IF(INDEX($Q$2:$U$1001,MATCH(ROWS($J$2:J47),$J$2:$J$1001,0),MATCH(COLUMNS($Q$1006:T1006),$Q$1006:$U$1006,0)), HYPERLINK("#",""), HYPERLINK(CONCATENATE("#Metadata!", ADDRESS(INDEX($L$2:$L$1001,MATCH(ROWS($J$2:J47),$J$2:$J$1001,0),0), INDEX($Q$1004:$U$1004,1,MATCH(COLUMNS($Q$1006:T1006),$Q$1006:$U$1006,0)))),"Fix")))</f>
        <v xml:space="preserve"> </v>
      </c>
      <c r="F47" s="3" t="str">
        <f ca="1">IF(OR(INDEX($K$2:$K$1001,MATCH(ROWS($J$2:J47),$J$2:$J$1001,0),1)&gt;=100000,INDEX($Q$1005:$U$1005,1,MATCH(COLUMNS($Q$1006:U1006),$Q$1006:$U$1006,0))&gt;=100000), " ",IF(INDEX($Q$2:$U$1001,MATCH(ROWS($J$2:J47),$J$2:$J$1001,0),MATCH(COLUMNS($Q$1006:U1006),$Q$1006:$U$1006,0)), HYPERLINK("#",""), HYPERLINK(CONCATENATE("#Metadata!", ADDRESS(INDEX($L$2:$L$1001,MATCH(ROWS($J$2:J47),$J$2:$J$1001,0),0), INDEX($Q$1004:$U$1004,1,MATCH(COLUMNS($Q$1006:U1006),$Q$1006:$U$1006,0)))),"Fix")))</f>
        <v xml:space="preserve"> </v>
      </c>
      <c r="J47">
        <f ca="1"/>
        <v>46</v>
      </c>
      <c r="K47">
        <v>100047</v>
      </c>
      <c r="L47">
        <v>47</v>
      </c>
      <c r="M47" t="b">
        <f t="shared" si="0"/>
        <v>1</v>
      </c>
      <c r="N47" t="b">
        <f>COUNTBLANK(Metadata!B47:F47)=COLUMNS(Metadata!B47:F47)</f>
        <v>1</v>
      </c>
      <c r="O47" t="str">
        <v/>
      </c>
      <c r="Q47" t="b">
        <f ca="1"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R47" t="b">
        <f>IF(Metadata!C47="",FALSE,TRUE)</f>
        <v>0</v>
      </c>
      <c r="S47" t="b">
        <f>OR(AND(IF(Metadata!D47="",FALSE,TRUE),EXACT(Metadata!D47,"missing: not collected")),AND(IF(Metadata!D47="",FALSE,TRUE),OR(EXACT(Metadata!D47,"t"),EXACT(Metadata!D47,"f"))))</f>
        <v>0</v>
      </c>
      <c r="T47" t="b">
        <f>AND(IF(Metadata!E47="",FALSE,TRUE),OR(EXACT(Metadata!E47,"a"),EXACT(Metadata!E47,"b")))</f>
        <v>0</v>
      </c>
      <c r="U47" t="b">
        <f>OR(AND(IF(Metadata!F47="",FALSE,TRUE),OR(EXACT(Metadata!F47,"missing: not collected"),EXACT(Metadata!F47,"missing: not provided"))),AND(IF(Metadata!F47="",FALSE,TRUE),OR(EXACT(Metadata!F47,"lo"),EXACT(Metadata!F47,"med"),EXACT(Metadata!F47,"hi"))))</f>
        <v>0</v>
      </c>
    </row>
    <row r="48" spans="1:21" x14ac:dyDescent="0.2">
      <c r="A48" s="4" t="str">
        <f ca="1">IF(B48=" "," ",HYPERLINK(CONCATENATE("#metadata!",ADDRESS(INDEX($L$2:$L$1001,MATCH(ROWS($J$2:J48),$J$2:$J$1001,0),0),1)),INDEX($O$2:$O$1001,MATCH(ROWS($J$2:J48),$J$2:$J$1001,0),0)))</f>
        <v xml:space="preserve"> </v>
      </c>
      <c r="B48" s="3" t="str">
        <f ca="1">IF(OR(INDEX($K$2:$K$1001,MATCH(ROWS($J$2:J48),$J$2:$J$1001,0),1)&gt;=100000,INDEX($Q$1005:$U$1005,1,MATCH(COLUMNS($Q$1006:Q1006),$Q$1006:$U$1006,0))&gt;=100000), " ",IF(INDEX($Q$2:$U$1001,MATCH(ROWS($J$2:J48),$J$2:$J$1001,0),MATCH(COLUMNS($Q$1006:Q1006),$Q$1006:$U$1006,0)), HYPERLINK("#",""), HYPERLINK(CONCATENATE("#Metadata!", ADDRESS(INDEX($L$2:$L$1001,MATCH(ROWS($J$2:J48),$J$2:$J$1001,0),0), INDEX($Q$1004:$U$1004,1,MATCH(COLUMNS($Q$1006:Q1006),$Q$1006:$U$1006,0)))),"Fix")))</f>
        <v xml:space="preserve"> </v>
      </c>
      <c r="C48" s="3" t="str">
        <f ca="1">IF(OR(INDEX($K$2:$K$1001,MATCH(ROWS($J$2:J48),$J$2:$J$1001,0),1)&gt;=100000,INDEX($Q$1005:$U$1005,1,MATCH(COLUMNS($Q$1006:R1006),$Q$1006:$U$1006,0))&gt;=100000), " ",IF(INDEX($Q$2:$U$1001,MATCH(ROWS($J$2:J48),$J$2:$J$1001,0),MATCH(COLUMNS($Q$1006:R1006),$Q$1006:$U$1006,0)), HYPERLINK("#",""), HYPERLINK(CONCATENATE("#Metadata!", ADDRESS(INDEX($L$2:$L$1001,MATCH(ROWS($J$2:J48),$J$2:$J$1001,0),0), INDEX($Q$1004:$U$1004,1,MATCH(COLUMNS($Q$1006:R1006),$Q$1006:$U$1006,0)))),"Fix")))</f>
        <v xml:space="preserve"> </v>
      </c>
      <c r="D48" s="3" t="str">
        <f ca="1">IF(OR(INDEX($K$2:$K$1001,MATCH(ROWS($J$2:J48),$J$2:$J$1001,0),1)&gt;=100000,INDEX($Q$1005:$U$1005,1,MATCH(COLUMNS($Q$1006:S1006),$Q$1006:$U$1006,0))&gt;=100000), " ",IF(INDEX($Q$2:$U$1001,MATCH(ROWS($J$2:J48),$J$2:$J$1001,0),MATCH(COLUMNS($Q$1006:S1006),$Q$1006:$U$1006,0)), HYPERLINK("#",""), HYPERLINK(CONCATENATE("#Metadata!", ADDRESS(INDEX($L$2:$L$1001,MATCH(ROWS($J$2:J48),$J$2:$J$1001,0),0), INDEX($Q$1004:$U$1004,1,MATCH(COLUMNS($Q$1006:S1006),$Q$1006:$U$1006,0)))),"Fix")))</f>
        <v xml:space="preserve"> </v>
      </c>
      <c r="E48" s="3" t="str">
        <f ca="1">IF(OR(INDEX($K$2:$K$1001,MATCH(ROWS($J$2:J48),$J$2:$J$1001,0),1)&gt;=100000,INDEX($Q$1005:$U$1005,1,MATCH(COLUMNS($Q$1006:T1006),$Q$1006:$U$1006,0))&gt;=100000), " ",IF(INDEX($Q$2:$U$1001,MATCH(ROWS($J$2:J48),$J$2:$J$1001,0),MATCH(COLUMNS($Q$1006:T1006),$Q$1006:$U$1006,0)), HYPERLINK("#",""), HYPERLINK(CONCATENATE("#Metadata!", ADDRESS(INDEX($L$2:$L$1001,MATCH(ROWS($J$2:J48),$J$2:$J$1001,0),0), INDEX($Q$1004:$U$1004,1,MATCH(COLUMNS($Q$1006:T1006),$Q$1006:$U$1006,0)))),"Fix")))</f>
        <v xml:space="preserve"> </v>
      </c>
      <c r="F48" s="3" t="str">
        <f ca="1">IF(OR(INDEX($K$2:$K$1001,MATCH(ROWS($J$2:J48),$J$2:$J$1001,0),1)&gt;=100000,INDEX($Q$1005:$U$1005,1,MATCH(COLUMNS($Q$1006:U1006),$Q$1006:$U$1006,0))&gt;=100000), " ",IF(INDEX($Q$2:$U$1001,MATCH(ROWS($J$2:J48),$J$2:$J$1001,0),MATCH(COLUMNS($Q$1006:U1006),$Q$1006:$U$1006,0)), HYPERLINK("#",""), HYPERLINK(CONCATENATE("#Metadata!", ADDRESS(INDEX($L$2:$L$1001,MATCH(ROWS($J$2:J48),$J$2:$J$1001,0),0), INDEX($Q$1004:$U$1004,1,MATCH(COLUMNS($Q$1006:U1006),$Q$1006:$U$1006,0)))),"Fix")))</f>
        <v xml:space="preserve"> </v>
      </c>
      <c r="J48">
        <f ca="1"/>
        <v>47</v>
      </c>
      <c r="K48">
        <v>100048</v>
      </c>
      <c r="L48">
        <v>48</v>
      </c>
      <c r="M48" t="b">
        <f t="shared" si="0"/>
        <v>1</v>
      </c>
      <c r="N48" t="b">
        <f>COUNTBLANK(Metadata!B48:F48)=COLUMNS(Metadata!B48:F48)</f>
        <v>1</v>
      </c>
      <c r="O48" t="str">
        <v/>
      </c>
      <c r="Q48" t="b">
        <f ca="1"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R48" t="b">
        <f>IF(Metadata!C48="",FALSE,TRUE)</f>
        <v>0</v>
      </c>
      <c r="S48" t="b">
        <f>OR(AND(IF(Metadata!D48="",FALSE,TRUE),EXACT(Metadata!D48,"missing: not collected")),AND(IF(Metadata!D48="",FALSE,TRUE),OR(EXACT(Metadata!D48,"t"),EXACT(Metadata!D48,"f"))))</f>
        <v>0</v>
      </c>
      <c r="T48" t="b">
        <f>AND(IF(Metadata!E48="",FALSE,TRUE),OR(EXACT(Metadata!E48,"a"),EXACT(Metadata!E48,"b")))</f>
        <v>0</v>
      </c>
      <c r="U48" t="b">
        <f>OR(AND(IF(Metadata!F48="",FALSE,TRUE),OR(EXACT(Metadata!F48,"missing: not collected"),EXACT(Metadata!F48,"missing: not provided"))),AND(IF(Metadata!F48="",FALSE,TRUE),OR(EXACT(Metadata!F48,"lo"),EXACT(Metadata!F48,"med"),EXACT(Metadata!F48,"hi"))))</f>
        <v>0</v>
      </c>
    </row>
    <row r="49" spans="1:21" x14ac:dyDescent="0.2">
      <c r="A49" s="4" t="str">
        <f ca="1">IF(B49=" "," ",HYPERLINK(CONCATENATE("#metadata!",ADDRESS(INDEX($L$2:$L$1001,MATCH(ROWS($J$2:J49),$J$2:$J$1001,0),0),1)),INDEX($O$2:$O$1001,MATCH(ROWS($J$2:J49),$J$2:$J$1001,0),0)))</f>
        <v xml:space="preserve"> </v>
      </c>
      <c r="B49" s="3" t="str">
        <f ca="1">IF(OR(INDEX($K$2:$K$1001,MATCH(ROWS($J$2:J49),$J$2:$J$1001,0),1)&gt;=100000,INDEX($Q$1005:$U$1005,1,MATCH(COLUMNS($Q$1006:Q1006),$Q$1006:$U$1006,0))&gt;=100000), " ",IF(INDEX($Q$2:$U$1001,MATCH(ROWS($J$2:J49),$J$2:$J$1001,0),MATCH(COLUMNS($Q$1006:Q1006),$Q$1006:$U$1006,0)), HYPERLINK("#",""), HYPERLINK(CONCATENATE("#Metadata!", ADDRESS(INDEX($L$2:$L$1001,MATCH(ROWS($J$2:J49),$J$2:$J$1001,0),0), INDEX($Q$1004:$U$1004,1,MATCH(COLUMNS($Q$1006:Q1006),$Q$1006:$U$1006,0)))),"Fix")))</f>
        <v xml:space="preserve"> </v>
      </c>
      <c r="C49" s="3" t="str">
        <f ca="1">IF(OR(INDEX($K$2:$K$1001,MATCH(ROWS($J$2:J49),$J$2:$J$1001,0),1)&gt;=100000,INDEX($Q$1005:$U$1005,1,MATCH(COLUMNS($Q$1006:R1006),$Q$1006:$U$1006,0))&gt;=100000), " ",IF(INDEX($Q$2:$U$1001,MATCH(ROWS($J$2:J49),$J$2:$J$1001,0),MATCH(COLUMNS($Q$1006:R1006),$Q$1006:$U$1006,0)), HYPERLINK("#",""), HYPERLINK(CONCATENATE("#Metadata!", ADDRESS(INDEX($L$2:$L$1001,MATCH(ROWS($J$2:J49),$J$2:$J$1001,0),0), INDEX($Q$1004:$U$1004,1,MATCH(COLUMNS($Q$1006:R1006),$Q$1006:$U$1006,0)))),"Fix")))</f>
        <v xml:space="preserve"> </v>
      </c>
      <c r="D49" s="3" t="str">
        <f ca="1">IF(OR(INDEX($K$2:$K$1001,MATCH(ROWS($J$2:J49),$J$2:$J$1001,0),1)&gt;=100000,INDEX($Q$1005:$U$1005,1,MATCH(COLUMNS($Q$1006:S1006),$Q$1006:$U$1006,0))&gt;=100000), " ",IF(INDEX($Q$2:$U$1001,MATCH(ROWS($J$2:J49),$J$2:$J$1001,0),MATCH(COLUMNS($Q$1006:S1006),$Q$1006:$U$1006,0)), HYPERLINK("#",""), HYPERLINK(CONCATENATE("#Metadata!", ADDRESS(INDEX($L$2:$L$1001,MATCH(ROWS($J$2:J49),$J$2:$J$1001,0),0), INDEX($Q$1004:$U$1004,1,MATCH(COLUMNS($Q$1006:S1006),$Q$1006:$U$1006,0)))),"Fix")))</f>
        <v xml:space="preserve"> </v>
      </c>
      <c r="E49" s="3" t="str">
        <f ca="1">IF(OR(INDEX($K$2:$K$1001,MATCH(ROWS($J$2:J49),$J$2:$J$1001,0),1)&gt;=100000,INDEX($Q$1005:$U$1005,1,MATCH(COLUMNS($Q$1006:T1006),$Q$1006:$U$1006,0))&gt;=100000), " ",IF(INDEX($Q$2:$U$1001,MATCH(ROWS($J$2:J49),$J$2:$J$1001,0),MATCH(COLUMNS($Q$1006:T1006),$Q$1006:$U$1006,0)), HYPERLINK("#",""), HYPERLINK(CONCATENATE("#Metadata!", ADDRESS(INDEX($L$2:$L$1001,MATCH(ROWS($J$2:J49),$J$2:$J$1001,0),0), INDEX($Q$1004:$U$1004,1,MATCH(COLUMNS($Q$1006:T1006),$Q$1006:$U$1006,0)))),"Fix")))</f>
        <v xml:space="preserve"> </v>
      </c>
      <c r="F49" s="3" t="str">
        <f ca="1">IF(OR(INDEX($K$2:$K$1001,MATCH(ROWS($J$2:J49),$J$2:$J$1001,0),1)&gt;=100000,INDEX($Q$1005:$U$1005,1,MATCH(COLUMNS($Q$1006:U1006),$Q$1006:$U$1006,0))&gt;=100000), " ",IF(INDEX($Q$2:$U$1001,MATCH(ROWS($J$2:J49),$J$2:$J$1001,0),MATCH(COLUMNS($Q$1006:U1006),$Q$1006:$U$1006,0)), HYPERLINK("#",""), HYPERLINK(CONCATENATE("#Metadata!", ADDRESS(INDEX($L$2:$L$1001,MATCH(ROWS($J$2:J49),$J$2:$J$1001,0),0), INDEX($Q$1004:$U$1004,1,MATCH(COLUMNS($Q$1006:U1006),$Q$1006:$U$1006,0)))),"Fix")))</f>
        <v xml:space="preserve"> </v>
      </c>
      <c r="J49">
        <f ca="1"/>
        <v>48</v>
      </c>
      <c r="K49">
        <v>100049</v>
      </c>
      <c r="L49">
        <v>49</v>
      </c>
      <c r="M49" t="b">
        <f t="shared" si="0"/>
        <v>1</v>
      </c>
      <c r="N49" t="b">
        <f>COUNTBLANK(Metadata!B49:F49)=COLUMNS(Metadata!B49:F49)</f>
        <v>1</v>
      </c>
      <c r="O49" t="str">
        <v/>
      </c>
      <c r="Q49" t="b">
        <f ca="1"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R49" t="b">
        <f>IF(Metadata!C49="",FALSE,TRUE)</f>
        <v>0</v>
      </c>
      <c r="S49" t="b">
        <f>OR(AND(IF(Metadata!D49="",FALSE,TRUE),EXACT(Metadata!D49,"missing: not collected")),AND(IF(Metadata!D49="",FALSE,TRUE),OR(EXACT(Metadata!D49,"t"),EXACT(Metadata!D49,"f"))))</f>
        <v>0</v>
      </c>
      <c r="T49" t="b">
        <f>AND(IF(Metadata!E49="",FALSE,TRUE),OR(EXACT(Metadata!E49,"a"),EXACT(Metadata!E49,"b")))</f>
        <v>0</v>
      </c>
      <c r="U49" t="b">
        <f>OR(AND(IF(Metadata!F49="",FALSE,TRUE),OR(EXACT(Metadata!F49,"missing: not collected"),EXACT(Metadata!F49,"missing: not provided"))),AND(IF(Metadata!F49="",FALSE,TRUE),OR(EXACT(Metadata!F49,"lo"),EXACT(Metadata!F49,"med"),EXACT(Metadata!F49,"hi"))))</f>
        <v>0</v>
      </c>
    </row>
    <row r="50" spans="1:21" x14ac:dyDescent="0.2">
      <c r="A50" s="4" t="str">
        <f ca="1">IF(B50=" "," ",HYPERLINK(CONCATENATE("#metadata!",ADDRESS(INDEX($L$2:$L$1001,MATCH(ROWS($J$2:J50),$J$2:$J$1001,0),0),1)),INDEX($O$2:$O$1001,MATCH(ROWS($J$2:J50),$J$2:$J$1001,0),0)))</f>
        <v xml:space="preserve"> </v>
      </c>
      <c r="B50" s="3" t="str">
        <f ca="1">IF(OR(INDEX($K$2:$K$1001,MATCH(ROWS($J$2:J50),$J$2:$J$1001,0),1)&gt;=100000,INDEX($Q$1005:$U$1005,1,MATCH(COLUMNS($Q$1006:Q1006),$Q$1006:$U$1006,0))&gt;=100000), " ",IF(INDEX($Q$2:$U$1001,MATCH(ROWS($J$2:J50),$J$2:$J$1001,0),MATCH(COLUMNS($Q$1006:Q1006),$Q$1006:$U$1006,0)), HYPERLINK("#",""), HYPERLINK(CONCATENATE("#Metadata!", ADDRESS(INDEX($L$2:$L$1001,MATCH(ROWS($J$2:J50),$J$2:$J$1001,0),0), INDEX($Q$1004:$U$1004,1,MATCH(COLUMNS($Q$1006:Q1006),$Q$1006:$U$1006,0)))),"Fix")))</f>
        <v xml:space="preserve"> </v>
      </c>
      <c r="C50" s="3" t="str">
        <f ca="1">IF(OR(INDEX($K$2:$K$1001,MATCH(ROWS($J$2:J50),$J$2:$J$1001,0),1)&gt;=100000,INDEX($Q$1005:$U$1005,1,MATCH(COLUMNS($Q$1006:R1006),$Q$1006:$U$1006,0))&gt;=100000), " ",IF(INDEX($Q$2:$U$1001,MATCH(ROWS($J$2:J50),$J$2:$J$1001,0),MATCH(COLUMNS($Q$1006:R1006),$Q$1006:$U$1006,0)), HYPERLINK("#",""), HYPERLINK(CONCATENATE("#Metadata!", ADDRESS(INDEX($L$2:$L$1001,MATCH(ROWS($J$2:J50),$J$2:$J$1001,0),0), INDEX($Q$1004:$U$1004,1,MATCH(COLUMNS($Q$1006:R1006),$Q$1006:$U$1006,0)))),"Fix")))</f>
        <v xml:space="preserve"> </v>
      </c>
      <c r="D50" s="3" t="str">
        <f ca="1">IF(OR(INDEX($K$2:$K$1001,MATCH(ROWS($J$2:J50),$J$2:$J$1001,0),1)&gt;=100000,INDEX($Q$1005:$U$1005,1,MATCH(COLUMNS($Q$1006:S1006),$Q$1006:$U$1006,0))&gt;=100000), " ",IF(INDEX($Q$2:$U$1001,MATCH(ROWS($J$2:J50),$J$2:$J$1001,0),MATCH(COLUMNS($Q$1006:S1006),$Q$1006:$U$1006,0)), HYPERLINK("#",""), HYPERLINK(CONCATENATE("#Metadata!", ADDRESS(INDEX($L$2:$L$1001,MATCH(ROWS($J$2:J50),$J$2:$J$1001,0),0), INDEX($Q$1004:$U$1004,1,MATCH(COLUMNS($Q$1006:S1006),$Q$1006:$U$1006,0)))),"Fix")))</f>
        <v xml:space="preserve"> </v>
      </c>
      <c r="E50" s="3" t="str">
        <f ca="1">IF(OR(INDEX($K$2:$K$1001,MATCH(ROWS($J$2:J50),$J$2:$J$1001,0),1)&gt;=100000,INDEX($Q$1005:$U$1005,1,MATCH(COLUMNS($Q$1006:T1006),$Q$1006:$U$1006,0))&gt;=100000), " ",IF(INDEX($Q$2:$U$1001,MATCH(ROWS($J$2:J50),$J$2:$J$1001,0),MATCH(COLUMNS($Q$1006:T1006),$Q$1006:$U$1006,0)), HYPERLINK("#",""), HYPERLINK(CONCATENATE("#Metadata!", ADDRESS(INDEX($L$2:$L$1001,MATCH(ROWS($J$2:J50),$J$2:$J$1001,0),0), INDEX($Q$1004:$U$1004,1,MATCH(COLUMNS($Q$1006:T1006),$Q$1006:$U$1006,0)))),"Fix")))</f>
        <v xml:space="preserve"> </v>
      </c>
      <c r="F50" s="3" t="str">
        <f ca="1">IF(OR(INDEX($K$2:$K$1001,MATCH(ROWS($J$2:J50),$J$2:$J$1001,0),1)&gt;=100000,INDEX($Q$1005:$U$1005,1,MATCH(COLUMNS($Q$1006:U1006),$Q$1006:$U$1006,0))&gt;=100000), " ",IF(INDEX($Q$2:$U$1001,MATCH(ROWS($J$2:J50),$J$2:$J$1001,0),MATCH(COLUMNS($Q$1006:U1006),$Q$1006:$U$1006,0)), HYPERLINK("#",""), HYPERLINK(CONCATENATE("#Metadata!", ADDRESS(INDEX($L$2:$L$1001,MATCH(ROWS($J$2:J50),$J$2:$J$1001,0),0), INDEX($Q$1004:$U$1004,1,MATCH(COLUMNS($Q$1006:U1006),$Q$1006:$U$1006,0)))),"Fix")))</f>
        <v xml:space="preserve"> </v>
      </c>
      <c r="J50">
        <f ca="1"/>
        <v>49</v>
      </c>
      <c r="K50">
        <v>100050</v>
      </c>
      <c r="L50">
        <v>50</v>
      </c>
      <c r="M50" t="b">
        <f t="shared" si="0"/>
        <v>1</v>
      </c>
      <c r="N50" t="b">
        <f>COUNTBLANK(Metadata!B50:F50)=COLUMNS(Metadata!B50:F50)</f>
        <v>1</v>
      </c>
      <c r="O50" t="str">
        <v/>
      </c>
      <c r="Q50" t="b">
        <f ca="1"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R50" t="b">
        <f>IF(Metadata!C50="",FALSE,TRUE)</f>
        <v>0</v>
      </c>
      <c r="S50" t="b">
        <f>OR(AND(IF(Metadata!D50="",FALSE,TRUE),EXACT(Metadata!D50,"missing: not collected")),AND(IF(Metadata!D50="",FALSE,TRUE),OR(EXACT(Metadata!D50,"t"),EXACT(Metadata!D50,"f"))))</f>
        <v>0</v>
      </c>
      <c r="T50" t="b">
        <f>AND(IF(Metadata!E50="",FALSE,TRUE),OR(EXACT(Metadata!E50,"a"),EXACT(Metadata!E50,"b")))</f>
        <v>0</v>
      </c>
      <c r="U50" t="b">
        <f>OR(AND(IF(Metadata!F50="",FALSE,TRUE),OR(EXACT(Metadata!F50,"missing: not collected"),EXACT(Metadata!F50,"missing: not provided"))),AND(IF(Metadata!F50="",FALSE,TRUE),OR(EXACT(Metadata!F50,"lo"),EXACT(Metadata!F50,"med"),EXACT(Metadata!F50,"hi"))))</f>
        <v>0</v>
      </c>
    </row>
    <row r="51" spans="1:21" x14ac:dyDescent="0.2">
      <c r="A51" s="4" t="str">
        <f ca="1">IF(B51=" "," ",HYPERLINK(CONCATENATE("#metadata!",ADDRESS(INDEX($L$2:$L$1001,MATCH(ROWS($J$2:J51),$J$2:$J$1001,0),0),1)),INDEX($O$2:$O$1001,MATCH(ROWS($J$2:J51),$J$2:$J$1001,0),0)))</f>
        <v xml:space="preserve"> </v>
      </c>
      <c r="B51" s="3" t="str">
        <f ca="1">IF(OR(INDEX($K$2:$K$1001,MATCH(ROWS($J$2:J51),$J$2:$J$1001,0),1)&gt;=100000,INDEX($Q$1005:$U$1005,1,MATCH(COLUMNS($Q$1006:Q1006),$Q$1006:$U$1006,0))&gt;=100000), " ",IF(INDEX($Q$2:$U$1001,MATCH(ROWS($J$2:J51),$J$2:$J$1001,0),MATCH(COLUMNS($Q$1006:Q1006),$Q$1006:$U$1006,0)), HYPERLINK("#",""), HYPERLINK(CONCATENATE("#Metadata!", ADDRESS(INDEX($L$2:$L$1001,MATCH(ROWS($J$2:J51),$J$2:$J$1001,0),0), INDEX($Q$1004:$U$1004,1,MATCH(COLUMNS($Q$1006:Q1006),$Q$1006:$U$1006,0)))),"Fix")))</f>
        <v xml:space="preserve"> </v>
      </c>
      <c r="C51" s="3" t="str">
        <f ca="1">IF(OR(INDEX($K$2:$K$1001,MATCH(ROWS($J$2:J51),$J$2:$J$1001,0),1)&gt;=100000,INDEX($Q$1005:$U$1005,1,MATCH(COLUMNS($Q$1006:R1006),$Q$1006:$U$1006,0))&gt;=100000), " ",IF(INDEX($Q$2:$U$1001,MATCH(ROWS($J$2:J51),$J$2:$J$1001,0),MATCH(COLUMNS($Q$1006:R1006),$Q$1006:$U$1006,0)), HYPERLINK("#",""), HYPERLINK(CONCATENATE("#Metadata!", ADDRESS(INDEX($L$2:$L$1001,MATCH(ROWS($J$2:J51),$J$2:$J$1001,0),0), INDEX($Q$1004:$U$1004,1,MATCH(COLUMNS($Q$1006:R1006),$Q$1006:$U$1006,0)))),"Fix")))</f>
        <v xml:space="preserve"> </v>
      </c>
      <c r="D51" s="3" t="str">
        <f ca="1">IF(OR(INDEX($K$2:$K$1001,MATCH(ROWS($J$2:J51),$J$2:$J$1001,0),1)&gt;=100000,INDEX($Q$1005:$U$1005,1,MATCH(COLUMNS($Q$1006:S1006),$Q$1006:$U$1006,0))&gt;=100000), " ",IF(INDEX($Q$2:$U$1001,MATCH(ROWS($J$2:J51),$J$2:$J$1001,0),MATCH(COLUMNS($Q$1006:S1006),$Q$1006:$U$1006,0)), HYPERLINK("#",""), HYPERLINK(CONCATENATE("#Metadata!", ADDRESS(INDEX($L$2:$L$1001,MATCH(ROWS($J$2:J51),$J$2:$J$1001,0),0), INDEX($Q$1004:$U$1004,1,MATCH(COLUMNS($Q$1006:S1006),$Q$1006:$U$1006,0)))),"Fix")))</f>
        <v xml:space="preserve"> </v>
      </c>
      <c r="E51" s="3" t="str">
        <f ca="1">IF(OR(INDEX($K$2:$K$1001,MATCH(ROWS($J$2:J51),$J$2:$J$1001,0),1)&gt;=100000,INDEX($Q$1005:$U$1005,1,MATCH(COLUMNS($Q$1006:T1006),$Q$1006:$U$1006,0))&gt;=100000), " ",IF(INDEX($Q$2:$U$1001,MATCH(ROWS($J$2:J51),$J$2:$J$1001,0),MATCH(COLUMNS($Q$1006:T1006),$Q$1006:$U$1006,0)), HYPERLINK("#",""), HYPERLINK(CONCATENATE("#Metadata!", ADDRESS(INDEX($L$2:$L$1001,MATCH(ROWS($J$2:J51),$J$2:$J$1001,0),0), INDEX($Q$1004:$U$1004,1,MATCH(COLUMNS($Q$1006:T1006),$Q$1006:$U$1006,0)))),"Fix")))</f>
        <v xml:space="preserve"> </v>
      </c>
      <c r="F51" s="3" t="str">
        <f ca="1">IF(OR(INDEX($K$2:$K$1001,MATCH(ROWS($J$2:J51),$J$2:$J$1001,0),1)&gt;=100000,INDEX($Q$1005:$U$1005,1,MATCH(COLUMNS($Q$1006:U1006),$Q$1006:$U$1006,0))&gt;=100000), " ",IF(INDEX($Q$2:$U$1001,MATCH(ROWS($J$2:J51),$J$2:$J$1001,0),MATCH(COLUMNS($Q$1006:U1006),$Q$1006:$U$1006,0)), HYPERLINK("#",""), HYPERLINK(CONCATENATE("#Metadata!", ADDRESS(INDEX($L$2:$L$1001,MATCH(ROWS($J$2:J51),$J$2:$J$1001,0),0), INDEX($Q$1004:$U$1004,1,MATCH(COLUMNS($Q$1006:U1006),$Q$1006:$U$1006,0)))),"Fix")))</f>
        <v xml:space="preserve"> </v>
      </c>
      <c r="J51">
        <f ca="1"/>
        <v>50</v>
      </c>
      <c r="K51">
        <v>100051</v>
      </c>
      <c r="L51">
        <v>51</v>
      </c>
      <c r="M51" t="b">
        <f t="shared" si="0"/>
        <v>1</v>
      </c>
      <c r="N51" t="b">
        <f>COUNTBLANK(Metadata!B51:F51)=COLUMNS(Metadata!B51:F51)</f>
        <v>1</v>
      </c>
      <c r="O51" t="str">
        <v/>
      </c>
      <c r="Q51" t="b">
        <f ca="1"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R51" t="b">
        <f>IF(Metadata!C51="",FALSE,TRUE)</f>
        <v>0</v>
      </c>
      <c r="S51" t="b">
        <f>OR(AND(IF(Metadata!D51="",FALSE,TRUE),EXACT(Metadata!D51,"missing: not collected")),AND(IF(Metadata!D51="",FALSE,TRUE),OR(EXACT(Metadata!D51,"t"),EXACT(Metadata!D51,"f"))))</f>
        <v>0</v>
      </c>
      <c r="T51" t="b">
        <f>AND(IF(Metadata!E51="",FALSE,TRUE),OR(EXACT(Metadata!E51,"a"),EXACT(Metadata!E51,"b")))</f>
        <v>0</v>
      </c>
      <c r="U51" t="b">
        <f>OR(AND(IF(Metadata!F51="",FALSE,TRUE),OR(EXACT(Metadata!F51,"missing: not collected"),EXACT(Metadata!F51,"missing: not provided"))),AND(IF(Metadata!F51="",FALSE,TRUE),OR(EXACT(Metadata!F51,"lo"),EXACT(Metadata!F51,"med"),EXACT(Metadata!F51,"hi"))))</f>
        <v>0</v>
      </c>
    </row>
    <row r="52" spans="1:21" x14ac:dyDescent="0.2">
      <c r="A52" s="4" t="str">
        <f ca="1">IF(B52=" "," ",HYPERLINK(CONCATENATE("#metadata!",ADDRESS(INDEX($L$2:$L$1001,MATCH(ROWS($J$2:J52),$J$2:$J$1001,0),0),1)),INDEX($O$2:$O$1001,MATCH(ROWS($J$2:J52),$J$2:$J$1001,0),0)))</f>
        <v xml:space="preserve"> </v>
      </c>
      <c r="B52" s="3" t="str">
        <f ca="1">IF(OR(INDEX($K$2:$K$1001,MATCH(ROWS($J$2:J52),$J$2:$J$1001,0),1)&gt;=100000,INDEX($Q$1005:$U$1005,1,MATCH(COLUMNS($Q$1006:Q1006),$Q$1006:$U$1006,0))&gt;=100000), " ",IF(INDEX($Q$2:$U$1001,MATCH(ROWS($J$2:J52),$J$2:$J$1001,0),MATCH(COLUMNS($Q$1006:Q1006),$Q$1006:$U$1006,0)), HYPERLINK("#",""), HYPERLINK(CONCATENATE("#Metadata!", ADDRESS(INDEX($L$2:$L$1001,MATCH(ROWS($J$2:J52),$J$2:$J$1001,0),0), INDEX($Q$1004:$U$1004,1,MATCH(COLUMNS($Q$1006:Q1006),$Q$1006:$U$1006,0)))),"Fix")))</f>
        <v xml:space="preserve"> </v>
      </c>
      <c r="C52" s="3" t="str">
        <f ca="1">IF(OR(INDEX($K$2:$K$1001,MATCH(ROWS($J$2:J52),$J$2:$J$1001,0),1)&gt;=100000,INDEX($Q$1005:$U$1005,1,MATCH(COLUMNS($Q$1006:R1006),$Q$1006:$U$1006,0))&gt;=100000), " ",IF(INDEX($Q$2:$U$1001,MATCH(ROWS($J$2:J52),$J$2:$J$1001,0),MATCH(COLUMNS($Q$1006:R1006),$Q$1006:$U$1006,0)), HYPERLINK("#",""), HYPERLINK(CONCATENATE("#Metadata!", ADDRESS(INDEX($L$2:$L$1001,MATCH(ROWS($J$2:J52),$J$2:$J$1001,0),0), INDEX($Q$1004:$U$1004,1,MATCH(COLUMNS($Q$1006:R1006),$Q$1006:$U$1006,0)))),"Fix")))</f>
        <v xml:space="preserve"> </v>
      </c>
      <c r="D52" s="3" t="str">
        <f ca="1">IF(OR(INDEX($K$2:$K$1001,MATCH(ROWS($J$2:J52),$J$2:$J$1001,0),1)&gt;=100000,INDEX($Q$1005:$U$1005,1,MATCH(COLUMNS($Q$1006:S1006),$Q$1006:$U$1006,0))&gt;=100000), " ",IF(INDEX($Q$2:$U$1001,MATCH(ROWS($J$2:J52),$J$2:$J$1001,0),MATCH(COLUMNS($Q$1006:S1006),$Q$1006:$U$1006,0)), HYPERLINK("#",""), HYPERLINK(CONCATENATE("#Metadata!", ADDRESS(INDEX($L$2:$L$1001,MATCH(ROWS($J$2:J52),$J$2:$J$1001,0),0), INDEX($Q$1004:$U$1004,1,MATCH(COLUMNS($Q$1006:S1006),$Q$1006:$U$1006,0)))),"Fix")))</f>
        <v xml:space="preserve"> </v>
      </c>
      <c r="E52" s="3" t="str">
        <f ca="1">IF(OR(INDEX($K$2:$K$1001,MATCH(ROWS($J$2:J52),$J$2:$J$1001,0),1)&gt;=100000,INDEX($Q$1005:$U$1005,1,MATCH(COLUMNS($Q$1006:T1006),$Q$1006:$U$1006,0))&gt;=100000), " ",IF(INDEX($Q$2:$U$1001,MATCH(ROWS($J$2:J52),$J$2:$J$1001,0),MATCH(COLUMNS($Q$1006:T1006),$Q$1006:$U$1006,0)), HYPERLINK("#",""), HYPERLINK(CONCATENATE("#Metadata!", ADDRESS(INDEX($L$2:$L$1001,MATCH(ROWS($J$2:J52),$J$2:$J$1001,0),0), INDEX($Q$1004:$U$1004,1,MATCH(COLUMNS($Q$1006:T1006),$Q$1006:$U$1006,0)))),"Fix")))</f>
        <v xml:space="preserve"> </v>
      </c>
      <c r="F52" s="3" t="str">
        <f ca="1">IF(OR(INDEX($K$2:$K$1001,MATCH(ROWS($J$2:J52),$J$2:$J$1001,0),1)&gt;=100000,INDEX($Q$1005:$U$1005,1,MATCH(COLUMNS($Q$1006:U1006),$Q$1006:$U$1006,0))&gt;=100000), " ",IF(INDEX($Q$2:$U$1001,MATCH(ROWS($J$2:J52),$J$2:$J$1001,0),MATCH(COLUMNS($Q$1006:U1006),$Q$1006:$U$1006,0)), HYPERLINK("#",""), HYPERLINK(CONCATENATE("#Metadata!", ADDRESS(INDEX($L$2:$L$1001,MATCH(ROWS($J$2:J52),$J$2:$J$1001,0),0), INDEX($Q$1004:$U$1004,1,MATCH(COLUMNS($Q$1006:U1006),$Q$1006:$U$1006,0)))),"Fix")))</f>
        <v xml:space="preserve"> </v>
      </c>
      <c r="J52">
        <f ca="1"/>
        <v>51</v>
      </c>
      <c r="K52">
        <v>100052</v>
      </c>
      <c r="L52">
        <v>52</v>
      </c>
      <c r="M52" t="b">
        <f t="shared" si="0"/>
        <v>1</v>
      </c>
      <c r="N52" t="b">
        <f>COUNTBLANK(Metadata!B52:F52)=COLUMNS(Metadata!B52:F52)</f>
        <v>1</v>
      </c>
      <c r="O52" t="str">
        <v/>
      </c>
      <c r="Q52" t="b">
        <f ca="1"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R52" t="b">
        <f>IF(Metadata!C52="",FALSE,TRUE)</f>
        <v>0</v>
      </c>
      <c r="S52" t="b">
        <f>OR(AND(IF(Metadata!D52="",FALSE,TRUE),EXACT(Metadata!D52,"missing: not collected")),AND(IF(Metadata!D52="",FALSE,TRUE),OR(EXACT(Metadata!D52,"t"),EXACT(Metadata!D52,"f"))))</f>
        <v>0</v>
      </c>
      <c r="T52" t="b">
        <f>AND(IF(Metadata!E52="",FALSE,TRUE),OR(EXACT(Metadata!E52,"a"),EXACT(Metadata!E52,"b")))</f>
        <v>0</v>
      </c>
      <c r="U52" t="b">
        <f>OR(AND(IF(Metadata!F52="",FALSE,TRUE),OR(EXACT(Metadata!F52,"missing: not collected"),EXACT(Metadata!F52,"missing: not provided"))),AND(IF(Metadata!F52="",FALSE,TRUE),OR(EXACT(Metadata!F52,"lo"),EXACT(Metadata!F52,"med"),EXACT(Metadata!F52,"hi"))))</f>
        <v>0</v>
      </c>
    </row>
    <row r="53" spans="1:21" x14ac:dyDescent="0.2">
      <c r="A53" s="4" t="str">
        <f ca="1">IF(B53=" "," ",HYPERLINK(CONCATENATE("#metadata!",ADDRESS(INDEX($L$2:$L$1001,MATCH(ROWS($J$2:J53),$J$2:$J$1001,0),0),1)),INDEX($O$2:$O$1001,MATCH(ROWS($J$2:J53),$J$2:$J$1001,0),0)))</f>
        <v xml:space="preserve"> </v>
      </c>
      <c r="B53" s="3" t="str">
        <f ca="1">IF(OR(INDEX($K$2:$K$1001,MATCH(ROWS($J$2:J53),$J$2:$J$1001,0),1)&gt;=100000,INDEX($Q$1005:$U$1005,1,MATCH(COLUMNS($Q$1006:Q1006),$Q$1006:$U$1006,0))&gt;=100000), " ",IF(INDEX($Q$2:$U$1001,MATCH(ROWS($J$2:J53),$J$2:$J$1001,0),MATCH(COLUMNS($Q$1006:Q1006),$Q$1006:$U$1006,0)), HYPERLINK("#",""), HYPERLINK(CONCATENATE("#Metadata!", ADDRESS(INDEX($L$2:$L$1001,MATCH(ROWS($J$2:J53),$J$2:$J$1001,0),0), INDEX($Q$1004:$U$1004,1,MATCH(COLUMNS($Q$1006:Q1006),$Q$1006:$U$1006,0)))),"Fix")))</f>
        <v xml:space="preserve"> </v>
      </c>
      <c r="C53" s="3" t="str">
        <f ca="1">IF(OR(INDEX($K$2:$K$1001,MATCH(ROWS($J$2:J53),$J$2:$J$1001,0),1)&gt;=100000,INDEX($Q$1005:$U$1005,1,MATCH(COLUMNS($Q$1006:R1006),$Q$1006:$U$1006,0))&gt;=100000), " ",IF(INDEX($Q$2:$U$1001,MATCH(ROWS($J$2:J53),$J$2:$J$1001,0),MATCH(COLUMNS($Q$1006:R1006),$Q$1006:$U$1006,0)), HYPERLINK("#",""), HYPERLINK(CONCATENATE("#Metadata!", ADDRESS(INDEX($L$2:$L$1001,MATCH(ROWS($J$2:J53),$J$2:$J$1001,0),0), INDEX($Q$1004:$U$1004,1,MATCH(COLUMNS($Q$1006:R1006),$Q$1006:$U$1006,0)))),"Fix")))</f>
        <v xml:space="preserve"> </v>
      </c>
      <c r="D53" s="3" t="str">
        <f ca="1">IF(OR(INDEX($K$2:$K$1001,MATCH(ROWS($J$2:J53),$J$2:$J$1001,0),1)&gt;=100000,INDEX($Q$1005:$U$1005,1,MATCH(COLUMNS($Q$1006:S1006),$Q$1006:$U$1006,0))&gt;=100000), " ",IF(INDEX($Q$2:$U$1001,MATCH(ROWS($J$2:J53),$J$2:$J$1001,0),MATCH(COLUMNS($Q$1006:S1006),$Q$1006:$U$1006,0)), HYPERLINK("#",""), HYPERLINK(CONCATENATE("#Metadata!", ADDRESS(INDEX($L$2:$L$1001,MATCH(ROWS($J$2:J53),$J$2:$J$1001,0),0), INDEX($Q$1004:$U$1004,1,MATCH(COLUMNS($Q$1006:S1006),$Q$1006:$U$1006,0)))),"Fix")))</f>
        <v xml:space="preserve"> </v>
      </c>
      <c r="E53" s="3" t="str">
        <f ca="1">IF(OR(INDEX($K$2:$K$1001,MATCH(ROWS($J$2:J53),$J$2:$J$1001,0),1)&gt;=100000,INDEX($Q$1005:$U$1005,1,MATCH(COLUMNS($Q$1006:T1006),$Q$1006:$U$1006,0))&gt;=100000), " ",IF(INDEX($Q$2:$U$1001,MATCH(ROWS($J$2:J53),$J$2:$J$1001,0),MATCH(COLUMNS($Q$1006:T1006),$Q$1006:$U$1006,0)), HYPERLINK("#",""), HYPERLINK(CONCATENATE("#Metadata!", ADDRESS(INDEX($L$2:$L$1001,MATCH(ROWS($J$2:J53),$J$2:$J$1001,0),0), INDEX($Q$1004:$U$1004,1,MATCH(COLUMNS($Q$1006:T1006),$Q$1006:$U$1006,0)))),"Fix")))</f>
        <v xml:space="preserve"> </v>
      </c>
      <c r="F53" s="3" t="str">
        <f ca="1">IF(OR(INDEX($K$2:$K$1001,MATCH(ROWS($J$2:J53),$J$2:$J$1001,0),1)&gt;=100000,INDEX($Q$1005:$U$1005,1,MATCH(COLUMNS($Q$1006:U1006),$Q$1006:$U$1006,0))&gt;=100000), " ",IF(INDEX($Q$2:$U$1001,MATCH(ROWS($J$2:J53),$J$2:$J$1001,0),MATCH(COLUMNS($Q$1006:U1006),$Q$1006:$U$1006,0)), HYPERLINK("#",""), HYPERLINK(CONCATENATE("#Metadata!", ADDRESS(INDEX($L$2:$L$1001,MATCH(ROWS($J$2:J53),$J$2:$J$1001,0),0), INDEX($Q$1004:$U$1004,1,MATCH(COLUMNS($Q$1006:U1006),$Q$1006:$U$1006,0)))),"Fix")))</f>
        <v xml:space="preserve"> </v>
      </c>
      <c r="J53">
        <f ca="1"/>
        <v>52</v>
      </c>
      <c r="K53">
        <v>100053</v>
      </c>
      <c r="L53">
        <v>53</v>
      </c>
      <c r="M53" t="b">
        <f t="shared" si="0"/>
        <v>1</v>
      </c>
      <c r="N53" t="b">
        <f>COUNTBLANK(Metadata!B53:F53)=COLUMNS(Metadata!B53:F53)</f>
        <v>1</v>
      </c>
      <c r="O53" t="str">
        <v/>
      </c>
      <c r="Q53" t="b">
        <f ca="1"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R53" t="b">
        <f>IF(Metadata!C53="",FALSE,TRUE)</f>
        <v>0</v>
      </c>
      <c r="S53" t="b">
        <f>OR(AND(IF(Metadata!D53="",FALSE,TRUE),EXACT(Metadata!D53,"missing: not collected")),AND(IF(Metadata!D53="",FALSE,TRUE),OR(EXACT(Metadata!D53,"t"),EXACT(Metadata!D53,"f"))))</f>
        <v>0</v>
      </c>
      <c r="T53" t="b">
        <f>AND(IF(Metadata!E53="",FALSE,TRUE),OR(EXACT(Metadata!E53,"a"),EXACT(Metadata!E53,"b")))</f>
        <v>0</v>
      </c>
      <c r="U53" t="b">
        <f>OR(AND(IF(Metadata!F53="",FALSE,TRUE),OR(EXACT(Metadata!F53,"missing: not collected"),EXACT(Metadata!F53,"missing: not provided"))),AND(IF(Metadata!F53="",FALSE,TRUE),OR(EXACT(Metadata!F53,"lo"),EXACT(Metadata!F53,"med"),EXACT(Metadata!F53,"hi"))))</f>
        <v>0</v>
      </c>
    </row>
    <row r="54" spans="1:21" x14ac:dyDescent="0.2">
      <c r="A54" s="4" t="str">
        <f ca="1">IF(B54=" "," ",HYPERLINK(CONCATENATE("#metadata!",ADDRESS(INDEX($L$2:$L$1001,MATCH(ROWS($J$2:J54),$J$2:$J$1001,0),0),1)),INDEX($O$2:$O$1001,MATCH(ROWS($J$2:J54),$J$2:$J$1001,0),0)))</f>
        <v xml:space="preserve"> </v>
      </c>
      <c r="B54" s="3" t="str">
        <f ca="1">IF(OR(INDEX($K$2:$K$1001,MATCH(ROWS($J$2:J54),$J$2:$J$1001,0),1)&gt;=100000,INDEX($Q$1005:$U$1005,1,MATCH(COLUMNS($Q$1006:Q1006),$Q$1006:$U$1006,0))&gt;=100000), " ",IF(INDEX($Q$2:$U$1001,MATCH(ROWS($J$2:J54),$J$2:$J$1001,0),MATCH(COLUMNS($Q$1006:Q1006),$Q$1006:$U$1006,0)), HYPERLINK("#",""), HYPERLINK(CONCATENATE("#Metadata!", ADDRESS(INDEX($L$2:$L$1001,MATCH(ROWS($J$2:J54),$J$2:$J$1001,0),0), INDEX($Q$1004:$U$1004,1,MATCH(COLUMNS($Q$1006:Q1006),$Q$1006:$U$1006,0)))),"Fix")))</f>
        <v xml:space="preserve"> </v>
      </c>
      <c r="C54" s="3" t="str">
        <f ca="1">IF(OR(INDEX($K$2:$K$1001,MATCH(ROWS($J$2:J54),$J$2:$J$1001,0),1)&gt;=100000,INDEX($Q$1005:$U$1005,1,MATCH(COLUMNS($Q$1006:R1006),$Q$1006:$U$1006,0))&gt;=100000), " ",IF(INDEX($Q$2:$U$1001,MATCH(ROWS($J$2:J54),$J$2:$J$1001,0),MATCH(COLUMNS($Q$1006:R1006),$Q$1006:$U$1006,0)), HYPERLINK("#",""), HYPERLINK(CONCATENATE("#Metadata!", ADDRESS(INDEX($L$2:$L$1001,MATCH(ROWS($J$2:J54),$J$2:$J$1001,0),0), INDEX($Q$1004:$U$1004,1,MATCH(COLUMNS($Q$1006:R1006),$Q$1006:$U$1006,0)))),"Fix")))</f>
        <v xml:space="preserve"> </v>
      </c>
      <c r="D54" s="3" t="str">
        <f ca="1">IF(OR(INDEX($K$2:$K$1001,MATCH(ROWS($J$2:J54),$J$2:$J$1001,0),1)&gt;=100000,INDEX($Q$1005:$U$1005,1,MATCH(COLUMNS($Q$1006:S1006),$Q$1006:$U$1006,0))&gt;=100000), " ",IF(INDEX($Q$2:$U$1001,MATCH(ROWS($J$2:J54),$J$2:$J$1001,0),MATCH(COLUMNS($Q$1006:S1006),$Q$1006:$U$1006,0)), HYPERLINK("#",""), HYPERLINK(CONCATENATE("#Metadata!", ADDRESS(INDEX($L$2:$L$1001,MATCH(ROWS($J$2:J54),$J$2:$J$1001,0),0), INDEX($Q$1004:$U$1004,1,MATCH(COLUMNS($Q$1006:S1006),$Q$1006:$U$1006,0)))),"Fix")))</f>
        <v xml:space="preserve"> </v>
      </c>
      <c r="E54" s="3" t="str">
        <f ca="1">IF(OR(INDEX($K$2:$K$1001,MATCH(ROWS($J$2:J54),$J$2:$J$1001,0),1)&gt;=100000,INDEX($Q$1005:$U$1005,1,MATCH(COLUMNS($Q$1006:T1006),$Q$1006:$U$1006,0))&gt;=100000), " ",IF(INDEX($Q$2:$U$1001,MATCH(ROWS($J$2:J54),$J$2:$J$1001,0),MATCH(COLUMNS($Q$1006:T1006),$Q$1006:$U$1006,0)), HYPERLINK("#",""), HYPERLINK(CONCATENATE("#Metadata!", ADDRESS(INDEX($L$2:$L$1001,MATCH(ROWS($J$2:J54),$J$2:$J$1001,0),0), INDEX($Q$1004:$U$1004,1,MATCH(COLUMNS($Q$1006:T1006),$Q$1006:$U$1006,0)))),"Fix")))</f>
        <v xml:space="preserve"> </v>
      </c>
      <c r="F54" s="3" t="str">
        <f ca="1">IF(OR(INDEX($K$2:$K$1001,MATCH(ROWS($J$2:J54),$J$2:$J$1001,0),1)&gt;=100000,INDEX($Q$1005:$U$1005,1,MATCH(COLUMNS($Q$1006:U1006),$Q$1006:$U$1006,0))&gt;=100000), " ",IF(INDEX($Q$2:$U$1001,MATCH(ROWS($J$2:J54),$J$2:$J$1001,0),MATCH(COLUMNS($Q$1006:U1006),$Q$1006:$U$1006,0)), HYPERLINK("#",""), HYPERLINK(CONCATENATE("#Metadata!", ADDRESS(INDEX($L$2:$L$1001,MATCH(ROWS($J$2:J54),$J$2:$J$1001,0),0), INDEX($Q$1004:$U$1004,1,MATCH(COLUMNS($Q$1006:U1006),$Q$1006:$U$1006,0)))),"Fix")))</f>
        <v xml:space="preserve"> </v>
      </c>
      <c r="J54">
        <f ca="1"/>
        <v>53</v>
      </c>
      <c r="K54">
        <v>100054</v>
      </c>
      <c r="L54">
        <v>54</v>
      </c>
      <c r="M54" t="b">
        <f t="shared" si="0"/>
        <v>1</v>
      </c>
      <c r="N54" t="b">
        <f>COUNTBLANK(Metadata!B54:F54)=COLUMNS(Metadata!B54:F54)</f>
        <v>1</v>
      </c>
      <c r="O54" t="str">
        <v/>
      </c>
      <c r="Q54" t="b">
        <f ca="1"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R54" t="b">
        <f>IF(Metadata!C54="",FALSE,TRUE)</f>
        <v>0</v>
      </c>
      <c r="S54" t="b">
        <f>OR(AND(IF(Metadata!D54="",FALSE,TRUE),EXACT(Metadata!D54,"missing: not collected")),AND(IF(Metadata!D54="",FALSE,TRUE),OR(EXACT(Metadata!D54,"t"),EXACT(Metadata!D54,"f"))))</f>
        <v>0</v>
      </c>
      <c r="T54" t="b">
        <f>AND(IF(Metadata!E54="",FALSE,TRUE),OR(EXACT(Metadata!E54,"a"),EXACT(Metadata!E54,"b")))</f>
        <v>0</v>
      </c>
      <c r="U54" t="b">
        <f>OR(AND(IF(Metadata!F54="",FALSE,TRUE),OR(EXACT(Metadata!F54,"missing: not collected"),EXACT(Metadata!F54,"missing: not provided"))),AND(IF(Metadata!F54="",FALSE,TRUE),OR(EXACT(Metadata!F54,"lo"),EXACT(Metadata!F54,"med"),EXACT(Metadata!F54,"hi"))))</f>
        <v>0</v>
      </c>
    </row>
    <row r="55" spans="1:21" x14ac:dyDescent="0.2">
      <c r="A55" s="4" t="str">
        <f ca="1">IF(B55=" "," ",HYPERLINK(CONCATENATE("#metadata!",ADDRESS(INDEX($L$2:$L$1001,MATCH(ROWS($J$2:J55),$J$2:$J$1001,0),0),1)),INDEX($O$2:$O$1001,MATCH(ROWS($J$2:J55),$J$2:$J$1001,0),0)))</f>
        <v xml:space="preserve"> </v>
      </c>
      <c r="B55" s="3" t="str">
        <f ca="1">IF(OR(INDEX($K$2:$K$1001,MATCH(ROWS($J$2:J55),$J$2:$J$1001,0),1)&gt;=100000,INDEX($Q$1005:$U$1005,1,MATCH(COLUMNS($Q$1006:Q1006),$Q$1006:$U$1006,0))&gt;=100000), " ",IF(INDEX($Q$2:$U$1001,MATCH(ROWS($J$2:J55),$J$2:$J$1001,0),MATCH(COLUMNS($Q$1006:Q1006),$Q$1006:$U$1006,0)), HYPERLINK("#",""), HYPERLINK(CONCATENATE("#Metadata!", ADDRESS(INDEX($L$2:$L$1001,MATCH(ROWS($J$2:J55),$J$2:$J$1001,0),0), INDEX($Q$1004:$U$1004,1,MATCH(COLUMNS($Q$1006:Q1006),$Q$1006:$U$1006,0)))),"Fix")))</f>
        <v xml:space="preserve"> </v>
      </c>
      <c r="C55" s="3" t="str">
        <f ca="1">IF(OR(INDEX($K$2:$K$1001,MATCH(ROWS($J$2:J55),$J$2:$J$1001,0),1)&gt;=100000,INDEX($Q$1005:$U$1005,1,MATCH(COLUMNS($Q$1006:R1006),$Q$1006:$U$1006,0))&gt;=100000), " ",IF(INDEX($Q$2:$U$1001,MATCH(ROWS($J$2:J55),$J$2:$J$1001,0),MATCH(COLUMNS($Q$1006:R1006),$Q$1006:$U$1006,0)), HYPERLINK("#",""), HYPERLINK(CONCATENATE("#Metadata!", ADDRESS(INDEX($L$2:$L$1001,MATCH(ROWS($J$2:J55),$J$2:$J$1001,0),0), INDEX($Q$1004:$U$1004,1,MATCH(COLUMNS($Q$1006:R1006),$Q$1006:$U$1006,0)))),"Fix")))</f>
        <v xml:space="preserve"> </v>
      </c>
      <c r="D55" s="3" t="str">
        <f ca="1">IF(OR(INDEX($K$2:$K$1001,MATCH(ROWS($J$2:J55),$J$2:$J$1001,0),1)&gt;=100000,INDEX($Q$1005:$U$1005,1,MATCH(COLUMNS($Q$1006:S1006),$Q$1006:$U$1006,0))&gt;=100000), " ",IF(INDEX($Q$2:$U$1001,MATCH(ROWS($J$2:J55),$J$2:$J$1001,0),MATCH(COLUMNS($Q$1006:S1006),$Q$1006:$U$1006,0)), HYPERLINK("#",""), HYPERLINK(CONCATENATE("#Metadata!", ADDRESS(INDEX($L$2:$L$1001,MATCH(ROWS($J$2:J55),$J$2:$J$1001,0),0), INDEX($Q$1004:$U$1004,1,MATCH(COLUMNS($Q$1006:S1006),$Q$1006:$U$1006,0)))),"Fix")))</f>
        <v xml:space="preserve"> </v>
      </c>
      <c r="E55" s="3" t="str">
        <f ca="1">IF(OR(INDEX($K$2:$K$1001,MATCH(ROWS($J$2:J55),$J$2:$J$1001,0),1)&gt;=100000,INDEX($Q$1005:$U$1005,1,MATCH(COLUMNS($Q$1006:T1006),$Q$1006:$U$1006,0))&gt;=100000), " ",IF(INDEX($Q$2:$U$1001,MATCH(ROWS($J$2:J55),$J$2:$J$1001,0),MATCH(COLUMNS($Q$1006:T1006),$Q$1006:$U$1006,0)), HYPERLINK("#",""), HYPERLINK(CONCATENATE("#Metadata!", ADDRESS(INDEX($L$2:$L$1001,MATCH(ROWS($J$2:J55),$J$2:$J$1001,0),0), INDEX($Q$1004:$U$1004,1,MATCH(COLUMNS($Q$1006:T1006),$Q$1006:$U$1006,0)))),"Fix")))</f>
        <v xml:space="preserve"> </v>
      </c>
      <c r="F55" s="3" t="str">
        <f ca="1">IF(OR(INDEX($K$2:$K$1001,MATCH(ROWS($J$2:J55),$J$2:$J$1001,0),1)&gt;=100000,INDEX($Q$1005:$U$1005,1,MATCH(COLUMNS($Q$1006:U1006),$Q$1006:$U$1006,0))&gt;=100000), " ",IF(INDEX($Q$2:$U$1001,MATCH(ROWS($J$2:J55),$J$2:$J$1001,0),MATCH(COLUMNS($Q$1006:U1006),$Q$1006:$U$1006,0)), HYPERLINK("#",""), HYPERLINK(CONCATENATE("#Metadata!", ADDRESS(INDEX($L$2:$L$1001,MATCH(ROWS($J$2:J55),$J$2:$J$1001,0),0), INDEX($Q$1004:$U$1004,1,MATCH(COLUMNS($Q$1006:U1006),$Q$1006:$U$1006,0)))),"Fix")))</f>
        <v xml:space="preserve"> </v>
      </c>
      <c r="J55">
        <f ca="1"/>
        <v>54</v>
      </c>
      <c r="K55">
        <v>100055</v>
      </c>
      <c r="L55">
        <v>55</v>
      </c>
      <c r="M55" t="b">
        <f t="shared" si="0"/>
        <v>1</v>
      </c>
      <c r="N55" t="b">
        <f>COUNTBLANK(Metadata!B55:F55)=COLUMNS(Metadata!B55:F55)</f>
        <v>1</v>
      </c>
      <c r="O55" t="str">
        <v/>
      </c>
      <c r="Q55" t="b">
        <f ca="1"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R55" t="b">
        <f>IF(Metadata!C55="",FALSE,TRUE)</f>
        <v>0</v>
      </c>
      <c r="S55" t="b">
        <f>OR(AND(IF(Metadata!D55="",FALSE,TRUE),EXACT(Metadata!D55,"missing: not collected")),AND(IF(Metadata!D55="",FALSE,TRUE),OR(EXACT(Metadata!D55,"t"),EXACT(Metadata!D55,"f"))))</f>
        <v>0</v>
      </c>
      <c r="T55" t="b">
        <f>AND(IF(Metadata!E55="",FALSE,TRUE),OR(EXACT(Metadata!E55,"a"),EXACT(Metadata!E55,"b")))</f>
        <v>0</v>
      </c>
      <c r="U55" t="b">
        <f>OR(AND(IF(Metadata!F55="",FALSE,TRUE),OR(EXACT(Metadata!F55,"missing: not collected"),EXACT(Metadata!F55,"missing: not provided"))),AND(IF(Metadata!F55="",FALSE,TRUE),OR(EXACT(Metadata!F55,"lo"),EXACT(Metadata!F55,"med"),EXACT(Metadata!F55,"hi"))))</f>
        <v>0</v>
      </c>
    </row>
    <row r="56" spans="1:21" x14ac:dyDescent="0.2">
      <c r="A56" s="4" t="str">
        <f ca="1">IF(B56=" "," ",HYPERLINK(CONCATENATE("#metadata!",ADDRESS(INDEX($L$2:$L$1001,MATCH(ROWS($J$2:J56),$J$2:$J$1001,0),0),1)),INDEX($O$2:$O$1001,MATCH(ROWS($J$2:J56),$J$2:$J$1001,0),0)))</f>
        <v xml:space="preserve"> </v>
      </c>
      <c r="B56" s="3" t="str">
        <f ca="1">IF(OR(INDEX($K$2:$K$1001,MATCH(ROWS($J$2:J56),$J$2:$J$1001,0),1)&gt;=100000,INDEX($Q$1005:$U$1005,1,MATCH(COLUMNS($Q$1006:Q1006),$Q$1006:$U$1006,0))&gt;=100000), " ",IF(INDEX($Q$2:$U$1001,MATCH(ROWS($J$2:J56),$J$2:$J$1001,0),MATCH(COLUMNS($Q$1006:Q1006),$Q$1006:$U$1006,0)), HYPERLINK("#",""), HYPERLINK(CONCATENATE("#Metadata!", ADDRESS(INDEX($L$2:$L$1001,MATCH(ROWS($J$2:J56),$J$2:$J$1001,0),0), INDEX($Q$1004:$U$1004,1,MATCH(COLUMNS($Q$1006:Q1006),$Q$1006:$U$1006,0)))),"Fix")))</f>
        <v xml:space="preserve"> </v>
      </c>
      <c r="C56" s="3" t="str">
        <f ca="1">IF(OR(INDEX($K$2:$K$1001,MATCH(ROWS($J$2:J56),$J$2:$J$1001,0),1)&gt;=100000,INDEX($Q$1005:$U$1005,1,MATCH(COLUMNS($Q$1006:R1006),$Q$1006:$U$1006,0))&gt;=100000), " ",IF(INDEX($Q$2:$U$1001,MATCH(ROWS($J$2:J56),$J$2:$J$1001,0),MATCH(COLUMNS($Q$1006:R1006),$Q$1006:$U$1006,0)), HYPERLINK("#",""), HYPERLINK(CONCATENATE("#Metadata!", ADDRESS(INDEX($L$2:$L$1001,MATCH(ROWS($J$2:J56),$J$2:$J$1001,0),0), INDEX($Q$1004:$U$1004,1,MATCH(COLUMNS($Q$1006:R1006),$Q$1006:$U$1006,0)))),"Fix")))</f>
        <v xml:space="preserve"> </v>
      </c>
      <c r="D56" s="3" t="str">
        <f ca="1">IF(OR(INDEX($K$2:$K$1001,MATCH(ROWS($J$2:J56),$J$2:$J$1001,0),1)&gt;=100000,INDEX($Q$1005:$U$1005,1,MATCH(COLUMNS($Q$1006:S1006),$Q$1006:$U$1006,0))&gt;=100000), " ",IF(INDEX($Q$2:$U$1001,MATCH(ROWS($J$2:J56),$J$2:$J$1001,0),MATCH(COLUMNS($Q$1006:S1006),$Q$1006:$U$1006,0)), HYPERLINK("#",""), HYPERLINK(CONCATENATE("#Metadata!", ADDRESS(INDEX($L$2:$L$1001,MATCH(ROWS($J$2:J56),$J$2:$J$1001,0),0), INDEX($Q$1004:$U$1004,1,MATCH(COLUMNS($Q$1006:S1006),$Q$1006:$U$1006,0)))),"Fix")))</f>
        <v xml:space="preserve"> </v>
      </c>
      <c r="E56" s="3" t="str">
        <f ca="1">IF(OR(INDEX($K$2:$K$1001,MATCH(ROWS($J$2:J56),$J$2:$J$1001,0),1)&gt;=100000,INDEX($Q$1005:$U$1005,1,MATCH(COLUMNS($Q$1006:T1006),$Q$1006:$U$1006,0))&gt;=100000), " ",IF(INDEX($Q$2:$U$1001,MATCH(ROWS($J$2:J56),$J$2:$J$1001,0),MATCH(COLUMNS($Q$1006:T1006),$Q$1006:$U$1006,0)), HYPERLINK("#",""), HYPERLINK(CONCATENATE("#Metadata!", ADDRESS(INDEX($L$2:$L$1001,MATCH(ROWS($J$2:J56),$J$2:$J$1001,0),0), INDEX($Q$1004:$U$1004,1,MATCH(COLUMNS($Q$1006:T1006),$Q$1006:$U$1006,0)))),"Fix")))</f>
        <v xml:space="preserve"> </v>
      </c>
      <c r="F56" s="3" t="str">
        <f ca="1">IF(OR(INDEX($K$2:$K$1001,MATCH(ROWS($J$2:J56),$J$2:$J$1001,0),1)&gt;=100000,INDEX($Q$1005:$U$1005,1,MATCH(COLUMNS($Q$1006:U1006),$Q$1006:$U$1006,0))&gt;=100000), " ",IF(INDEX($Q$2:$U$1001,MATCH(ROWS($J$2:J56),$J$2:$J$1001,0),MATCH(COLUMNS($Q$1006:U1006),$Q$1006:$U$1006,0)), HYPERLINK("#",""), HYPERLINK(CONCATENATE("#Metadata!", ADDRESS(INDEX($L$2:$L$1001,MATCH(ROWS($J$2:J56),$J$2:$J$1001,0),0), INDEX($Q$1004:$U$1004,1,MATCH(COLUMNS($Q$1006:U1006),$Q$1006:$U$1006,0)))),"Fix")))</f>
        <v xml:space="preserve"> </v>
      </c>
      <c r="J56">
        <f ca="1"/>
        <v>55</v>
      </c>
      <c r="K56">
        <v>100056</v>
      </c>
      <c r="L56">
        <v>56</v>
      </c>
      <c r="M56" t="b">
        <f t="shared" si="0"/>
        <v>1</v>
      </c>
      <c r="N56" t="b">
        <f>COUNTBLANK(Metadata!B56:F56)=COLUMNS(Metadata!B56:F56)</f>
        <v>1</v>
      </c>
      <c r="O56" t="str">
        <v/>
      </c>
      <c r="Q56" t="b">
        <f ca="1"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R56" t="b">
        <f>IF(Metadata!C56="",FALSE,TRUE)</f>
        <v>0</v>
      </c>
      <c r="S56" t="b">
        <f>OR(AND(IF(Metadata!D56="",FALSE,TRUE),EXACT(Metadata!D56,"missing: not collected")),AND(IF(Metadata!D56="",FALSE,TRUE),OR(EXACT(Metadata!D56,"t"),EXACT(Metadata!D56,"f"))))</f>
        <v>0</v>
      </c>
      <c r="T56" t="b">
        <f>AND(IF(Metadata!E56="",FALSE,TRUE),OR(EXACT(Metadata!E56,"a"),EXACT(Metadata!E56,"b")))</f>
        <v>0</v>
      </c>
      <c r="U56" t="b">
        <f>OR(AND(IF(Metadata!F56="",FALSE,TRUE),OR(EXACT(Metadata!F56,"missing: not collected"),EXACT(Metadata!F56,"missing: not provided"))),AND(IF(Metadata!F56="",FALSE,TRUE),OR(EXACT(Metadata!F56,"lo"),EXACT(Metadata!F56,"med"),EXACT(Metadata!F56,"hi"))))</f>
        <v>0</v>
      </c>
    </row>
    <row r="57" spans="1:21" x14ac:dyDescent="0.2">
      <c r="A57" s="4" t="str">
        <f ca="1">IF(B57=" "," ",HYPERLINK(CONCATENATE("#metadata!",ADDRESS(INDEX($L$2:$L$1001,MATCH(ROWS($J$2:J57),$J$2:$J$1001,0),0),1)),INDEX($O$2:$O$1001,MATCH(ROWS($J$2:J57),$J$2:$J$1001,0),0)))</f>
        <v xml:space="preserve"> </v>
      </c>
      <c r="B57" s="3" t="str">
        <f ca="1">IF(OR(INDEX($K$2:$K$1001,MATCH(ROWS($J$2:J57),$J$2:$J$1001,0),1)&gt;=100000,INDEX($Q$1005:$U$1005,1,MATCH(COLUMNS($Q$1006:Q1006),$Q$1006:$U$1006,0))&gt;=100000), " ",IF(INDEX($Q$2:$U$1001,MATCH(ROWS($J$2:J57),$J$2:$J$1001,0),MATCH(COLUMNS($Q$1006:Q1006),$Q$1006:$U$1006,0)), HYPERLINK("#",""), HYPERLINK(CONCATENATE("#Metadata!", ADDRESS(INDEX($L$2:$L$1001,MATCH(ROWS($J$2:J57),$J$2:$J$1001,0),0), INDEX($Q$1004:$U$1004,1,MATCH(COLUMNS($Q$1006:Q1006),$Q$1006:$U$1006,0)))),"Fix")))</f>
        <v xml:space="preserve"> </v>
      </c>
      <c r="C57" s="3" t="str">
        <f ca="1">IF(OR(INDEX($K$2:$K$1001,MATCH(ROWS($J$2:J57),$J$2:$J$1001,0),1)&gt;=100000,INDEX($Q$1005:$U$1005,1,MATCH(COLUMNS($Q$1006:R1006),$Q$1006:$U$1006,0))&gt;=100000), " ",IF(INDEX($Q$2:$U$1001,MATCH(ROWS($J$2:J57),$J$2:$J$1001,0),MATCH(COLUMNS($Q$1006:R1006),$Q$1006:$U$1006,0)), HYPERLINK("#",""), HYPERLINK(CONCATENATE("#Metadata!", ADDRESS(INDEX($L$2:$L$1001,MATCH(ROWS($J$2:J57),$J$2:$J$1001,0),0), INDEX($Q$1004:$U$1004,1,MATCH(COLUMNS($Q$1006:R1006),$Q$1006:$U$1006,0)))),"Fix")))</f>
        <v xml:space="preserve"> </v>
      </c>
      <c r="D57" s="3" t="str">
        <f ca="1">IF(OR(INDEX($K$2:$K$1001,MATCH(ROWS($J$2:J57),$J$2:$J$1001,0),1)&gt;=100000,INDEX($Q$1005:$U$1005,1,MATCH(COLUMNS($Q$1006:S1006),$Q$1006:$U$1006,0))&gt;=100000), " ",IF(INDEX($Q$2:$U$1001,MATCH(ROWS($J$2:J57),$J$2:$J$1001,0),MATCH(COLUMNS($Q$1006:S1006),$Q$1006:$U$1006,0)), HYPERLINK("#",""), HYPERLINK(CONCATENATE("#Metadata!", ADDRESS(INDEX($L$2:$L$1001,MATCH(ROWS($J$2:J57),$J$2:$J$1001,0),0), INDEX($Q$1004:$U$1004,1,MATCH(COLUMNS($Q$1006:S1006),$Q$1006:$U$1006,0)))),"Fix")))</f>
        <v xml:space="preserve"> </v>
      </c>
      <c r="E57" s="3" t="str">
        <f ca="1">IF(OR(INDEX($K$2:$K$1001,MATCH(ROWS($J$2:J57),$J$2:$J$1001,0),1)&gt;=100000,INDEX($Q$1005:$U$1005,1,MATCH(COLUMNS($Q$1006:T1006),$Q$1006:$U$1006,0))&gt;=100000), " ",IF(INDEX($Q$2:$U$1001,MATCH(ROWS($J$2:J57),$J$2:$J$1001,0),MATCH(COLUMNS($Q$1006:T1006),$Q$1006:$U$1006,0)), HYPERLINK("#",""), HYPERLINK(CONCATENATE("#Metadata!", ADDRESS(INDEX($L$2:$L$1001,MATCH(ROWS($J$2:J57),$J$2:$J$1001,0),0), INDEX($Q$1004:$U$1004,1,MATCH(COLUMNS($Q$1006:T1006),$Q$1006:$U$1006,0)))),"Fix")))</f>
        <v xml:space="preserve"> </v>
      </c>
      <c r="F57" s="3" t="str">
        <f ca="1">IF(OR(INDEX($K$2:$K$1001,MATCH(ROWS($J$2:J57),$J$2:$J$1001,0),1)&gt;=100000,INDEX($Q$1005:$U$1005,1,MATCH(COLUMNS($Q$1006:U1006),$Q$1006:$U$1006,0))&gt;=100000), " ",IF(INDEX($Q$2:$U$1001,MATCH(ROWS($J$2:J57),$J$2:$J$1001,0),MATCH(COLUMNS($Q$1006:U1006),$Q$1006:$U$1006,0)), HYPERLINK("#",""), HYPERLINK(CONCATENATE("#Metadata!", ADDRESS(INDEX($L$2:$L$1001,MATCH(ROWS($J$2:J57),$J$2:$J$1001,0),0), INDEX($Q$1004:$U$1004,1,MATCH(COLUMNS($Q$1006:U1006),$Q$1006:$U$1006,0)))),"Fix")))</f>
        <v xml:space="preserve"> </v>
      </c>
      <c r="J57">
        <f ca="1"/>
        <v>56</v>
      </c>
      <c r="K57">
        <v>100057</v>
      </c>
      <c r="L57">
        <v>57</v>
      </c>
      <c r="M57" t="b">
        <f t="shared" si="0"/>
        <v>1</v>
      </c>
      <c r="N57" t="b">
        <f>COUNTBLANK(Metadata!B57:F57)=COLUMNS(Metadata!B57:F57)</f>
        <v>1</v>
      </c>
      <c r="O57" t="str">
        <v/>
      </c>
      <c r="Q57" t="b">
        <f ca="1"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R57" t="b">
        <f>IF(Metadata!C57="",FALSE,TRUE)</f>
        <v>0</v>
      </c>
      <c r="S57" t="b">
        <f>OR(AND(IF(Metadata!D57="",FALSE,TRUE),EXACT(Metadata!D57,"missing: not collected")),AND(IF(Metadata!D57="",FALSE,TRUE),OR(EXACT(Metadata!D57,"t"),EXACT(Metadata!D57,"f"))))</f>
        <v>0</v>
      </c>
      <c r="T57" t="b">
        <f>AND(IF(Metadata!E57="",FALSE,TRUE),OR(EXACT(Metadata!E57,"a"),EXACT(Metadata!E57,"b")))</f>
        <v>0</v>
      </c>
      <c r="U57" t="b">
        <f>OR(AND(IF(Metadata!F57="",FALSE,TRUE),OR(EXACT(Metadata!F57,"missing: not collected"),EXACT(Metadata!F57,"missing: not provided"))),AND(IF(Metadata!F57="",FALSE,TRUE),OR(EXACT(Metadata!F57,"lo"),EXACT(Metadata!F57,"med"),EXACT(Metadata!F57,"hi"))))</f>
        <v>0</v>
      </c>
    </row>
    <row r="58" spans="1:21" x14ac:dyDescent="0.2">
      <c r="A58" s="4" t="str">
        <f ca="1">IF(B58=" "," ",HYPERLINK(CONCATENATE("#metadata!",ADDRESS(INDEX($L$2:$L$1001,MATCH(ROWS($J$2:J58),$J$2:$J$1001,0),0),1)),INDEX($O$2:$O$1001,MATCH(ROWS($J$2:J58),$J$2:$J$1001,0),0)))</f>
        <v xml:space="preserve"> </v>
      </c>
      <c r="B58" s="3" t="str">
        <f ca="1">IF(OR(INDEX($K$2:$K$1001,MATCH(ROWS($J$2:J58),$J$2:$J$1001,0),1)&gt;=100000,INDEX($Q$1005:$U$1005,1,MATCH(COLUMNS($Q$1006:Q1006),$Q$1006:$U$1006,0))&gt;=100000), " ",IF(INDEX($Q$2:$U$1001,MATCH(ROWS($J$2:J58),$J$2:$J$1001,0),MATCH(COLUMNS($Q$1006:Q1006),$Q$1006:$U$1006,0)), HYPERLINK("#",""), HYPERLINK(CONCATENATE("#Metadata!", ADDRESS(INDEX($L$2:$L$1001,MATCH(ROWS($J$2:J58),$J$2:$J$1001,0),0), INDEX($Q$1004:$U$1004,1,MATCH(COLUMNS($Q$1006:Q1006),$Q$1006:$U$1006,0)))),"Fix")))</f>
        <v xml:space="preserve"> </v>
      </c>
      <c r="C58" s="3" t="str">
        <f ca="1">IF(OR(INDEX($K$2:$K$1001,MATCH(ROWS($J$2:J58),$J$2:$J$1001,0),1)&gt;=100000,INDEX($Q$1005:$U$1005,1,MATCH(COLUMNS($Q$1006:R1006),$Q$1006:$U$1006,0))&gt;=100000), " ",IF(INDEX($Q$2:$U$1001,MATCH(ROWS($J$2:J58),$J$2:$J$1001,0),MATCH(COLUMNS($Q$1006:R1006),$Q$1006:$U$1006,0)), HYPERLINK("#",""), HYPERLINK(CONCATENATE("#Metadata!", ADDRESS(INDEX($L$2:$L$1001,MATCH(ROWS($J$2:J58),$J$2:$J$1001,0),0), INDEX($Q$1004:$U$1004,1,MATCH(COLUMNS($Q$1006:R1006),$Q$1006:$U$1006,0)))),"Fix")))</f>
        <v xml:space="preserve"> </v>
      </c>
      <c r="D58" s="3" t="str">
        <f ca="1">IF(OR(INDEX($K$2:$K$1001,MATCH(ROWS($J$2:J58),$J$2:$J$1001,0),1)&gt;=100000,INDEX($Q$1005:$U$1005,1,MATCH(COLUMNS($Q$1006:S1006),$Q$1006:$U$1006,0))&gt;=100000), " ",IF(INDEX($Q$2:$U$1001,MATCH(ROWS($J$2:J58),$J$2:$J$1001,0),MATCH(COLUMNS($Q$1006:S1006),$Q$1006:$U$1006,0)), HYPERLINK("#",""), HYPERLINK(CONCATENATE("#Metadata!", ADDRESS(INDEX($L$2:$L$1001,MATCH(ROWS($J$2:J58),$J$2:$J$1001,0),0), INDEX($Q$1004:$U$1004,1,MATCH(COLUMNS($Q$1006:S1006),$Q$1006:$U$1006,0)))),"Fix")))</f>
        <v xml:space="preserve"> </v>
      </c>
      <c r="E58" s="3" t="str">
        <f ca="1">IF(OR(INDEX($K$2:$K$1001,MATCH(ROWS($J$2:J58),$J$2:$J$1001,0),1)&gt;=100000,INDEX($Q$1005:$U$1005,1,MATCH(COLUMNS($Q$1006:T1006),$Q$1006:$U$1006,0))&gt;=100000), " ",IF(INDEX($Q$2:$U$1001,MATCH(ROWS($J$2:J58),$J$2:$J$1001,0),MATCH(COLUMNS($Q$1006:T1006),$Q$1006:$U$1006,0)), HYPERLINK("#",""), HYPERLINK(CONCATENATE("#Metadata!", ADDRESS(INDEX($L$2:$L$1001,MATCH(ROWS($J$2:J58),$J$2:$J$1001,0),0), INDEX($Q$1004:$U$1004,1,MATCH(COLUMNS($Q$1006:T1006),$Q$1006:$U$1006,0)))),"Fix")))</f>
        <v xml:space="preserve"> </v>
      </c>
      <c r="F58" s="3" t="str">
        <f ca="1">IF(OR(INDEX($K$2:$K$1001,MATCH(ROWS($J$2:J58),$J$2:$J$1001,0),1)&gt;=100000,INDEX($Q$1005:$U$1005,1,MATCH(COLUMNS($Q$1006:U1006),$Q$1006:$U$1006,0))&gt;=100000), " ",IF(INDEX($Q$2:$U$1001,MATCH(ROWS($J$2:J58),$J$2:$J$1001,0),MATCH(COLUMNS($Q$1006:U1006),$Q$1006:$U$1006,0)), HYPERLINK("#",""), HYPERLINK(CONCATENATE("#Metadata!", ADDRESS(INDEX($L$2:$L$1001,MATCH(ROWS($J$2:J58),$J$2:$J$1001,0),0), INDEX($Q$1004:$U$1004,1,MATCH(COLUMNS($Q$1006:U1006),$Q$1006:$U$1006,0)))),"Fix")))</f>
        <v xml:space="preserve"> </v>
      </c>
      <c r="J58">
        <f ca="1"/>
        <v>57</v>
      </c>
      <c r="K58">
        <v>100058</v>
      </c>
      <c r="L58">
        <v>58</v>
      </c>
      <c r="M58" t="b">
        <f t="shared" si="0"/>
        <v>1</v>
      </c>
      <c r="N58" t="b">
        <f>COUNTBLANK(Metadata!B58:F58)=COLUMNS(Metadata!B58:F58)</f>
        <v>1</v>
      </c>
      <c r="O58" t="str">
        <v/>
      </c>
      <c r="Q58" t="b">
        <f ca="1"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R58" t="b">
        <f>IF(Metadata!C58="",FALSE,TRUE)</f>
        <v>0</v>
      </c>
      <c r="S58" t="b">
        <f>OR(AND(IF(Metadata!D58="",FALSE,TRUE),EXACT(Metadata!D58,"missing: not collected")),AND(IF(Metadata!D58="",FALSE,TRUE),OR(EXACT(Metadata!D58,"t"),EXACT(Metadata!D58,"f"))))</f>
        <v>0</v>
      </c>
      <c r="T58" t="b">
        <f>AND(IF(Metadata!E58="",FALSE,TRUE),OR(EXACT(Metadata!E58,"a"),EXACT(Metadata!E58,"b")))</f>
        <v>0</v>
      </c>
      <c r="U58" t="b">
        <f>OR(AND(IF(Metadata!F58="",FALSE,TRUE),OR(EXACT(Metadata!F58,"missing: not collected"),EXACT(Metadata!F58,"missing: not provided"))),AND(IF(Metadata!F58="",FALSE,TRUE),OR(EXACT(Metadata!F58,"lo"),EXACT(Metadata!F58,"med"),EXACT(Metadata!F58,"hi"))))</f>
        <v>0</v>
      </c>
    </row>
    <row r="59" spans="1:21" x14ac:dyDescent="0.2">
      <c r="A59" s="4" t="str">
        <f ca="1">IF(B59=" "," ",HYPERLINK(CONCATENATE("#metadata!",ADDRESS(INDEX($L$2:$L$1001,MATCH(ROWS($J$2:J59),$J$2:$J$1001,0),0),1)),INDEX($O$2:$O$1001,MATCH(ROWS($J$2:J59),$J$2:$J$1001,0),0)))</f>
        <v xml:space="preserve"> </v>
      </c>
      <c r="B59" s="3" t="str">
        <f ca="1">IF(OR(INDEX($K$2:$K$1001,MATCH(ROWS($J$2:J59),$J$2:$J$1001,0),1)&gt;=100000,INDEX($Q$1005:$U$1005,1,MATCH(COLUMNS($Q$1006:Q1006),$Q$1006:$U$1006,0))&gt;=100000), " ",IF(INDEX($Q$2:$U$1001,MATCH(ROWS($J$2:J59),$J$2:$J$1001,0),MATCH(COLUMNS($Q$1006:Q1006),$Q$1006:$U$1006,0)), HYPERLINK("#",""), HYPERLINK(CONCATENATE("#Metadata!", ADDRESS(INDEX($L$2:$L$1001,MATCH(ROWS($J$2:J59),$J$2:$J$1001,0),0), INDEX($Q$1004:$U$1004,1,MATCH(COLUMNS($Q$1006:Q1006),$Q$1006:$U$1006,0)))),"Fix")))</f>
        <v xml:space="preserve"> </v>
      </c>
      <c r="C59" s="3" t="str">
        <f ca="1">IF(OR(INDEX($K$2:$K$1001,MATCH(ROWS($J$2:J59),$J$2:$J$1001,0),1)&gt;=100000,INDEX($Q$1005:$U$1005,1,MATCH(COLUMNS($Q$1006:R1006),$Q$1006:$U$1006,0))&gt;=100000), " ",IF(INDEX($Q$2:$U$1001,MATCH(ROWS($J$2:J59),$J$2:$J$1001,0),MATCH(COLUMNS($Q$1006:R1006),$Q$1006:$U$1006,0)), HYPERLINK("#",""), HYPERLINK(CONCATENATE("#Metadata!", ADDRESS(INDEX($L$2:$L$1001,MATCH(ROWS($J$2:J59),$J$2:$J$1001,0),0), INDEX($Q$1004:$U$1004,1,MATCH(COLUMNS($Q$1006:R1006),$Q$1006:$U$1006,0)))),"Fix")))</f>
        <v xml:space="preserve"> </v>
      </c>
      <c r="D59" s="3" t="str">
        <f ca="1">IF(OR(INDEX($K$2:$K$1001,MATCH(ROWS($J$2:J59),$J$2:$J$1001,0),1)&gt;=100000,INDEX($Q$1005:$U$1005,1,MATCH(COLUMNS($Q$1006:S1006),$Q$1006:$U$1006,0))&gt;=100000), " ",IF(INDEX($Q$2:$U$1001,MATCH(ROWS($J$2:J59),$J$2:$J$1001,0),MATCH(COLUMNS($Q$1006:S1006),$Q$1006:$U$1006,0)), HYPERLINK("#",""), HYPERLINK(CONCATENATE("#Metadata!", ADDRESS(INDEX($L$2:$L$1001,MATCH(ROWS($J$2:J59),$J$2:$J$1001,0),0), INDEX($Q$1004:$U$1004,1,MATCH(COLUMNS($Q$1006:S1006),$Q$1006:$U$1006,0)))),"Fix")))</f>
        <v xml:space="preserve"> </v>
      </c>
      <c r="E59" s="3" t="str">
        <f ca="1">IF(OR(INDEX($K$2:$K$1001,MATCH(ROWS($J$2:J59),$J$2:$J$1001,0),1)&gt;=100000,INDEX($Q$1005:$U$1005,1,MATCH(COLUMNS($Q$1006:T1006),$Q$1006:$U$1006,0))&gt;=100000), " ",IF(INDEX($Q$2:$U$1001,MATCH(ROWS($J$2:J59),$J$2:$J$1001,0),MATCH(COLUMNS($Q$1006:T1006),$Q$1006:$U$1006,0)), HYPERLINK("#",""), HYPERLINK(CONCATENATE("#Metadata!", ADDRESS(INDEX($L$2:$L$1001,MATCH(ROWS($J$2:J59),$J$2:$J$1001,0),0), INDEX($Q$1004:$U$1004,1,MATCH(COLUMNS($Q$1006:T1006),$Q$1006:$U$1006,0)))),"Fix")))</f>
        <v xml:space="preserve"> </v>
      </c>
      <c r="F59" s="3" t="str">
        <f ca="1">IF(OR(INDEX($K$2:$K$1001,MATCH(ROWS($J$2:J59),$J$2:$J$1001,0),1)&gt;=100000,INDEX($Q$1005:$U$1005,1,MATCH(COLUMNS($Q$1006:U1006),$Q$1006:$U$1006,0))&gt;=100000), " ",IF(INDEX($Q$2:$U$1001,MATCH(ROWS($J$2:J59),$J$2:$J$1001,0),MATCH(COLUMNS($Q$1006:U1006),$Q$1006:$U$1006,0)), HYPERLINK("#",""), HYPERLINK(CONCATENATE("#Metadata!", ADDRESS(INDEX($L$2:$L$1001,MATCH(ROWS($J$2:J59),$J$2:$J$1001,0),0), INDEX($Q$1004:$U$1004,1,MATCH(COLUMNS($Q$1006:U1006),$Q$1006:$U$1006,0)))),"Fix")))</f>
        <v xml:space="preserve"> </v>
      </c>
      <c r="J59">
        <f ca="1"/>
        <v>58</v>
      </c>
      <c r="K59">
        <v>100059</v>
      </c>
      <c r="L59">
        <v>59</v>
      </c>
      <c r="M59" t="b">
        <f t="shared" si="0"/>
        <v>1</v>
      </c>
      <c r="N59" t="b">
        <f>COUNTBLANK(Metadata!B59:F59)=COLUMNS(Metadata!B59:F59)</f>
        <v>1</v>
      </c>
      <c r="O59" t="str">
        <v/>
      </c>
      <c r="Q59" t="b">
        <f ca="1"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R59" t="b">
        <f>IF(Metadata!C59="",FALSE,TRUE)</f>
        <v>0</v>
      </c>
      <c r="S59" t="b">
        <f>OR(AND(IF(Metadata!D59="",FALSE,TRUE),EXACT(Metadata!D59,"missing: not collected")),AND(IF(Metadata!D59="",FALSE,TRUE),OR(EXACT(Metadata!D59,"t"),EXACT(Metadata!D59,"f"))))</f>
        <v>0</v>
      </c>
      <c r="T59" t="b">
        <f>AND(IF(Metadata!E59="",FALSE,TRUE),OR(EXACT(Metadata!E59,"a"),EXACT(Metadata!E59,"b")))</f>
        <v>0</v>
      </c>
      <c r="U59" t="b">
        <f>OR(AND(IF(Metadata!F59="",FALSE,TRUE),OR(EXACT(Metadata!F59,"missing: not collected"),EXACT(Metadata!F59,"missing: not provided"))),AND(IF(Metadata!F59="",FALSE,TRUE),OR(EXACT(Metadata!F59,"lo"),EXACT(Metadata!F59,"med"),EXACT(Metadata!F59,"hi"))))</f>
        <v>0</v>
      </c>
    </row>
    <row r="60" spans="1:21" x14ac:dyDescent="0.2">
      <c r="A60" s="4" t="str">
        <f ca="1">IF(B60=" "," ",HYPERLINK(CONCATENATE("#metadata!",ADDRESS(INDEX($L$2:$L$1001,MATCH(ROWS($J$2:J60),$J$2:$J$1001,0),0),1)),INDEX($O$2:$O$1001,MATCH(ROWS($J$2:J60),$J$2:$J$1001,0),0)))</f>
        <v xml:space="preserve"> </v>
      </c>
      <c r="B60" s="3" t="str">
        <f ca="1">IF(OR(INDEX($K$2:$K$1001,MATCH(ROWS($J$2:J60),$J$2:$J$1001,0),1)&gt;=100000,INDEX($Q$1005:$U$1005,1,MATCH(COLUMNS($Q$1006:Q1006),$Q$1006:$U$1006,0))&gt;=100000), " ",IF(INDEX($Q$2:$U$1001,MATCH(ROWS($J$2:J60),$J$2:$J$1001,0),MATCH(COLUMNS($Q$1006:Q1006),$Q$1006:$U$1006,0)), HYPERLINK("#",""), HYPERLINK(CONCATENATE("#Metadata!", ADDRESS(INDEX($L$2:$L$1001,MATCH(ROWS($J$2:J60),$J$2:$J$1001,0),0), INDEX($Q$1004:$U$1004,1,MATCH(COLUMNS($Q$1006:Q1006),$Q$1006:$U$1006,0)))),"Fix")))</f>
        <v xml:space="preserve"> </v>
      </c>
      <c r="C60" s="3" t="str">
        <f ca="1">IF(OR(INDEX($K$2:$K$1001,MATCH(ROWS($J$2:J60),$J$2:$J$1001,0),1)&gt;=100000,INDEX($Q$1005:$U$1005,1,MATCH(COLUMNS($Q$1006:R1006),$Q$1006:$U$1006,0))&gt;=100000), " ",IF(INDEX($Q$2:$U$1001,MATCH(ROWS($J$2:J60),$J$2:$J$1001,0),MATCH(COLUMNS($Q$1006:R1006),$Q$1006:$U$1006,0)), HYPERLINK("#",""), HYPERLINK(CONCATENATE("#Metadata!", ADDRESS(INDEX($L$2:$L$1001,MATCH(ROWS($J$2:J60),$J$2:$J$1001,0),0), INDEX($Q$1004:$U$1004,1,MATCH(COLUMNS($Q$1006:R1006),$Q$1006:$U$1006,0)))),"Fix")))</f>
        <v xml:space="preserve"> </v>
      </c>
      <c r="D60" s="3" t="str">
        <f ca="1">IF(OR(INDEX($K$2:$K$1001,MATCH(ROWS($J$2:J60),$J$2:$J$1001,0),1)&gt;=100000,INDEX($Q$1005:$U$1005,1,MATCH(COLUMNS($Q$1006:S1006),$Q$1006:$U$1006,0))&gt;=100000), " ",IF(INDEX($Q$2:$U$1001,MATCH(ROWS($J$2:J60),$J$2:$J$1001,0),MATCH(COLUMNS($Q$1006:S1006),$Q$1006:$U$1006,0)), HYPERLINK("#",""), HYPERLINK(CONCATENATE("#Metadata!", ADDRESS(INDEX($L$2:$L$1001,MATCH(ROWS($J$2:J60),$J$2:$J$1001,0),0), INDEX($Q$1004:$U$1004,1,MATCH(COLUMNS($Q$1006:S1006),$Q$1006:$U$1006,0)))),"Fix")))</f>
        <v xml:space="preserve"> </v>
      </c>
      <c r="E60" s="3" t="str">
        <f ca="1">IF(OR(INDEX($K$2:$K$1001,MATCH(ROWS($J$2:J60),$J$2:$J$1001,0),1)&gt;=100000,INDEX($Q$1005:$U$1005,1,MATCH(COLUMNS($Q$1006:T1006),$Q$1006:$U$1006,0))&gt;=100000), " ",IF(INDEX($Q$2:$U$1001,MATCH(ROWS($J$2:J60),$J$2:$J$1001,0),MATCH(COLUMNS($Q$1006:T1006),$Q$1006:$U$1006,0)), HYPERLINK("#",""), HYPERLINK(CONCATENATE("#Metadata!", ADDRESS(INDEX($L$2:$L$1001,MATCH(ROWS($J$2:J60),$J$2:$J$1001,0),0), INDEX($Q$1004:$U$1004,1,MATCH(COLUMNS($Q$1006:T1006),$Q$1006:$U$1006,0)))),"Fix")))</f>
        <v xml:space="preserve"> </v>
      </c>
      <c r="F60" s="3" t="str">
        <f ca="1">IF(OR(INDEX($K$2:$K$1001,MATCH(ROWS($J$2:J60),$J$2:$J$1001,0),1)&gt;=100000,INDEX($Q$1005:$U$1005,1,MATCH(COLUMNS($Q$1006:U1006),$Q$1006:$U$1006,0))&gt;=100000), " ",IF(INDEX($Q$2:$U$1001,MATCH(ROWS($J$2:J60),$J$2:$J$1001,0),MATCH(COLUMNS($Q$1006:U1006),$Q$1006:$U$1006,0)), HYPERLINK("#",""), HYPERLINK(CONCATENATE("#Metadata!", ADDRESS(INDEX($L$2:$L$1001,MATCH(ROWS($J$2:J60),$J$2:$J$1001,0),0), INDEX($Q$1004:$U$1004,1,MATCH(COLUMNS($Q$1006:U1006),$Q$1006:$U$1006,0)))),"Fix")))</f>
        <v xml:space="preserve"> </v>
      </c>
      <c r="J60">
        <f ca="1"/>
        <v>59</v>
      </c>
      <c r="K60">
        <v>100060</v>
      </c>
      <c r="L60">
        <v>60</v>
      </c>
      <c r="M60" t="b">
        <f t="shared" si="0"/>
        <v>1</v>
      </c>
      <c r="N60" t="b">
        <f>COUNTBLANK(Metadata!B60:F60)=COLUMNS(Metadata!B60:F60)</f>
        <v>1</v>
      </c>
      <c r="O60" t="str">
        <v/>
      </c>
      <c r="Q60" t="b">
        <f ca="1"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R60" t="b">
        <f>IF(Metadata!C60="",FALSE,TRUE)</f>
        <v>0</v>
      </c>
      <c r="S60" t="b">
        <f>OR(AND(IF(Metadata!D60="",FALSE,TRUE),EXACT(Metadata!D60,"missing: not collected")),AND(IF(Metadata!D60="",FALSE,TRUE),OR(EXACT(Metadata!D60,"t"),EXACT(Metadata!D60,"f"))))</f>
        <v>0</v>
      </c>
      <c r="T60" t="b">
        <f>AND(IF(Metadata!E60="",FALSE,TRUE),OR(EXACT(Metadata!E60,"a"),EXACT(Metadata!E60,"b")))</f>
        <v>0</v>
      </c>
      <c r="U60" t="b">
        <f>OR(AND(IF(Metadata!F60="",FALSE,TRUE),OR(EXACT(Metadata!F60,"missing: not collected"),EXACT(Metadata!F60,"missing: not provided"))),AND(IF(Metadata!F60="",FALSE,TRUE),OR(EXACT(Metadata!F60,"lo"),EXACT(Metadata!F60,"med"),EXACT(Metadata!F60,"hi"))))</f>
        <v>0</v>
      </c>
    </row>
    <row r="61" spans="1:21" x14ac:dyDescent="0.2">
      <c r="A61" s="4" t="str">
        <f ca="1">IF(B61=" "," ",HYPERLINK(CONCATENATE("#metadata!",ADDRESS(INDEX($L$2:$L$1001,MATCH(ROWS($J$2:J61),$J$2:$J$1001,0),0),1)),INDEX($O$2:$O$1001,MATCH(ROWS($J$2:J61),$J$2:$J$1001,0),0)))</f>
        <v xml:space="preserve"> </v>
      </c>
      <c r="B61" s="3" t="str">
        <f ca="1">IF(OR(INDEX($K$2:$K$1001,MATCH(ROWS($J$2:J61),$J$2:$J$1001,0),1)&gt;=100000,INDEX($Q$1005:$U$1005,1,MATCH(COLUMNS($Q$1006:Q1006),$Q$1006:$U$1006,0))&gt;=100000), " ",IF(INDEX($Q$2:$U$1001,MATCH(ROWS($J$2:J61),$J$2:$J$1001,0),MATCH(COLUMNS($Q$1006:Q1006),$Q$1006:$U$1006,0)), HYPERLINK("#",""), HYPERLINK(CONCATENATE("#Metadata!", ADDRESS(INDEX($L$2:$L$1001,MATCH(ROWS($J$2:J61),$J$2:$J$1001,0),0), INDEX($Q$1004:$U$1004,1,MATCH(COLUMNS($Q$1006:Q1006),$Q$1006:$U$1006,0)))),"Fix")))</f>
        <v xml:space="preserve"> </v>
      </c>
      <c r="C61" s="3" t="str">
        <f ca="1">IF(OR(INDEX($K$2:$K$1001,MATCH(ROWS($J$2:J61),$J$2:$J$1001,0),1)&gt;=100000,INDEX($Q$1005:$U$1005,1,MATCH(COLUMNS($Q$1006:R1006),$Q$1006:$U$1006,0))&gt;=100000), " ",IF(INDEX($Q$2:$U$1001,MATCH(ROWS($J$2:J61),$J$2:$J$1001,0),MATCH(COLUMNS($Q$1006:R1006),$Q$1006:$U$1006,0)), HYPERLINK("#",""), HYPERLINK(CONCATENATE("#Metadata!", ADDRESS(INDEX($L$2:$L$1001,MATCH(ROWS($J$2:J61),$J$2:$J$1001,0),0), INDEX($Q$1004:$U$1004,1,MATCH(COLUMNS($Q$1006:R1006),$Q$1006:$U$1006,0)))),"Fix")))</f>
        <v xml:space="preserve"> </v>
      </c>
      <c r="D61" s="3" t="str">
        <f ca="1">IF(OR(INDEX($K$2:$K$1001,MATCH(ROWS($J$2:J61),$J$2:$J$1001,0),1)&gt;=100000,INDEX($Q$1005:$U$1005,1,MATCH(COLUMNS($Q$1006:S1006),$Q$1006:$U$1006,0))&gt;=100000), " ",IF(INDEX($Q$2:$U$1001,MATCH(ROWS($J$2:J61),$J$2:$J$1001,0),MATCH(COLUMNS($Q$1006:S1006),$Q$1006:$U$1006,0)), HYPERLINK("#",""), HYPERLINK(CONCATENATE("#Metadata!", ADDRESS(INDEX($L$2:$L$1001,MATCH(ROWS($J$2:J61),$J$2:$J$1001,0),0), INDEX($Q$1004:$U$1004,1,MATCH(COLUMNS($Q$1006:S1006),$Q$1006:$U$1006,0)))),"Fix")))</f>
        <v xml:space="preserve"> </v>
      </c>
      <c r="E61" s="3" t="str">
        <f ca="1">IF(OR(INDEX($K$2:$K$1001,MATCH(ROWS($J$2:J61),$J$2:$J$1001,0),1)&gt;=100000,INDEX($Q$1005:$U$1005,1,MATCH(COLUMNS($Q$1006:T1006),$Q$1006:$U$1006,0))&gt;=100000), " ",IF(INDEX($Q$2:$U$1001,MATCH(ROWS($J$2:J61),$J$2:$J$1001,0),MATCH(COLUMNS($Q$1006:T1006),$Q$1006:$U$1006,0)), HYPERLINK("#",""), HYPERLINK(CONCATENATE("#Metadata!", ADDRESS(INDEX($L$2:$L$1001,MATCH(ROWS($J$2:J61),$J$2:$J$1001,0),0), INDEX($Q$1004:$U$1004,1,MATCH(COLUMNS($Q$1006:T1006),$Q$1006:$U$1006,0)))),"Fix")))</f>
        <v xml:space="preserve"> </v>
      </c>
      <c r="F61" s="3" t="str">
        <f ca="1">IF(OR(INDEX($K$2:$K$1001,MATCH(ROWS($J$2:J61),$J$2:$J$1001,0),1)&gt;=100000,INDEX($Q$1005:$U$1005,1,MATCH(COLUMNS($Q$1006:U1006),$Q$1006:$U$1006,0))&gt;=100000), " ",IF(INDEX($Q$2:$U$1001,MATCH(ROWS($J$2:J61),$J$2:$J$1001,0),MATCH(COLUMNS($Q$1006:U1006),$Q$1006:$U$1006,0)), HYPERLINK("#",""), HYPERLINK(CONCATENATE("#Metadata!", ADDRESS(INDEX($L$2:$L$1001,MATCH(ROWS($J$2:J61),$J$2:$J$1001,0),0), INDEX($Q$1004:$U$1004,1,MATCH(COLUMNS($Q$1006:U1006),$Q$1006:$U$1006,0)))),"Fix")))</f>
        <v xml:space="preserve"> </v>
      </c>
      <c r="J61">
        <f ca="1"/>
        <v>60</v>
      </c>
      <c r="K61">
        <v>100061</v>
      </c>
      <c r="L61">
        <v>61</v>
      </c>
      <c r="M61" t="b">
        <f t="shared" si="0"/>
        <v>1</v>
      </c>
      <c r="N61" t="b">
        <f>COUNTBLANK(Metadata!B61:F61)=COLUMNS(Metadata!B61:F61)</f>
        <v>1</v>
      </c>
      <c r="O61" t="str">
        <v/>
      </c>
      <c r="Q61" t="b">
        <f ca="1"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R61" t="b">
        <f>IF(Metadata!C61="",FALSE,TRUE)</f>
        <v>0</v>
      </c>
      <c r="S61" t="b">
        <f>OR(AND(IF(Metadata!D61="",FALSE,TRUE),EXACT(Metadata!D61,"missing: not collected")),AND(IF(Metadata!D61="",FALSE,TRUE),OR(EXACT(Metadata!D61,"t"),EXACT(Metadata!D61,"f"))))</f>
        <v>0</v>
      </c>
      <c r="T61" t="b">
        <f>AND(IF(Metadata!E61="",FALSE,TRUE),OR(EXACT(Metadata!E61,"a"),EXACT(Metadata!E61,"b")))</f>
        <v>0</v>
      </c>
      <c r="U61" t="b">
        <f>OR(AND(IF(Metadata!F61="",FALSE,TRUE),OR(EXACT(Metadata!F61,"missing: not collected"),EXACT(Metadata!F61,"missing: not provided"))),AND(IF(Metadata!F61="",FALSE,TRUE),OR(EXACT(Metadata!F61,"lo"),EXACT(Metadata!F61,"med"),EXACT(Metadata!F61,"hi"))))</f>
        <v>0</v>
      </c>
    </row>
    <row r="62" spans="1:21" x14ac:dyDescent="0.2">
      <c r="A62" s="4" t="str">
        <f ca="1">IF(B62=" "," ",HYPERLINK(CONCATENATE("#metadata!",ADDRESS(INDEX($L$2:$L$1001,MATCH(ROWS($J$2:J62),$J$2:$J$1001,0),0),1)),INDEX($O$2:$O$1001,MATCH(ROWS($J$2:J62),$J$2:$J$1001,0),0)))</f>
        <v xml:space="preserve"> </v>
      </c>
      <c r="B62" s="3" t="str">
        <f ca="1">IF(OR(INDEX($K$2:$K$1001,MATCH(ROWS($J$2:J62),$J$2:$J$1001,0),1)&gt;=100000,INDEX($Q$1005:$U$1005,1,MATCH(COLUMNS($Q$1006:Q1006),$Q$1006:$U$1006,0))&gt;=100000), " ",IF(INDEX($Q$2:$U$1001,MATCH(ROWS($J$2:J62),$J$2:$J$1001,0),MATCH(COLUMNS($Q$1006:Q1006),$Q$1006:$U$1006,0)), HYPERLINK("#",""), HYPERLINK(CONCATENATE("#Metadata!", ADDRESS(INDEX($L$2:$L$1001,MATCH(ROWS($J$2:J62),$J$2:$J$1001,0),0), INDEX($Q$1004:$U$1004,1,MATCH(COLUMNS($Q$1006:Q1006),$Q$1006:$U$1006,0)))),"Fix")))</f>
        <v xml:space="preserve"> </v>
      </c>
      <c r="C62" s="3" t="str">
        <f ca="1">IF(OR(INDEX($K$2:$K$1001,MATCH(ROWS($J$2:J62),$J$2:$J$1001,0),1)&gt;=100000,INDEX($Q$1005:$U$1005,1,MATCH(COLUMNS($Q$1006:R1006),$Q$1006:$U$1006,0))&gt;=100000), " ",IF(INDEX($Q$2:$U$1001,MATCH(ROWS($J$2:J62),$J$2:$J$1001,0),MATCH(COLUMNS($Q$1006:R1006),$Q$1006:$U$1006,0)), HYPERLINK("#",""), HYPERLINK(CONCATENATE("#Metadata!", ADDRESS(INDEX($L$2:$L$1001,MATCH(ROWS($J$2:J62),$J$2:$J$1001,0),0), INDEX($Q$1004:$U$1004,1,MATCH(COLUMNS($Q$1006:R1006),$Q$1006:$U$1006,0)))),"Fix")))</f>
        <v xml:space="preserve"> </v>
      </c>
      <c r="D62" s="3" t="str">
        <f ca="1">IF(OR(INDEX($K$2:$K$1001,MATCH(ROWS($J$2:J62),$J$2:$J$1001,0),1)&gt;=100000,INDEX($Q$1005:$U$1005,1,MATCH(COLUMNS($Q$1006:S1006),$Q$1006:$U$1006,0))&gt;=100000), " ",IF(INDEX($Q$2:$U$1001,MATCH(ROWS($J$2:J62),$J$2:$J$1001,0),MATCH(COLUMNS($Q$1006:S1006),$Q$1006:$U$1006,0)), HYPERLINK("#",""), HYPERLINK(CONCATENATE("#Metadata!", ADDRESS(INDEX($L$2:$L$1001,MATCH(ROWS($J$2:J62),$J$2:$J$1001,0),0), INDEX($Q$1004:$U$1004,1,MATCH(COLUMNS($Q$1006:S1006),$Q$1006:$U$1006,0)))),"Fix")))</f>
        <v xml:space="preserve"> </v>
      </c>
      <c r="E62" s="3" t="str">
        <f ca="1">IF(OR(INDEX($K$2:$K$1001,MATCH(ROWS($J$2:J62),$J$2:$J$1001,0),1)&gt;=100000,INDEX($Q$1005:$U$1005,1,MATCH(COLUMNS($Q$1006:T1006),$Q$1006:$U$1006,0))&gt;=100000), " ",IF(INDEX($Q$2:$U$1001,MATCH(ROWS($J$2:J62),$J$2:$J$1001,0),MATCH(COLUMNS($Q$1006:T1006),$Q$1006:$U$1006,0)), HYPERLINK("#",""), HYPERLINK(CONCATENATE("#Metadata!", ADDRESS(INDEX($L$2:$L$1001,MATCH(ROWS($J$2:J62),$J$2:$J$1001,0),0), INDEX($Q$1004:$U$1004,1,MATCH(COLUMNS($Q$1006:T1006),$Q$1006:$U$1006,0)))),"Fix")))</f>
        <v xml:space="preserve"> </v>
      </c>
      <c r="F62" s="3" t="str">
        <f ca="1">IF(OR(INDEX($K$2:$K$1001,MATCH(ROWS($J$2:J62),$J$2:$J$1001,0),1)&gt;=100000,INDEX($Q$1005:$U$1005,1,MATCH(COLUMNS($Q$1006:U1006),$Q$1006:$U$1006,0))&gt;=100000), " ",IF(INDEX($Q$2:$U$1001,MATCH(ROWS($J$2:J62),$J$2:$J$1001,0),MATCH(COLUMNS($Q$1006:U1006),$Q$1006:$U$1006,0)), HYPERLINK("#",""), HYPERLINK(CONCATENATE("#Metadata!", ADDRESS(INDEX($L$2:$L$1001,MATCH(ROWS($J$2:J62),$J$2:$J$1001,0),0), INDEX($Q$1004:$U$1004,1,MATCH(COLUMNS($Q$1006:U1006),$Q$1006:$U$1006,0)))),"Fix")))</f>
        <v xml:space="preserve"> </v>
      </c>
      <c r="J62">
        <f ca="1"/>
        <v>61</v>
      </c>
      <c r="K62">
        <v>100062</v>
      </c>
      <c r="L62">
        <v>62</v>
      </c>
      <c r="M62" t="b">
        <f t="shared" si="0"/>
        <v>1</v>
      </c>
      <c r="N62" t="b">
        <f>COUNTBLANK(Metadata!B62:F62)=COLUMNS(Metadata!B62:F62)</f>
        <v>1</v>
      </c>
      <c r="O62" t="str">
        <v/>
      </c>
      <c r="Q62" t="b">
        <f ca="1"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R62" t="b">
        <f>IF(Metadata!C62="",FALSE,TRUE)</f>
        <v>0</v>
      </c>
      <c r="S62" t="b">
        <f>OR(AND(IF(Metadata!D62="",FALSE,TRUE),EXACT(Metadata!D62,"missing: not collected")),AND(IF(Metadata!D62="",FALSE,TRUE),OR(EXACT(Metadata!D62,"t"),EXACT(Metadata!D62,"f"))))</f>
        <v>0</v>
      </c>
      <c r="T62" t="b">
        <f>AND(IF(Metadata!E62="",FALSE,TRUE),OR(EXACT(Metadata!E62,"a"),EXACT(Metadata!E62,"b")))</f>
        <v>0</v>
      </c>
      <c r="U62" t="b">
        <f>OR(AND(IF(Metadata!F62="",FALSE,TRUE),OR(EXACT(Metadata!F62,"missing: not collected"),EXACT(Metadata!F62,"missing: not provided"))),AND(IF(Metadata!F62="",FALSE,TRUE),OR(EXACT(Metadata!F62,"lo"),EXACT(Metadata!F62,"med"),EXACT(Metadata!F62,"hi"))))</f>
        <v>0</v>
      </c>
    </row>
    <row r="63" spans="1:21" x14ac:dyDescent="0.2">
      <c r="A63" s="4" t="str">
        <f ca="1">IF(B63=" "," ",HYPERLINK(CONCATENATE("#metadata!",ADDRESS(INDEX($L$2:$L$1001,MATCH(ROWS($J$2:J63),$J$2:$J$1001,0),0),1)),INDEX($O$2:$O$1001,MATCH(ROWS($J$2:J63),$J$2:$J$1001,0),0)))</f>
        <v xml:space="preserve"> </v>
      </c>
      <c r="B63" s="3" t="str">
        <f ca="1">IF(OR(INDEX($K$2:$K$1001,MATCH(ROWS($J$2:J63),$J$2:$J$1001,0),1)&gt;=100000,INDEX($Q$1005:$U$1005,1,MATCH(COLUMNS($Q$1006:Q1006),$Q$1006:$U$1006,0))&gt;=100000), " ",IF(INDEX($Q$2:$U$1001,MATCH(ROWS($J$2:J63),$J$2:$J$1001,0),MATCH(COLUMNS($Q$1006:Q1006),$Q$1006:$U$1006,0)), HYPERLINK("#",""), HYPERLINK(CONCATENATE("#Metadata!", ADDRESS(INDEX($L$2:$L$1001,MATCH(ROWS($J$2:J63),$J$2:$J$1001,0),0), INDEX($Q$1004:$U$1004,1,MATCH(COLUMNS($Q$1006:Q1006),$Q$1006:$U$1006,0)))),"Fix")))</f>
        <v xml:space="preserve"> </v>
      </c>
      <c r="C63" s="3" t="str">
        <f ca="1">IF(OR(INDEX($K$2:$K$1001,MATCH(ROWS($J$2:J63),$J$2:$J$1001,0),1)&gt;=100000,INDEX($Q$1005:$U$1005,1,MATCH(COLUMNS($Q$1006:R1006),$Q$1006:$U$1006,0))&gt;=100000), " ",IF(INDEX($Q$2:$U$1001,MATCH(ROWS($J$2:J63),$J$2:$J$1001,0),MATCH(COLUMNS($Q$1006:R1006),$Q$1006:$U$1006,0)), HYPERLINK("#",""), HYPERLINK(CONCATENATE("#Metadata!", ADDRESS(INDEX($L$2:$L$1001,MATCH(ROWS($J$2:J63),$J$2:$J$1001,0),0), INDEX($Q$1004:$U$1004,1,MATCH(COLUMNS($Q$1006:R1006),$Q$1006:$U$1006,0)))),"Fix")))</f>
        <v xml:space="preserve"> </v>
      </c>
      <c r="D63" s="3" t="str">
        <f ca="1">IF(OR(INDEX($K$2:$K$1001,MATCH(ROWS($J$2:J63),$J$2:$J$1001,0),1)&gt;=100000,INDEX($Q$1005:$U$1005,1,MATCH(COLUMNS($Q$1006:S1006),$Q$1006:$U$1006,0))&gt;=100000), " ",IF(INDEX($Q$2:$U$1001,MATCH(ROWS($J$2:J63),$J$2:$J$1001,0),MATCH(COLUMNS($Q$1006:S1006),$Q$1006:$U$1006,0)), HYPERLINK("#",""), HYPERLINK(CONCATENATE("#Metadata!", ADDRESS(INDEX($L$2:$L$1001,MATCH(ROWS($J$2:J63),$J$2:$J$1001,0),0), INDEX($Q$1004:$U$1004,1,MATCH(COLUMNS($Q$1006:S1006),$Q$1006:$U$1006,0)))),"Fix")))</f>
        <v xml:space="preserve"> </v>
      </c>
      <c r="E63" s="3" t="str">
        <f ca="1">IF(OR(INDEX($K$2:$K$1001,MATCH(ROWS($J$2:J63),$J$2:$J$1001,0),1)&gt;=100000,INDEX($Q$1005:$U$1005,1,MATCH(COLUMNS($Q$1006:T1006),$Q$1006:$U$1006,0))&gt;=100000), " ",IF(INDEX($Q$2:$U$1001,MATCH(ROWS($J$2:J63),$J$2:$J$1001,0),MATCH(COLUMNS($Q$1006:T1006),$Q$1006:$U$1006,0)), HYPERLINK("#",""), HYPERLINK(CONCATENATE("#Metadata!", ADDRESS(INDEX($L$2:$L$1001,MATCH(ROWS($J$2:J63),$J$2:$J$1001,0),0), INDEX($Q$1004:$U$1004,1,MATCH(COLUMNS($Q$1006:T1006),$Q$1006:$U$1006,0)))),"Fix")))</f>
        <v xml:space="preserve"> </v>
      </c>
      <c r="F63" s="3" t="str">
        <f ca="1">IF(OR(INDEX($K$2:$K$1001,MATCH(ROWS($J$2:J63),$J$2:$J$1001,0),1)&gt;=100000,INDEX($Q$1005:$U$1005,1,MATCH(COLUMNS($Q$1006:U1006),$Q$1006:$U$1006,0))&gt;=100000), " ",IF(INDEX($Q$2:$U$1001,MATCH(ROWS($J$2:J63),$J$2:$J$1001,0),MATCH(COLUMNS($Q$1006:U1006),$Q$1006:$U$1006,0)), HYPERLINK("#",""), HYPERLINK(CONCATENATE("#Metadata!", ADDRESS(INDEX($L$2:$L$1001,MATCH(ROWS($J$2:J63),$J$2:$J$1001,0),0), INDEX($Q$1004:$U$1004,1,MATCH(COLUMNS($Q$1006:U1006),$Q$1006:$U$1006,0)))),"Fix")))</f>
        <v xml:space="preserve"> </v>
      </c>
      <c r="J63">
        <f ca="1"/>
        <v>62</v>
      </c>
      <c r="K63">
        <v>100063</v>
      </c>
      <c r="L63">
        <v>63</v>
      </c>
      <c r="M63" t="b">
        <f t="shared" si="0"/>
        <v>1</v>
      </c>
      <c r="N63" t="b">
        <f>COUNTBLANK(Metadata!B63:F63)=COLUMNS(Metadata!B63:F63)</f>
        <v>1</v>
      </c>
      <c r="O63" t="str">
        <v/>
      </c>
      <c r="Q63" t="b">
        <f ca="1"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R63" t="b">
        <f>IF(Metadata!C63="",FALSE,TRUE)</f>
        <v>0</v>
      </c>
      <c r="S63" t="b">
        <f>OR(AND(IF(Metadata!D63="",FALSE,TRUE),EXACT(Metadata!D63,"missing: not collected")),AND(IF(Metadata!D63="",FALSE,TRUE),OR(EXACT(Metadata!D63,"t"),EXACT(Metadata!D63,"f"))))</f>
        <v>0</v>
      </c>
      <c r="T63" t="b">
        <f>AND(IF(Metadata!E63="",FALSE,TRUE),OR(EXACT(Metadata!E63,"a"),EXACT(Metadata!E63,"b")))</f>
        <v>0</v>
      </c>
      <c r="U63" t="b">
        <f>OR(AND(IF(Metadata!F63="",FALSE,TRUE),OR(EXACT(Metadata!F63,"missing: not collected"),EXACT(Metadata!F63,"missing: not provided"))),AND(IF(Metadata!F63="",FALSE,TRUE),OR(EXACT(Metadata!F63,"lo"),EXACT(Metadata!F63,"med"),EXACT(Metadata!F63,"hi"))))</f>
        <v>0</v>
      </c>
    </row>
    <row r="64" spans="1:21" x14ac:dyDescent="0.2">
      <c r="A64" s="4" t="str">
        <f ca="1">IF(B64=" "," ",HYPERLINK(CONCATENATE("#metadata!",ADDRESS(INDEX($L$2:$L$1001,MATCH(ROWS($J$2:J64),$J$2:$J$1001,0),0),1)),INDEX($O$2:$O$1001,MATCH(ROWS($J$2:J64),$J$2:$J$1001,0),0)))</f>
        <v xml:space="preserve"> </v>
      </c>
      <c r="B64" s="3" t="str">
        <f ca="1">IF(OR(INDEX($K$2:$K$1001,MATCH(ROWS($J$2:J64),$J$2:$J$1001,0),1)&gt;=100000,INDEX($Q$1005:$U$1005,1,MATCH(COLUMNS($Q$1006:Q1006),$Q$1006:$U$1006,0))&gt;=100000), " ",IF(INDEX($Q$2:$U$1001,MATCH(ROWS($J$2:J64),$J$2:$J$1001,0),MATCH(COLUMNS($Q$1006:Q1006),$Q$1006:$U$1006,0)), HYPERLINK("#",""), HYPERLINK(CONCATENATE("#Metadata!", ADDRESS(INDEX($L$2:$L$1001,MATCH(ROWS($J$2:J64),$J$2:$J$1001,0),0), INDEX($Q$1004:$U$1004,1,MATCH(COLUMNS($Q$1006:Q1006),$Q$1006:$U$1006,0)))),"Fix")))</f>
        <v xml:space="preserve"> </v>
      </c>
      <c r="C64" s="3" t="str">
        <f ca="1">IF(OR(INDEX($K$2:$K$1001,MATCH(ROWS($J$2:J64),$J$2:$J$1001,0),1)&gt;=100000,INDEX($Q$1005:$U$1005,1,MATCH(COLUMNS($Q$1006:R1006),$Q$1006:$U$1006,0))&gt;=100000), " ",IF(INDEX($Q$2:$U$1001,MATCH(ROWS($J$2:J64),$J$2:$J$1001,0),MATCH(COLUMNS($Q$1006:R1006),$Q$1006:$U$1006,0)), HYPERLINK("#",""), HYPERLINK(CONCATENATE("#Metadata!", ADDRESS(INDEX($L$2:$L$1001,MATCH(ROWS($J$2:J64),$J$2:$J$1001,0),0), INDEX($Q$1004:$U$1004,1,MATCH(COLUMNS($Q$1006:R1006),$Q$1006:$U$1006,0)))),"Fix")))</f>
        <v xml:space="preserve"> </v>
      </c>
      <c r="D64" s="3" t="str">
        <f ca="1">IF(OR(INDEX($K$2:$K$1001,MATCH(ROWS($J$2:J64),$J$2:$J$1001,0),1)&gt;=100000,INDEX($Q$1005:$U$1005,1,MATCH(COLUMNS($Q$1006:S1006),$Q$1006:$U$1006,0))&gt;=100000), " ",IF(INDEX($Q$2:$U$1001,MATCH(ROWS($J$2:J64),$J$2:$J$1001,0),MATCH(COLUMNS($Q$1006:S1006),$Q$1006:$U$1006,0)), HYPERLINK("#",""), HYPERLINK(CONCATENATE("#Metadata!", ADDRESS(INDEX($L$2:$L$1001,MATCH(ROWS($J$2:J64),$J$2:$J$1001,0),0), INDEX($Q$1004:$U$1004,1,MATCH(COLUMNS($Q$1006:S1006),$Q$1006:$U$1006,0)))),"Fix")))</f>
        <v xml:space="preserve"> </v>
      </c>
      <c r="E64" s="3" t="str">
        <f ca="1">IF(OR(INDEX($K$2:$K$1001,MATCH(ROWS($J$2:J64),$J$2:$J$1001,0),1)&gt;=100000,INDEX($Q$1005:$U$1005,1,MATCH(COLUMNS($Q$1006:T1006),$Q$1006:$U$1006,0))&gt;=100000), " ",IF(INDEX($Q$2:$U$1001,MATCH(ROWS($J$2:J64),$J$2:$J$1001,0),MATCH(COLUMNS($Q$1006:T1006),$Q$1006:$U$1006,0)), HYPERLINK("#",""), HYPERLINK(CONCATENATE("#Metadata!", ADDRESS(INDEX($L$2:$L$1001,MATCH(ROWS($J$2:J64),$J$2:$J$1001,0),0), INDEX($Q$1004:$U$1004,1,MATCH(COLUMNS($Q$1006:T1006),$Q$1006:$U$1006,0)))),"Fix")))</f>
        <v xml:space="preserve"> </v>
      </c>
      <c r="F64" s="3" t="str">
        <f ca="1">IF(OR(INDEX($K$2:$K$1001,MATCH(ROWS($J$2:J64),$J$2:$J$1001,0),1)&gt;=100000,INDEX($Q$1005:$U$1005,1,MATCH(COLUMNS($Q$1006:U1006),$Q$1006:$U$1006,0))&gt;=100000), " ",IF(INDEX($Q$2:$U$1001,MATCH(ROWS($J$2:J64),$J$2:$J$1001,0),MATCH(COLUMNS($Q$1006:U1006),$Q$1006:$U$1006,0)), HYPERLINK("#",""), HYPERLINK(CONCATENATE("#Metadata!", ADDRESS(INDEX($L$2:$L$1001,MATCH(ROWS($J$2:J64),$J$2:$J$1001,0),0), INDEX($Q$1004:$U$1004,1,MATCH(COLUMNS($Q$1006:U1006),$Q$1006:$U$1006,0)))),"Fix")))</f>
        <v xml:space="preserve"> </v>
      </c>
      <c r="J64">
        <f ca="1"/>
        <v>63</v>
      </c>
      <c r="K64">
        <v>100064</v>
      </c>
      <c r="L64">
        <v>64</v>
      </c>
      <c r="M64" t="b">
        <f t="shared" si="0"/>
        <v>1</v>
      </c>
      <c r="N64" t="b">
        <f>COUNTBLANK(Metadata!B64:F64)=COLUMNS(Metadata!B64:F64)</f>
        <v>1</v>
      </c>
      <c r="O64" t="str">
        <v/>
      </c>
      <c r="Q64" t="b">
        <f ca="1"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R64" t="b">
        <f>IF(Metadata!C64="",FALSE,TRUE)</f>
        <v>0</v>
      </c>
      <c r="S64" t="b">
        <f>OR(AND(IF(Metadata!D64="",FALSE,TRUE),EXACT(Metadata!D64,"missing: not collected")),AND(IF(Metadata!D64="",FALSE,TRUE),OR(EXACT(Metadata!D64,"t"),EXACT(Metadata!D64,"f"))))</f>
        <v>0</v>
      </c>
      <c r="T64" t="b">
        <f>AND(IF(Metadata!E64="",FALSE,TRUE),OR(EXACT(Metadata!E64,"a"),EXACT(Metadata!E64,"b")))</f>
        <v>0</v>
      </c>
      <c r="U64" t="b">
        <f>OR(AND(IF(Metadata!F64="",FALSE,TRUE),OR(EXACT(Metadata!F64,"missing: not collected"),EXACT(Metadata!F64,"missing: not provided"))),AND(IF(Metadata!F64="",FALSE,TRUE),OR(EXACT(Metadata!F64,"lo"),EXACT(Metadata!F64,"med"),EXACT(Metadata!F64,"hi"))))</f>
        <v>0</v>
      </c>
    </row>
    <row r="65" spans="1:21" x14ac:dyDescent="0.2">
      <c r="A65" s="4" t="str">
        <f ca="1">IF(B65=" "," ",HYPERLINK(CONCATENATE("#metadata!",ADDRESS(INDEX($L$2:$L$1001,MATCH(ROWS($J$2:J65),$J$2:$J$1001,0),0),1)),INDEX($O$2:$O$1001,MATCH(ROWS($J$2:J65),$J$2:$J$1001,0),0)))</f>
        <v xml:space="preserve"> </v>
      </c>
      <c r="B65" s="3" t="str">
        <f ca="1">IF(OR(INDEX($K$2:$K$1001,MATCH(ROWS($J$2:J65),$J$2:$J$1001,0),1)&gt;=100000,INDEX($Q$1005:$U$1005,1,MATCH(COLUMNS($Q$1006:Q1006),$Q$1006:$U$1006,0))&gt;=100000), " ",IF(INDEX($Q$2:$U$1001,MATCH(ROWS($J$2:J65),$J$2:$J$1001,0),MATCH(COLUMNS($Q$1006:Q1006),$Q$1006:$U$1006,0)), HYPERLINK("#",""), HYPERLINK(CONCATENATE("#Metadata!", ADDRESS(INDEX($L$2:$L$1001,MATCH(ROWS($J$2:J65),$J$2:$J$1001,0),0), INDEX($Q$1004:$U$1004,1,MATCH(COLUMNS($Q$1006:Q1006),$Q$1006:$U$1006,0)))),"Fix")))</f>
        <v xml:space="preserve"> </v>
      </c>
      <c r="C65" s="3" t="str">
        <f ca="1">IF(OR(INDEX($K$2:$K$1001,MATCH(ROWS($J$2:J65),$J$2:$J$1001,0),1)&gt;=100000,INDEX($Q$1005:$U$1005,1,MATCH(COLUMNS($Q$1006:R1006),$Q$1006:$U$1006,0))&gt;=100000), " ",IF(INDEX($Q$2:$U$1001,MATCH(ROWS($J$2:J65),$J$2:$J$1001,0),MATCH(COLUMNS($Q$1006:R1006),$Q$1006:$U$1006,0)), HYPERLINK("#",""), HYPERLINK(CONCATENATE("#Metadata!", ADDRESS(INDEX($L$2:$L$1001,MATCH(ROWS($J$2:J65),$J$2:$J$1001,0),0), INDEX($Q$1004:$U$1004,1,MATCH(COLUMNS($Q$1006:R1006),$Q$1006:$U$1006,0)))),"Fix")))</f>
        <v xml:space="preserve"> </v>
      </c>
      <c r="D65" s="3" t="str">
        <f ca="1">IF(OR(INDEX($K$2:$K$1001,MATCH(ROWS($J$2:J65),$J$2:$J$1001,0),1)&gt;=100000,INDEX($Q$1005:$U$1005,1,MATCH(COLUMNS($Q$1006:S1006),$Q$1006:$U$1006,0))&gt;=100000), " ",IF(INDEX($Q$2:$U$1001,MATCH(ROWS($J$2:J65),$J$2:$J$1001,0),MATCH(COLUMNS($Q$1006:S1006),$Q$1006:$U$1006,0)), HYPERLINK("#",""), HYPERLINK(CONCATENATE("#Metadata!", ADDRESS(INDEX($L$2:$L$1001,MATCH(ROWS($J$2:J65),$J$2:$J$1001,0),0), INDEX($Q$1004:$U$1004,1,MATCH(COLUMNS($Q$1006:S1006),$Q$1006:$U$1006,0)))),"Fix")))</f>
        <v xml:space="preserve"> </v>
      </c>
      <c r="E65" s="3" t="str">
        <f ca="1">IF(OR(INDEX($K$2:$K$1001,MATCH(ROWS($J$2:J65),$J$2:$J$1001,0),1)&gt;=100000,INDEX($Q$1005:$U$1005,1,MATCH(COLUMNS($Q$1006:T1006),$Q$1006:$U$1006,0))&gt;=100000), " ",IF(INDEX($Q$2:$U$1001,MATCH(ROWS($J$2:J65),$J$2:$J$1001,0),MATCH(COLUMNS($Q$1006:T1006),$Q$1006:$U$1006,0)), HYPERLINK("#",""), HYPERLINK(CONCATENATE("#Metadata!", ADDRESS(INDEX($L$2:$L$1001,MATCH(ROWS($J$2:J65),$J$2:$J$1001,0),0), INDEX($Q$1004:$U$1004,1,MATCH(COLUMNS($Q$1006:T1006),$Q$1006:$U$1006,0)))),"Fix")))</f>
        <v xml:space="preserve"> </v>
      </c>
      <c r="F65" s="3" t="str">
        <f ca="1">IF(OR(INDEX($K$2:$K$1001,MATCH(ROWS($J$2:J65),$J$2:$J$1001,0),1)&gt;=100000,INDEX($Q$1005:$U$1005,1,MATCH(COLUMNS($Q$1006:U1006),$Q$1006:$U$1006,0))&gt;=100000), " ",IF(INDEX($Q$2:$U$1001,MATCH(ROWS($J$2:J65),$J$2:$J$1001,0),MATCH(COLUMNS($Q$1006:U1006),$Q$1006:$U$1006,0)), HYPERLINK("#",""), HYPERLINK(CONCATENATE("#Metadata!", ADDRESS(INDEX($L$2:$L$1001,MATCH(ROWS($J$2:J65),$J$2:$J$1001,0),0), INDEX($Q$1004:$U$1004,1,MATCH(COLUMNS($Q$1006:U1006),$Q$1006:$U$1006,0)))),"Fix")))</f>
        <v xml:space="preserve"> </v>
      </c>
      <c r="J65">
        <f ca="1"/>
        <v>64</v>
      </c>
      <c r="K65">
        <v>100065</v>
      </c>
      <c r="L65">
        <v>65</v>
      </c>
      <c r="M65" t="b">
        <f t="shared" si="0"/>
        <v>1</v>
      </c>
      <c r="N65" t="b">
        <f>COUNTBLANK(Metadata!B65:F65)=COLUMNS(Metadata!B65:F65)</f>
        <v>1</v>
      </c>
      <c r="O65" t="str">
        <v/>
      </c>
      <c r="Q65" t="b">
        <f ca="1"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R65" t="b">
        <f>IF(Metadata!C65="",FALSE,TRUE)</f>
        <v>0</v>
      </c>
      <c r="S65" t="b">
        <f>OR(AND(IF(Metadata!D65="",FALSE,TRUE),EXACT(Metadata!D65,"missing: not collected")),AND(IF(Metadata!D65="",FALSE,TRUE),OR(EXACT(Metadata!D65,"t"),EXACT(Metadata!D65,"f"))))</f>
        <v>0</v>
      </c>
      <c r="T65" t="b">
        <f>AND(IF(Metadata!E65="",FALSE,TRUE),OR(EXACT(Metadata!E65,"a"),EXACT(Metadata!E65,"b")))</f>
        <v>0</v>
      </c>
      <c r="U65" t="b">
        <f>OR(AND(IF(Metadata!F65="",FALSE,TRUE),OR(EXACT(Metadata!F65,"missing: not collected"),EXACT(Metadata!F65,"missing: not provided"))),AND(IF(Metadata!F65="",FALSE,TRUE),OR(EXACT(Metadata!F65,"lo"),EXACT(Metadata!F65,"med"),EXACT(Metadata!F65,"hi"))))</f>
        <v>0</v>
      </c>
    </row>
    <row r="66" spans="1:21" x14ac:dyDescent="0.2">
      <c r="A66" s="4" t="str">
        <f ca="1">IF(B66=" "," ",HYPERLINK(CONCATENATE("#metadata!",ADDRESS(INDEX($L$2:$L$1001,MATCH(ROWS($J$2:J66),$J$2:$J$1001,0),0),1)),INDEX($O$2:$O$1001,MATCH(ROWS($J$2:J66),$J$2:$J$1001,0),0)))</f>
        <v xml:space="preserve"> </v>
      </c>
      <c r="B66" s="3" t="str">
        <f ca="1">IF(OR(INDEX($K$2:$K$1001,MATCH(ROWS($J$2:J66),$J$2:$J$1001,0),1)&gt;=100000,INDEX($Q$1005:$U$1005,1,MATCH(COLUMNS($Q$1006:Q1006),$Q$1006:$U$1006,0))&gt;=100000), " ",IF(INDEX($Q$2:$U$1001,MATCH(ROWS($J$2:J66),$J$2:$J$1001,0),MATCH(COLUMNS($Q$1006:Q1006),$Q$1006:$U$1006,0)), HYPERLINK("#",""), HYPERLINK(CONCATENATE("#Metadata!", ADDRESS(INDEX($L$2:$L$1001,MATCH(ROWS($J$2:J66),$J$2:$J$1001,0),0), INDEX($Q$1004:$U$1004,1,MATCH(COLUMNS($Q$1006:Q1006),$Q$1006:$U$1006,0)))),"Fix")))</f>
        <v xml:space="preserve"> </v>
      </c>
      <c r="C66" s="3" t="str">
        <f ca="1">IF(OR(INDEX($K$2:$K$1001,MATCH(ROWS($J$2:J66),$J$2:$J$1001,0),1)&gt;=100000,INDEX($Q$1005:$U$1005,1,MATCH(COLUMNS($Q$1006:R1006),$Q$1006:$U$1006,0))&gt;=100000), " ",IF(INDEX($Q$2:$U$1001,MATCH(ROWS($J$2:J66),$J$2:$J$1001,0),MATCH(COLUMNS($Q$1006:R1006),$Q$1006:$U$1006,0)), HYPERLINK("#",""), HYPERLINK(CONCATENATE("#Metadata!", ADDRESS(INDEX($L$2:$L$1001,MATCH(ROWS($J$2:J66),$J$2:$J$1001,0),0), INDEX($Q$1004:$U$1004,1,MATCH(COLUMNS($Q$1006:R1006),$Q$1006:$U$1006,0)))),"Fix")))</f>
        <v xml:space="preserve"> </v>
      </c>
      <c r="D66" s="3" t="str">
        <f ca="1">IF(OR(INDEX($K$2:$K$1001,MATCH(ROWS($J$2:J66),$J$2:$J$1001,0),1)&gt;=100000,INDEX($Q$1005:$U$1005,1,MATCH(COLUMNS($Q$1006:S1006),$Q$1006:$U$1006,0))&gt;=100000), " ",IF(INDEX($Q$2:$U$1001,MATCH(ROWS($J$2:J66),$J$2:$J$1001,0),MATCH(COLUMNS($Q$1006:S1006),$Q$1006:$U$1006,0)), HYPERLINK("#",""), HYPERLINK(CONCATENATE("#Metadata!", ADDRESS(INDEX($L$2:$L$1001,MATCH(ROWS($J$2:J66),$J$2:$J$1001,0),0), INDEX($Q$1004:$U$1004,1,MATCH(COLUMNS($Q$1006:S1006),$Q$1006:$U$1006,0)))),"Fix")))</f>
        <v xml:space="preserve"> </v>
      </c>
      <c r="E66" s="3" t="str">
        <f ca="1">IF(OR(INDEX($K$2:$K$1001,MATCH(ROWS($J$2:J66),$J$2:$J$1001,0),1)&gt;=100000,INDEX($Q$1005:$U$1005,1,MATCH(COLUMNS($Q$1006:T1006),$Q$1006:$U$1006,0))&gt;=100000), " ",IF(INDEX($Q$2:$U$1001,MATCH(ROWS($J$2:J66),$J$2:$J$1001,0),MATCH(COLUMNS($Q$1006:T1006),$Q$1006:$U$1006,0)), HYPERLINK("#",""), HYPERLINK(CONCATENATE("#Metadata!", ADDRESS(INDEX($L$2:$L$1001,MATCH(ROWS($J$2:J66),$J$2:$J$1001,0),0), INDEX($Q$1004:$U$1004,1,MATCH(COLUMNS($Q$1006:T1006),$Q$1006:$U$1006,0)))),"Fix")))</f>
        <v xml:space="preserve"> </v>
      </c>
      <c r="F66" s="3" t="str">
        <f ca="1">IF(OR(INDEX($K$2:$K$1001,MATCH(ROWS($J$2:J66),$J$2:$J$1001,0),1)&gt;=100000,INDEX($Q$1005:$U$1005,1,MATCH(COLUMNS($Q$1006:U1006),$Q$1006:$U$1006,0))&gt;=100000), " ",IF(INDEX($Q$2:$U$1001,MATCH(ROWS($J$2:J66),$J$2:$J$1001,0),MATCH(COLUMNS($Q$1006:U1006),$Q$1006:$U$1006,0)), HYPERLINK("#",""), HYPERLINK(CONCATENATE("#Metadata!", ADDRESS(INDEX($L$2:$L$1001,MATCH(ROWS($J$2:J66),$J$2:$J$1001,0),0), INDEX($Q$1004:$U$1004,1,MATCH(COLUMNS($Q$1006:U1006),$Q$1006:$U$1006,0)))),"Fix")))</f>
        <v xml:space="preserve"> </v>
      </c>
      <c r="J66">
        <f ca="1"/>
        <v>65</v>
      </c>
      <c r="K66">
        <v>100066</v>
      </c>
      <c r="L66">
        <v>66</v>
      </c>
      <c r="M66" t="b">
        <f t="shared" ref="M66:M129" si="1">IF(N66,TRUE,AND(Q66:U66))</f>
        <v>1</v>
      </c>
      <c r="N66" t="b">
        <f>COUNTBLANK(Metadata!B66:F66)=COLUMNS(Metadata!B66:F66)</f>
        <v>1</v>
      </c>
      <c r="O66" t="str">
        <v/>
      </c>
      <c r="Q66" t="b">
        <f ca="1"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R66" t="b">
        <f>IF(Metadata!C66="",FALSE,TRUE)</f>
        <v>0</v>
      </c>
      <c r="S66" t="b">
        <f>OR(AND(IF(Metadata!D66="",FALSE,TRUE),EXACT(Metadata!D66,"missing: not collected")),AND(IF(Metadata!D66="",FALSE,TRUE),OR(EXACT(Metadata!D66,"t"),EXACT(Metadata!D66,"f"))))</f>
        <v>0</v>
      </c>
      <c r="T66" t="b">
        <f>AND(IF(Metadata!E66="",FALSE,TRUE),OR(EXACT(Metadata!E66,"a"),EXACT(Metadata!E66,"b")))</f>
        <v>0</v>
      </c>
      <c r="U66" t="b">
        <f>OR(AND(IF(Metadata!F66="",FALSE,TRUE),OR(EXACT(Metadata!F66,"missing: not collected"),EXACT(Metadata!F66,"missing: not provided"))),AND(IF(Metadata!F66="",FALSE,TRUE),OR(EXACT(Metadata!F66,"lo"),EXACT(Metadata!F66,"med"),EXACT(Metadata!F66,"hi"))))</f>
        <v>0</v>
      </c>
    </row>
    <row r="67" spans="1:21" x14ac:dyDescent="0.2">
      <c r="A67" s="4" t="str">
        <f ca="1">IF(B67=" "," ",HYPERLINK(CONCATENATE("#metadata!",ADDRESS(INDEX($L$2:$L$1001,MATCH(ROWS($J$2:J67),$J$2:$J$1001,0),0),1)),INDEX($O$2:$O$1001,MATCH(ROWS($J$2:J67),$J$2:$J$1001,0),0)))</f>
        <v xml:space="preserve"> </v>
      </c>
      <c r="B67" s="3" t="str">
        <f ca="1">IF(OR(INDEX($K$2:$K$1001,MATCH(ROWS($J$2:J67),$J$2:$J$1001,0),1)&gt;=100000,INDEX($Q$1005:$U$1005,1,MATCH(COLUMNS($Q$1006:Q1006),$Q$1006:$U$1006,0))&gt;=100000), " ",IF(INDEX($Q$2:$U$1001,MATCH(ROWS($J$2:J67),$J$2:$J$1001,0),MATCH(COLUMNS($Q$1006:Q1006),$Q$1006:$U$1006,0)), HYPERLINK("#",""), HYPERLINK(CONCATENATE("#Metadata!", ADDRESS(INDEX($L$2:$L$1001,MATCH(ROWS($J$2:J67),$J$2:$J$1001,0),0), INDEX($Q$1004:$U$1004,1,MATCH(COLUMNS($Q$1006:Q1006),$Q$1006:$U$1006,0)))),"Fix")))</f>
        <v xml:space="preserve"> </v>
      </c>
      <c r="C67" s="3" t="str">
        <f ca="1">IF(OR(INDEX($K$2:$K$1001,MATCH(ROWS($J$2:J67),$J$2:$J$1001,0),1)&gt;=100000,INDEX($Q$1005:$U$1005,1,MATCH(COLUMNS($Q$1006:R1006),$Q$1006:$U$1006,0))&gt;=100000), " ",IF(INDEX($Q$2:$U$1001,MATCH(ROWS($J$2:J67),$J$2:$J$1001,0),MATCH(COLUMNS($Q$1006:R1006),$Q$1006:$U$1006,0)), HYPERLINK("#",""), HYPERLINK(CONCATENATE("#Metadata!", ADDRESS(INDEX($L$2:$L$1001,MATCH(ROWS($J$2:J67),$J$2:$J$1001,0),0), INDEX($Q$1004:$U$1004,1,MATCH(COLUMNS($Q$1006:R1006),$Q$1006:$U$1006,0)))),"Fix")))</f>
        <v xml:space="preserve"> </v>
      </c>
      <c r="D67" s="3" t="str">
        <f ca="1">IF(OR(INDEX($K$2:$K$1001,MATCH(ROWS($J$2:J67),$J$2:$J$1001,0),1)&gt;=100000,INDEX($Q$1005:$U$1005,1,MATCH(COLUMNS($Q$1006:S1006),$Q$1006:$U$1006,0))&gt;=100000), " ",IF(INDEX($Q$2:$U$1001,MATCH(ROWS($J$2:J67),$J$2:$J$1001,0),MATCH(COLUMNS($Q$1006:S1006),$Q$1006:$U$1006,0)), HYPERLINK("#",""), HYPERLINK(CONCATENATE("#Metadata!", ADDRESS(INDEX($L$2:$L$1001,MATCH(ROWS($J$2:J67),$J$2:$J$1001,0),0), INDEX($Q$1004:$U$1004,1,MATCH(COLUMNS($Q$1006:S1006),$Q$1006:$U$1006,0)))),"Fix")))</f>
        <v xml:space="preserve"> </v>
      </c>
      <c r="E67" s="3" t="str">
        <f ca="1">IF(OR(INDEX($K$2:$K$1001,MATCH(ROWS($J$2:J67),$J$2:$J$1001,0),1)&gt;=100000,INDEX($Q$1005:$U$1005,1,MATCH(COLUMNS($Q$1006:T1006),$Q$1006:$U$1006,0))&gt;=100000), " ",IF(INDEX($Q$2:$U$1001,MATCH(ROWS($J$2:J67),$J$2:$J$1001,0),MATCH(COLUMNS($Q$1006:T1006),$Q$1006:$U$1006,0)), HYPERLINK("#",""), HYPERLINK(CONCATENATE("#Metadata!", ADDRESS(INDEX($L$2:$L$1001,MATCH(ROWS($J$2:J67),$J$2:$J$1001,0),0), INDEX($Q$1004:$U$1004,1,MATCH(COLUMNS($Q$1006:T1006),$Q$1006:$U$1006,0)))),"Fix")))</f>
        <v xml:space="preserve"> </v>
      </c>
      <c r="F67" s="3" t="str">
        <f ca="1">IF(OR(INDEX($K$2:$K$1001,MATCH(ROWS($J$2:J67),$J$2:$J$1001,0),1)&gt;=100000,INDEX($Q$1005:$U$1005,1,MATCH(COLUMNS($Q$1006:U1006),$Q$1006:$U$1006,0))&gt;=100000), " ",IF(INDEX($Q$2:$U$1001,MATCH(ROWS($J$2:J67),$J$2:$J$1001,0),MATCH(COLUMNS($Q$1006:U1006),$Q$1006:$U$1006,0)), HYPERLINK("#",""), HYPERLINK(CONCATENATE("#Metadata!", ADDRESS(INDEX($L$2:$L$1001,MATCH(ROWS($J$2:J67),$J$2:$J$1001,0),0), INDEX($Q$1004:$U$1004,1,MATCH(COLUMNS($Q$1006:U1006),$Q$1006:$U$1006,0)))),"Fix")))</f>
        <v xml:space="preserve"> </v>
      </c>
      <c r="J67">
        <f ca="1"/>
        <v>66</v>
      </c>
      <c r="K67">
        <v>100067</v>
      </c>
      <c r="L67">
        <v>67</v>
      </c>
      <c r="M67" t="b">
        <f t="shared" si="1"/>
        <v>1</v>
      </c>
      <c r="N67" t="b">
        <f>COUNTBLANK(Metadata!B67:F67)=COLUMNS(Metadata!B67:F67)</f>
        <v>1</v>
      </c>
      <c r="O67" t="str">
        <v/>
      </c>
      <c r="Q67" t="b">
        <f ca="1"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R67" t="b">
        <f>IF(Metadata!C67="",FALSE,TRUE)</f>
        <v>0</v>
      </c>
      <c r="S67" t="b">
        <f>OR(AND(IF(Metadata!D67="",FALSE,TRUE),EXACT(Metadata!D67,"missing: not collected")),AND(IF(Metadata!D67="",FALSE,TRUE),OR(EXACT(Metadata!D67,"t"),EXACT(Metadata!D67,"f"))))</f>
        <v>0</v>
      </c>
      <c r="T67" t="b">
        <f>AND(IF(Metadata!E67="",FALSE,TRUE),OR(EXACT(Metadata!E67,"a"),EXACT(Metadata!E67,"b")))</f>
        <v>0</v>
      </c>
      <c r="U67" t="b">
        <f>OR(AND(IF(Metadata!F67="",FALSE,TRUE),OR(EXACT(Metadata!F67,"missing: not collected"),EXACT(Metadata!F67,"missing: not provided"))),AND(IF(Metadata!F67="",FALSE,TRUE),OR(EXACT(Metadata!F67,"lo"),EXACT(Metadata!F67,"med"),EXACT(Metadata!F67,"hi"))))</f>
        <v>0</v>
      </c>
    </row>
    <row r="68" spans="1:21" x14ac:dyDescent="0.2">
      <c r="A68" s="4" t="str">
        <f ca="1">IF(B68=" "," ",HYPERLINK(CONCATENATE("#metadata!",ADDRESS(INDEX($L$2:$L$1001,MATCH(ROWS($J$2:J68),$J$2:$J$1001,0),0),1)),INDEX($O$2:$O$1001,MATCH(ROWS($J$2:J68),$J$2:$J$1001,0),0)))</f>
        <v xml:space="preserve"> </v>
      </c>
      <c r="B68" s="3" t="str">
        <f ca="1">IF(OR(INDEX($K$2:$K$1001,MATCH(ROWS($J$2:J68),$J$2:$J$1001,0),1)&gt;=100000,INDEX($Q$1005:$U$1005,1,MATCH(COLUMNS($Q$1006:Q1006),$Q$1006:$U$1006,0))&gt;=100000), " ",IF(INDEX($Q$2:$U$1001,MATCH(ROWS($J$2:J68),$J$2:$J$1001,0),MATCH(COLUMNS($Q$1006:Q1006),$Q$1006:$U$1006,0)), HYPERLINK("#",""), HYPERLINK(CONCATENATE("#Metadata!", ADDRESS(INDEX($L$2:$L$1001,MATCH(ROWS($J$2:J68),$J$2:$J$1001,0),0), INDEX($Q$1004:$U$1004,1,MATCH(COLUMNS($Q$1006:Q1006),$Q$1006:$U$1006,0)))),"Fix")))</f>
        <v xml:space="preserve"> </v>
      </c>
      <c r="C68" s="3" t="str">
        <f ca="1">IF(OR(INDEX($K$2:$K$1001,MATCH(ROWS($J$2:J68),$J$2:$J$1001,0),1)&gt;=100000,INDEX($Q$1005:$U$1005,1,MATCH(COLUMNS($Q$1006:R1006),$Q$1006:$U$1006,0))&gt;=100000), " ",IF(INDEX($Q$2:$U$1001,MATCH(ROWS($J$2:J68),$J$2:$J$1001,0),MATCH(COLUMNS($Q$1006:R1006),$Q$1006:$U$1006,0)), HYPERLINK("#",""), HYPERLINK(CONCATENATE("#Metadata!", ADDRESS(INDEX($L$2:$L$1001,MATCH(ROWS($J$2:J68),$J$2:$J$1001,0),0), INDEX($Q$1004:$U$1004,1,MATCH(COLUMNS($Q$1006:R1006),$Q$1006:$U$1006,0)))),"Fix")))</f>
        <v xml:space="preserve"> </v>
      </c>
      <c r="D68" s="3" t="str">
        <f ca="1">IF(OR(INDEX($K$2:$K$1001,MATCH(ROWS($J$2:J68),$J$2:$J$1001,0),1)&gt;=100000,INDEX($Q$1005:$U$1005,1,MATCH(COLUMNS($Q$1006:S1006),$Q$1006:$U$1006,0))&gt;=100000), " ",IF(INDEX($Q$2:$U$1001,MATCH(ROWS($J$2:J68),$J$2:$J$1001,0),MATCH(COLUMNS($Q$1006:S1006),$Q$1006:$U$1006,0)), HYPERLINK("#",""), HYPERLINK(CONCATENATE("#Metadata!", ADDRESS(INDEX($L$2:$L$1001,MATCH(ROWS($J$2:J68),$J$2:$J$1001,0),0), INDEX($Q$1004:$U$1004,1,MATCH(COLUMNS($Q$1006:S1006),$Q$1006:$U$1006,0)))),"Fix")))</f>
        <v xml:space="preserve"> </v>
      </c>
      <c r="E68" s="3" t="str">
        <f ca="1">IF(OR(INDEX($K$2:$K$1001,MATCH(ROWS($J$2:J68),$J$2:$J$1001,0),1)&gt;=100000,INDEX($Q$1005:$U$1005,1,MATCH(COLUMNS($Q$1006:T1006),$Q$1006:$U$1006,0))&gt;=100000), " ",IF(INDEX($Q$2:$U$1001,MATCH(ROWS($J$2:J68),$J$2:$J$1001,0),MATCH(COLUMNS($Q$1006:T1006),$Q$1006:$U$1006,0)), HYPERLINK("#",""), HYPERLINK(CONCATENATE("#Metadata!", ADDRESS(INDEX($L$2:$L$1001,MATCH(ROWS($J$2:J68),$J$2:$J$1001,0),0), INDEX($Q$1004:$U$1004,1,MATCH(COLUMNS($Q$1006:T1006),$Q$1006:$U$1006,0)))),"Fix")))</f>
        <v xml:space="preserve"> </v>
      </c>
      <c r="F68" s="3" t="str">
        <f ca="1">IF(OR(INDEX($K$2:$K$1001,MATCH(ROWS($J$2:J68),$J$2:$J$1001,0),1)&gt;=100000,INDEX($Q$1005:$U$1005,1,MATCH(COLUMNS($Q$1006:U1006),$Q$1006:$U$1006,0))&gt;=100000), " ",IF(INDEX($Q$2:$U$1001,MATCH(ROWS($J$2:J68),$J$2:$J$1001,0),MATCH(COLUMNS($Q$1006:U1006),$Q$1006:$U$1006,0)), HYPERLINK("#",""), HYPERLINK(CONCATENATE("#Metadata!", ADDRESS(INDEX($L$2:$L$1001,MATCH(ROWS($J$2:J68),$J$2:$J$1001,0),0), INDEX($Q$1004:$U$1004,1,MATCH(COLUMNS($Q$1006:U1006),$Q$1006:$U$1006,0)))),"Fix")))</f>
        <v xml:space="preserve"> </v>
      </c>
      <c r="J68">
        <f ca="1"/>
        <v>67</v>
      </c>
      <c r="K68">
        <v>100068</v>
      </c>
      <c r="L68">
        <v>68</v>
      </c>
      <c r="M68" t="b">
        <f t="shared" si="1"/>
        <v>1</v>
      </c>
      <c r="N68" t="b">
        <f>COUNTBLANK(Metadata!B68:F68)=COLUMNS(Metadata!B68:F68)</f>
        <v>1</v>
      </c>
      <c r="O68" t="str">
        <v/>
      </c>
      <c r="Q68" t="b">
        <f ca="1"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R68" t="b">
        <f>IF(Metadata!C68="",FALSE,TRUE)</f>
        <v>0</v>
      </c>
      <c r="S68" t="b">
        <f>OR(AND(IF(Metadata!D68="",FALSE,TRUE),EXACT(Metadata!D68,"missing: not collected")),AND(IF(Metadata!D68="",FALSE,TRUE),OR(EXACT(Metadata!D68,"t"),EXACT(Metadata!D68,"f"))))</f>
        <v>0</v>
      </c>
      <c r="T68" t="b">
        <f>AND(IF(Metadata!E68="",FALSE,TRUE),OR(EXACT(Metadata!E68,"a"),EXACT(Metadata!E68,"b")))</f>
        <v>0</v>
      </c>
      <c r="U68" t="b">
        <f>OR(AND(IF(Metadata!F68="",FALSE,TRUE),OR(EXACT(Metadata!F68,"missing: not collected"),EXACT(Metadata!F68,"missing: not provided"))),AND(IF(Metadata!F68="",FALSE,TRUE),OR(EXACT(Metadata!F68,"lo"),EXACT(Metadata!F68,"med"),EXACT(Metadata!F68,"hi"))))</f>
        <v>0</v>
      </c>
    </row>
    <row r="69" spans="1:21" x14ac:dyDescent="0.2">
      <c r="A69" s="4" t="str">
        <f ca="1">IF(B69=" "," ",HYPERLINK(CONCATENATE("#metadata!",ADDRESS(INDEX($L$2:$L$1001,MATCH(ROWS($J$2:J69),$J$2:$J$1001,0),0),1)),INDEX($O$2:$O$1001,MATCH(ROWS($J$2:J69),$J$2:$J$1001,0),0)))</f>
        <v xml:space="preserve"> </v>
      </c>
      <c r="B69" s="3" t="str">
        <f ca="1">IF(OR(INDEX($K$2:$K$1001,MATCH(ROWS($J$2:J69),$J$2:$J$1001,0),1)&gt;=100000,INDEX($Q$1005:$U$1005,1,MATCH(COLUMNS($Q$1006:Q1006),$Q$1006:$U$1006,0))&gt;=100000), " ",IF(INDEX($Q$2:$U$1001,MATCH(ROWS($J$2:J69),$J$2:$J$1001,0),MATCH(COLUMNS($Q$1006:Q1006),$Q$1006:$U$1006,0)), HYPERLINK("#",""), HYPERLINK(CONCATENATE("#Metadata!", ADDRESS(INDEX($L$2:$L$1001,MATCH(ROWS($J$2:J69),$J$2:$J$1001,0),0), INDEX($Q$1004:$U$1004,1,MATCH(COLUMNS($Q$1006:Q1006),$Q$1006:$U$1006,0)))),"Fix")))</f>
        <v xml:space="preserve"> </v>
      </c>
      <c r="C69" s="3" t="str">
        <f ca="1">IF(OR(INDEX($K$2:$K$1001,MATCH(ROWS($J$2:J69),$J$2:$J$1001,0),1)&gt;=100000,INDEX($Q$1005:$U$1005,1,MATCH(COLUMNS($Q$1006:R1006),$Q$1006:$U$1006,0))&gt;=100000), " ",IF(INDEX($Q$2:$U$1001,MATCH(ROWS($J$2:J69),$J$2:$J$1001,0),MATCH(COLUMNS($Q$1006:R1006),$Q$1006:$U$1006,0)), HYPERLINK("#",""), HYPERLINK(CONCATENATE("#Metadata!", ADDRESS(INDEX($L$2:$L$1001,MATCH(ROWS($J$2:J69),$J$2:$J$1001,0),0), INDEX($Q$1004:$U$1004,1,MATCH(COLUMNS($Q$1006:R1006),$Q$1006:$U$1006,0)))),"Fix")))</f>
        <v xml:space="preserve"> </v>
      </c>
      <c r="D69" s="3" t="str">
        <f ca="1">IF(OR(INDEX($K$2:$K$1001,MATCH(ROWS($J$2:J69),$J$2:$J$1001,0),1)&gt;=100000,INDEX($Q$1005:$U$1005,1,MATCH(COLUMNS($Q$1006:S1006),$Q$1006:$U$1006,0))&gt;=100000), " ",IF(INDEX($Q$2:$U$1001,MATCH(ROWS($J$2:J69),$J$2:$J$1001,0),MATCH(COLUMNS($Q$1006:S1006),$Q$1006:$U$1006,0)), HYPERLINK("#",""), HYPERLINK(CONCATENATE("#Metadata!", ADDRESS(INDEX($L$2:$L$1001,MATCH(ROWS($J$2:J69),$J$2:$J$1001,0),0), INDEX($Q$1004:$U$1004,1,MATCH(COLUMNS($Q$1006:S1006),$Q$1006:$U$1006,0)))),"Fix")))</f>
        <v xml:space="preserve"> </v>
      </c>
      <c r="E69" s="3" t="str">
        <f ca="1">IF(OR(INDEX($K$2:$K$1001,MATCH(ROWS($J$2:J69),$J$2:$J$1001,0),1)&gt;=100000,INDEX($Q$1005:$U$1005,1,MATCH(COLUMNS($Q$1006:T1006),$Q$1006:$U$1006,0))&gt;=100000), " ",IF(INDEX($Q$2:$U$1001,MATCH(ROWS($J$2:J69),$J$2:$J$1001,0),MATCH(COLUMNS($Q$1006:T1006),$Q$1006:$U$1006,0)), HYPERLINK("#",""), HYPERLINK(CONCATENATE("#Metadata!", ADDRESS(INDEX($L$2:$L$1001,MATCH(ROWS($J$2:J69),$J$2:$J$1001,0),0), INDEX($Q$1004:$U$1004,1,MATCH(COLUMNS($Q$1006:T1006),$Q$1006:$U$1006,0)))),"Fix")))</f>
        <v xml:space="preserve"> </v>
      </c>
      <c r="F69" s="3" t="str">
        <f ca="1">IF(OR(INDEX($K$2:$K$1001,MATCH(ROWS($J$2:J69),$J$2:$J$1001,0),1)&gt;=100000,INDEX($Q$1005:$U$1005,1,MATCH(COLUMNS($Q$1006:U1006),$Q$1006:$U$1006,0))&gt;=100000), " ",IF(INDEX($Q$2:$U$1001,MATCH(ROWS($J$2:J69),$J$2:$J$1001,0),MATCH(COLUMNS($Q$1006:U1006),$Q$1006:$U$1006,0)), HYPERLINK("#",""), HYPERLINK(CONCATENATE("#Metadata!", ADDRESS(INDEX($L$2:$L$1001,MATCH(ROWS($J$2:J69),$J$2:$J$1001,0),0), INDEX($Q$1004:$U$1004,1,MATCH(COLUMNS($Q$1006:U1006),$Q$1006:$U$1006,0)))),"Fix")))</f>
        <v xml:space="preserve"> </v>
      </c>
      <c r="J69">
        <f ca="1"/>
        <v>68</v>
      </c>
      <c r="K69">
        <v>100069</v>
      </c>
      <c r="L69">
        <v>69</v>
      </c>
      <c r="M69" t="b">
        <f t="shared" si="1"/>
        <v>1</v>
      </c>
      <c r="N69" t="b">
        <f>COUNTBLANK(Metadata!B69:F69)=COLUMNS(Metadata!B69:F69)</f>
        <v>1</v>
      </c>
      <c r="O69" t="str">
        <v/>
      </c>
      <c r="Q69" t="b">
        <f ca="1"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R69" t="b">
        <f>IF(Metadata!C69="",FALSE,TRUE)</f>
        <v>0</v>
      </c>
      <c r="S69" t="b">
        <f>OR(AND(IF(Metadata!D69="",FALSE,TRUE),EXACT(Metadata!D69,"missing: not collected")),AND(IF(Metadata!D69="",FALSE,TRUE),OR(EXACT(Metadata!D69,"t"),EXACT(Metadata!D69,"f"))))</f>
        <v>0</v>
      </c>
      <c r="T69" t="b">
        <f>AND(IF(Metadata!E69="",FALSE,TRUE),OR(EXACT(Metadata!E69,"a"),EXACT(Metadata!E69,"b")))</f>
        <v>0</v>
      </c>
      <c r="U69" t="b">
        <f>OR(AND(IF(Metadata!F69="",FALSE,TRUE),OR(EXACT(Metadata!F69,"missing: not collected"),EXACT(Metadata!F69,"missing: not provided"))),AND(IF(Metadata!F69="",FALSE,TRUE),OR(EXACT(Metadata!F69,"lo"),EXACT(Metadata!F69,"med"),EXACT(Metadata!F69,"hi"))))</f>
        <v>0</v>
      </c>
    </row>
    <row r="70" spans="1:21" x14ac:dyDescent="0.2">
      <c r="A70" s="4" t="str">
        <f ca="1">IF(B70=" "," ",HYPERLINK(CONCATENATE("#metadata!",ADDRESS(INDEX($L$2:$L$1001,MATCH(ROWS($J$2:J70),$J$2:$J$1001,0),0),1)),INDEX($O$2:$O$1001,MATCH(ROWS($J$2:J70),$J$2:$J$1001,0),0)))</f>
        <v xml:space="preserve"> </v>
      </c>
      <c r="B70" s="3" t="str">
        <f ca="1">IF(OR(INDEX($K$2:$K$1001,MATCH(ROWS($J$2:J70),$J$2:$J$1001,0),1)&gt;=100000,INDEX($Q$1005:$U$1005,1,MATCH(COLUMNS($Q$1006:Q1006),$Q$1006:$U$1006,0))&gt;=100000), " ",IF(INDEX($Q$2:$U$1001,MATCH(ROWS($J$2:J70),$J$2:$J$1001,0),MATCH(COLUMNS($Q$1006:Q1006),$Q$1006:$U$1006,0)), HYPERLINK("#",""), HYPERLINK(CONCATENATE("#Metadata!", ADDRESS(INDEX($L$2:$L$1001,MATCH(ROWS($J$2:J70),$J$2:$J$1001,0),0), INDEX($Q$1004:$U$1004,1,MATCH(COLUMNS($Q$1006:Q1006),$Q$1006:$U$1006,0)))),"Fix")))</f>
        <v xml:space="preserve"> </v>
      </c>
      <c r="C70" s="3" t="str">
        <f ca="1">IF(OR(INDEX($K$2:$K$1001,MATCH(ROWS($J$2:J70),$J$2:$J$1001,0),1)&gt;=100000,INDEX($Q$1005:$U$1005,1,MATCH(COLUMNS($Q$1006:R1006),$Q$1006:$U$1006,0))&gt;=100000), " ",IF(INDEX($Q$2:$U$1001,MATCH(ROWS($J$2:J70),$J$2:$J$1001,0),MATCH(COLUMNS($Q$1006:R1006),$Q$1006:$U$1006,0)), HYPERLINK("#",""), HYPERLINK(CONCATENATE("#Metadata!", ADDRESS(INDEX($L$2:$L$1001,MATCH(ROWS($J$2:J70),$J$2:$J$1001,0),0), INDEX($Q$1004:$U$1004,1,MATCH(COLUMNS($Q$1006:R1006),$Q$1006:$U$1006,0)))),"Fix")))</f>
        <v xml:space="preserve"> </v>
      </c>
      <c r="D70" s="3" t="str">
        <f ca="1">IF(OR(INDEX($K$2:$K$1001,MATCH(ROWS($J$2:J70),$J$2:$J$1001,0),1)&gt;=100000,INDEX($Q$1005:$U$1005,1,MATCH(COLUMNS($Q$1006:S1006),$Q$1006:$U$1006,0))&gt;=100000), " ",IF(INDEX($Q$2:$U$1001,MATCH(ROWS($J$2:J70),$J$2:$J$1001,0),MATCH(COLUMNS($Q$1006:S1006),$Q$1006:$U$1006,0)), HYPERLINK("#",""), HYPERLINK(CONCATENATE("#Metadata!", ADDRESS(INDEX($L$2:$L$1001,MATCH(ROWS($J$2:J70),$J$2:$J$1001,0),0), INDEX($Q$1004:$U$1004,1,MATCH(COLUMNS($Q$1006:S1006),$Q$1006:$U$1006,0)))),"Fix")))</f>
        <v xml:space="preserve"> </v>
      </c>
      <c r="E70" s="3" t="str">
        <f ca="1">IF(OR(INDEX($K$2:$K$1001,MATCH(ROWS($J$2:J70),$J$2:$J$1001,0),1)&gt;=100000,INDEX($Q$1005:$U$1005,1,MATCH(COLUMNS($Q$1006:T1006),$Q$1006:$U$1006,0))&gt;=100000), " ",IF(INDEX($Q$2:$U$1001,MATCH(ROWS($J$2:J70),$J$2:$J$1001,0),MATCH(COLUMNS($Q$1006:T1006),$Q$1006:$U$1006,0)), HYPERLINK("#",""), HYPERLINK(CONCATENATE("#Metadata!", ADDRESS(INDEX($L$2:$L$1001,MATCH(ROWS($J$2:J70),$J$2:$J$1001,0),0), INDEX($Q$1004:$U$1004,1,MATCH(COLUMNS($Q$1006:T1006),$Q$1006:$U$1006,0)))),"Fix")))</f>
        <v xml:space="preserve"> </v>
      </c>
      <c r="F70" s="3" t="str">
        <f ca="1">IF(OR(INDEX($K$2:$K$1001,MATCH(ROWS($J$2:J70),$J$2:$J$1001,0),1)&gt;=100000,INDEX($Q$1005:$U$1005,1,MATCH(COLUMNS($Q$1006:U1006),$Q$1006:$U$1006,0))&gt;=100000), " ",IF(INDEX($Q$2:$U$1001,MATCH(ROWS($J$2:J70),$J$2:$J$1001,0),MATCH(COLUMNS($Q$1006:U1006),$Q$1006:$U$1006,0)), HYPERLINK("#",""), HYPERLINK(CONCATENATE("#Metadata!", ADDRESS(INDEX($L$2:$L$1001,MATCH(ROWS($J$2:J70),$J$2:$J$1001,0),0), INDEX($Q$1004:$U$1004,1,MATCH(COLUMNS($Q$1006:U1006),$Q$1006:$U$1006,0)))),"Fix")))</f>
        <v xml:space="preserve"> </v>
      </c>
      <c r="J70">
        <f ca="1"/>
        <v>69</v>
      </c>
      <c r="K70">
        <v>100070</v>
      </c>
      <c r="L70">
        <v>70</v>
      </c>
      <c r="M70" t="b">
        <f t="shared" si="1"/>
        <v>1</v>
      </c>
      <c r="N70" t="b">
        <f>COUNTBLANK(Metadata!B70:F70)=COLUMNS(Metadata!B70:F70)</f>
        <v>1</v>
      </c>
      <c r="O70" t="str">
        <v/>
      </c>
      <c r="Q70" t="b">
        <f ca="1"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R70" t="b">
        <f>IF(Metadata!C70="",FALSE,TRUE)</f>
        <v>0</v>
      </c>
      <c r="S70" t="b">
        <f>OR(AND(IF(Metadata!D70="",FALSE,TRUE),EXACT(Metadata!D70,"missing: not collected")),AND(IF(Metadata!D70="",FALSE,TRUE),OR(EXACT(Metadata!D70,"t"),EXACT(Metadata!D70,"f"))))</f>
        <v>0</v>
      </c>
      <c r="T70" t="b">
        <f>AND(IF(Metadata!E70="",FALSE,TRUE),OR(EXACT(Metadata!E70,"a"),EXACT(Metadata!E70,"b")))</f>
        <v>0</v>
      </c>
      <c r="U70" t="b">
        <f>OR(AND(IF(Metadata!F70="",FALSE,TRUE),OR(EXACT(Metadata!F70,"missing: not collected"),EXACT(Metadata!F70,"missing: not provided"))),AND(IF(Metadata!F70="",FALSE,TRUE),OR(EXACT(Metadata!F70,"lo"),EXACT(Metadata!F70,"med"),EXACT(Metadata!F70,"hi"))))</f>
        <v>0</v>
      </c>
    </row>
    <row r="71" spans="1:21" x14ac:dyDescent="0.2">
      <c r="A71" s="4" t="str">
        <f ca="1">IF(B71=" "," ",HYPERLINK(CONCATENATE("#metadata!",ADDRESS(INDEX($L$2:$L$1001,MATCH(ROWS($J$2:J71),$J$2:$J$1001,0),0),1)),INDEX($O$2:$O$1001,MATCH(ROWS($J$2:J71),$J$2:$J$1001,0),0)))</f>
        <v xml:space="preserve"> </v>
      </c>
      <c r="B71" s="3" t="str">
        <f ca="1">IF(OR(INDEX($K$2:$K$1001,MATCH(ROWS($J$2:J71),$J$2:$J$1001,0),1)&gt;=100000,INDEX($Q$1005:$U$1005,1,MATCH(COLUMNS($Q$1006:Q1006),$Q$1006:$U$1006,0))&gt;=100000), " ",IF(INDEX($Q$2:$U$1001,MATCH(ROWS($J$2:J71),$J$2:$J$1001,0),MATCH(COLUMNS($Q$1006:Q1006),$Q$1006:$U$1006,0)), HYPERLINK("#",""), HYPERLINK(CONCATENATE("#Metadata!", ADDRESS(INDEX($L$2:$L$1001,MATCH(ROWS($J$2:J71),$J$2:$J$1001,0),0), INDEX($Q$1004:$U$1004,1,MATCH(COLUMNS($Q$1006:Q1006),$Q$1006:$U$1006,0)))),"Fix")))</f>
        <v xml:space="preserve"> </v>
      </c>
      <c r="C71" s="3" t="str">
        <f ca="1">IF(OR(INDEX($K$2:$K$1001,MATCH(ROWS($J$2:J71),$J$2:$J$1001,0),1)&gt;=100000,INDEX($Q$1005:$U$1005,1,MATCH(COLUMNS($Q$1006:R1006),$Q$1006:$U$1006,0))&gt;=100000), " ",IF(INDEX($Q$2:$U$1001,MATCH(ROWS($J$2:J71),$J$2:$J$1001,0),MATCH(COLUMNS($Q$1006:R1006),$Q$1006:$U$1006,0)), HYPERLINK("#",""), HYPERLINK(CONCATENATE("#Metadata!", ADDRESS(INDEX($L$2:$L$1001,MATCH(ROWS($J$2:J71),$J$2:$J$1001,0),0), INDEX($Q$1004:$U$1004,1,MATCH(COLUMNS($Q$1006:R1006),$Q$1006:$U$1006,0)))),"Fix")))</f>
        <v xml:space="preserve"> </v>
      </c>
      <c r="D71" s="3" t="str">
        <f ca="1">IF(OR(INDEX($K$2:$K$1001,MATCH(ROWS($J$2:J71),$J$2:$J$1001,0),1)&gt;=100000,INDEX($Q$1005:$U$1005,1,MATCH(COLUMNS($Q$1006:S1006),$Q$1006:$U$1006,0))&gt;=100000), " ",IF(INDEX($Q$2:$U$1001,MATCH(ROWS($J$2:J71),$J$2:$J$1001,0),MATCH(COLUMNS($Q$1006:S1006),$Q$1006:$U$1006,0)), HYPERLINK("#",""), HYPERLINK(CONCATENATE("#Metadata!", ADDRESS(INDEX($L$2:$L$1001,MATCH(ROWS($J$2:J71),$J$2:$J$1001,0),0), INDEX($Q$1004:$U$1004,1,MATCH(COLUMNS($Q$1006:S1006),$Q$1006:$U$1006,0)))),"Fix")))</f>
        <v xml:space="preserve"> </v>
      </c>
      <c r="E71" s="3" t="str">
        <f ca="1">IF(OR(INDEX($K$2:$K$1001,MATCH(ROWS($J$2:J71),$J$2:$J$1001,0),1)&gt;=100000,INDEX($Q$1005:$U$1005,1,MATCH(COLUMNS($Q$1006:T1006),$Q$1006:$U$1006,0))&gt;=100000), " ",IF(INDEX($Q$2:$U$1001,MATCH(ROWS($J$2:J71),$J$2:$J$1001,0),MATCH(COLUMNS($Q$1006:T1006),$Q$1006:$U$1006,0)), HYPERLINK("#",""), HYPERLINK(CONCATENATE("#Metadata!", ADDRESS(INDEX($L$2:$L$1001,MATCH(ROWS($J$2:J71),$J$2:$J$1001,0),0), INDEX($Q$1004:$U$1004,1,MATCH(COLUMNS($Q$1006:T1006),$Q$1006:$U$1006,0)))),"Fix")))</f>
        <v xml:space="preserve"> </v>
      </c>
      <c r="F71" s="3" t="str">
        <f ca="1">IF(OR(INDEX($K$2:$K$1001,MATCH(ROWS($J$2:J71),$J$2:$J$1001,0),1)&gt;=100000,INDEX($Q$1005:$U$1005,1,MATCH(COLUMNS($Q$1006:U1006),$Q$1006:$U$1006,0))&gt;=100000), " ",IF(INDEX($Q$2:$U$1001,MATCH(ROWS($J$2:J71),$J$2:$J$1001,0),MATCH(COLUMNS($Q$1006:U1006),$Q$1006:$U$1006,0)), HYPERLINK("#",""), HYPERLINK(CONCATENATE("#Metadata!", ADDRESS(INDEX($L$2:$L$1001,MATCH(ROWS($J$2:J71),$J$2:$J$1001,0),0), INDEX($Q$1004:$U$1004,1,MATCH(COLUMNS($Q$1006:U1006),$Q$1006:$U$1006,0)))),"Fix")))</f>
        <v xml:space="preserve"> </v>
      </c>
      <c r="J71">
        <f ca="1"/>
        <v>70</v>
      </c>
      <c r="K71">
        <v>100071</v>
      </c>
      <c r="L71">
        <v>71</v>
      </c>
      <c r="M71" t="b">
        <f t="shared" si="1"/>
        <v>1</v>
      </c>
      <c r="N71" t="b">
        <f>COUNTBLANK(Metadata!B71:F71)=COLUMNS(Metadata!B71:F71)</f>
        <v>1</v>
      </c>
      <c r="O71" t="str">
        <v/>
      </c>
      <c r="Q71" t="b">
        <f ca="1"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R71" t="b">
        <f>IF(Metadata!C71="",FALSE,TRUE)</f>
        <v>0</v>
      </c>
      <c r="S71" t="b">
        <f>OR(AND(IF(Metadata!D71="",FALSE,TRUE),EXACT(Metadata!D71,"missing: not collected")),AND(IF(Metadata!D71="",FALSE,TRUE),OR(EXACT(Metadata!D71,"t"),EXACT(Metadata!D71,"f"))))</f>
        <v>0</v>
      </c>
      <c r="T71" t="b">
        <f>AND(IF(Metadata!E71="",FALSE,TRUE),OR(EXACT(Metadata!E71,"a"),EXACT(Metadata!E71,"b")))</f>
        <v>0</v>
      </c>
      <c r="U71" t="b">
        <f>OR(AND(IF(Metadata!F71="",FALSE,TRUE),OR(EXACT(Metadata!F71,"missing: not collected"),EXACT(Metadata!F71,"missing: not provided"))),AND(IF(Metadata!F71="",FALSE,TRUE),OR(EXACT(Metadata!F71,"lo"),EXACT(Metadata!F71,"med"),EXACT(Metadata!F71,"hi"))))</f>
        <v>0</v>
      </c>
    </row>
    <row r="72" spans="1:21" x14ac:dyDescent="0.2">
      <c r="A72" s="4" t="str">
        <f ca="1">IF(B72=" "," ",HYPERLINK(CONCATENATE("#metadata!",ADDRESS(INDEX($L$2:$L$1001,MATCH(ROWS($J$2:J72),$J$2:$J$1001,0),0),1)),INDEX($O$2:$O$1001,MATCH(ROWS($J$2:J72),$J$2:$J$1001,0),0)))</f>
        <v xml:space="preserve"> </v>
      </c>
      <c r="B72" s="3" t="str">
        <f ca="1">IF(OR(INDEX($K$2:$K$1001,MATCH(ROWS($J$2:J72),$J$2:$J$1001,0),1)&gt;=100000,INDEX($Q$1005:$U$1005,1,MATCH(COLUMNS($Q$1006:Q1006),$Q$1006:$U$1006,0))&gt;=100000), " ",IF(INDEX($Q$2:$U$1001,MATCH(ROWS($J$2:J72),$J$2:$J$1001,0),MATCH(COLUMNS($Q$1006:Q1006),$Q$1006:$U$1006,0)), HYPERLINK("#",""), HYPERLINK(CONCATENATE("#Metadata!", ADDRESS(INDEX($L$2:$L$1001,MATCH(ROWS($J$2:J72),$J$2:$J$1001,0),0), INDEX($Q$1004:$U$1004,1,MATCH(COLUMNS($Q$1006:Q1006),$Q$1006:$U$1006,0)))),"Fix")))</f>
        <v xml:space="preserve"> </v>
      </c>
      <c r="C72" s="3" t="str">
        <f ca="1">IF(OR(INDEX($K$2:$K$1001,MATCH(ROWS($J$2:J72),$J$2:$J$1001,0),1)&gt;=100000,INDEX($Q$1005:$U$1005,1,MATCH(COLUMNS($Q$1006:R1006),$Q$1006:$U$1006,0))&gt;=100000), " ",IF(INDEX($Q$2:$U$1001,MATCH(ROWS($J$2:J72),$J$2:$J$1001,0),MATCH(COLUMNS($Q$1006:R1006),$Q$1006:$U$1006,0)), HYPERLINK("#",""), HYPERLINK(CONCATENATE("#Metadata!", ADDRESS(INDEX($L$2:$L$1001,MATCH(ROWS($J$2:J72),$J$2:$J$1001,0),0), INDEX($Q$1004:$U$1004,1,MATCH(COLUMNS($Q$1006:R1006),$Q$1006:$U$1006,0)))),"Fix")))</f>
        <v xml:space="preserve"> </v>
      </c>
      <c r="D72" s="3" t="str">
        <f ca="1">IF(OR(INDEX($K$2:$K$1001,MATCH(ROWS($J$2:J72),$J$2:$J$1001,0),1)&gt;=100000,INDEX($Q$1005:$U$1005,1,MATCH(COLUMNS($Q$1006:S1006),$Q$1006:$U$1006,0))&gt;=100000), " ",IF(INDEX($Q$2:$U$1001,MATCH(ROWS($J$2:J72),$J$2:$J$1001,0),MATCH(COLUMNS($Q$1006:S1006),$Q$1006:$U$1006,0)), HYPERLINK("#",""), HYPERLINK(CONCATENATE("#Metadata!", ADDRESS(INDEX($L$2:$L$1001,MATCH(ROWS($J$2:J72),$J$2:$J$1001,0),0), INDEX($Q$1004:$U$1004,1,MATCH(COLUMNS($Q$1006:S1006),$Q$1006:$U$1006,0)))),"Fix")))</f>
        <v xml:space="preserve"> </v>
      </c>
      <c r="E72" s="3" t="str">
        <f ca="1">IF(OR(INDEX($K$2:$K$1001,MATCH(ROWS($J$2:J72),$J$2:$J$1001,0),1)&gt;=100000,INDEX($Q$1005:$U$1005,1,MATCH(COLUMNS($Q$1006:T1006),$Q$1006:$U$1006,0))&gt;=100000), " ",IF(INDEX($Q$2:$U$1001,MATCH(ROWS($J$2:J72),$J$2:$J$1001,0),MATCH(COLUMNS($Q$1006:T1006),$Q$1006:$U$1006,0)), HYPERLINK("#",""), HYPERLINK(CONCATENATE("#Metadata!", ADDRESS(INDEX($L$2:$L$1001,MATCH(ROWS($J$2:J72),$J$2:$J$1001,0),0), INDEX($Q$1004:$U$1004,1,MATCH(COLUMNS($Q$1006:T1006),$Q$1006:$U$1006,0)))),"Fix")))</f>
        <v xml:space="preserve"> </v>
      </c>
      <c r="F72" s="3" t="str">
        <f ca="1">IF(OR(INDEX($K$2:$K$1001,MATCH(ROWS($J$2:J72),$J$2:$J$1001,0),1)&gt;=100000,INDEX($Q$1005:$U$1005,1,MATCH(COLUMNS($Q$1006:U1006),$Q$1006:$U$1006,0))&gt;=100000), " ",IF(INDEX($Q$2:$U$1001,MATCH(ROWS($J$2:J72),$J$2:$J$1001,0),MATCH(COLUMNS($Q$1006:U1006),$Q$1006:$U$1006,0)), HYPERLINK("#",""), HYPERLINK(CONCATENATE("#Metadata!", ADDRESS(INDEX($L$2:$L$1001,MATCH(ROWS($J$2:J72),$J$2:$J$1001,0),0), INDEX($Q$1004:$U$1004,1,MATCH(COLUMNS($Q$1006:U1006),$Q$1006:$U$1006,0)))),"Fix")))</f>
        <v xml:space="preserve"> </v>
      </c>
      <c r="J72">
        <f ca="1"/>
        <v>71</v>
      </c>
      <c r="K72">
        <v>100072</v>
      </c>
      <c r="L72">
        <v>72</v>
      </c>
      <c r="M72" t="b">
        <f t="shared" si="1"/>
        <v>1</v>
      </c>
      <c r="N72" t="b">
        <f>COUNTBLANK(Metadata!B72:F72)=COLUMNS(Metadata!B72:F72)</f>
        <v>1</v>
      </c>
      <c r="O72" t="str">
        <v/>
      </c>
      <c r="Q72" t="b">
        <f ca="1"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R72" t="b">
        <f>IF(Metadata!C72="",FALSE,TRUE)</f>
        <v>0</v>
      </c>
      <c r="S72" t="b">
        <f>OR(AND(IF(Metadata!D72="",FALSE,TRUE),EXACT(Metadata!D72,"missing: not collected")),AND(IF(Metadata!D72="",FALSE,TRUE),OR(EXACT(Metadata!D72,"t"),EXACT(Metadata!D72,"f"))))</f>
        <v>0</v>
      </c>
      <c r="T72" t="b">
        <f>AND(IF(Metadata!E72="",FALSE,TRUE),OR(EXACT(Metadata!E72,"a"),EXACT(Metadata!E72,"b")))</f>
        <v>0</v>
      </c>
      <c r="U72" t="b">
        <f>OR(AND(IF(Metadata!F72="",FALSE,TRUE),OR(EXACT(Metadata!F72,"missing: not collected"),EXACT(Metadata!F72,"missing: not provided"))),AND(IF(Metadata!F72="",FALSE,TRUE),OR(EXACT(Metadata!F72,"lo"),EXACT(Metadata!F72,"med"),EXACT(Metadata!F72,"hi"))))</f>
        <v>0</v>
      </c>
    </row>
    <row r="73" spans="1:21" x14ac:dyDescent="0.2">
      <c r="A73" s="4" t="str">
        <f ca="1">IF(B73=" "," ",HYPERLINK(CONCATENATE("#metadata!",ADDRESS(INDEX($L$2:$L$1001,MATCH(ROWS($J$2:J73),$J$2:$J$1001,0),0),1)),INDEX($O$2:$O$1001,MATCH(ROWS($J$2:J73),$J$2:$J$1001,0),0)))</f>
        <v xml:space="preserve"> </v>
      </c>
      <c r="B73" s="3" t="str">
        <f ca="1">IF(OR(INDEX($K$2:$K$1001,MATCH(ROWS($J$2:J73),$J$2:$J$1001,0),1)&gt;=100000,INDEX($Q$1005:$U$1005,1,MATCH(COLUMNS($Q$1006:Q1006),$Q$1006:$U$1006,0))&gt;=100000), " ",IF(INDEX($Q$2:$U$1001,MATCH(ROWS($J$2:J73),$J$2:$J$1001,0),MATCH(COLUMNS($Q$1006:Q1006),$Q$1006:$U$1006,0)), HYPERLINK("#",""), HYPERLINK(CONCATENATE("#Metadata!", ADDRESS(INDEX($L$2:$L$1001,MATCH(ROWS($J$2:J73),$J$2:$J$1001,0),0), INDEX($Q$1004:$U$1004,1,MATCH(COLUMNS($Q$1006:Q1006),$Q$1006:$U$1006,0)))),"Fix")))</f>
        <v xml:space="preserve"> </v>
      </c>
      <c r="C73" s="3" t="str">
        <f ca="1">IF(OR(INDEX($K$2:$K$1001,MATCH(ROWS($J$2:J73),$J$2:$J$1001,0),1)&gt;=100000,INDEX($Q$1005:$U$1005,1,MATCH(COLUMNS($Q$1006:R1006),$Q$1006:$U$1006,0))&gt;=100000), " ",IF(INDEX($Q$2:$U$1001,MATCH(ROWS($J$2:J73),$J$2:$J$1001,0),MATCH(COLUMNS($Q$1006:R1006),$Q$1006:$U$1006,0)), HYPERLINK("#",""), HYPERLINK(CONCATENATE("#Metadata!", ADDRESS(INDEX($L$2:$L$1001,MATCH(ROWS($J$2:J73),$J$2:$J$1001,0),0), INDEX($Q$1004:$U$1004,1,MATCH(COLUMNS($Q$1006:R1006),$Q$1006:$U$1006,0)))),"Fix")))</f>
        <v xml:space="preserve"> </v>
      </c>
      <c r="D73" s="3" t="str">
        <f ca="1">IF(OR(INDEX($K$2:$K$1001,MATCH(ROWS($J$2:J73),$J$2:$J$1001,0),1)&gt;=100000,INDEX($Q$1005:$U$1005,1,MATCH(COLUMNS($Q$1006:S1006),$Q$1006:$U$1006,0))&gt;=100000), " ",IF(INDEX($Q$2:$U$1001,MATCH(ROWS($J$2:J73),$J$2:$J$1001,0),MATCH(COLUMNS($Q$1006:S1006),$Q$1006:$U$1006,0)), HYPERLINK("#",""), HYPERLINK(CONCATENATE("#Metadata!", ADDRESS(INDEX($L$2:$L$1001,MATCH(ROWS($J$2:J73),$J$2:$J$1001,0),0), INDEX($Q$1004:$U$1004,1,MATCH(COLUMNS($Q$1006:S1006),$Q$1006:$U$1006,0)))),"Fix")))</f>
        <v xml:space="preserve"> </v>
      </c>
      <c r="E73" s="3" t="str">
        <f ca="1">IF(OR(INDEX($K$2:$K$1001,MATCH(ROWS($J$2:J73),$J$2:$J$1001,0),1)&gt;=100000,INDEX($Q$1005:$U$1005,1,MATCH(COLUMNS($Q$1006:T1006),$Q$1006:$U$1006,0))&gt;=100000), " ",IF(INDEX($Q$2:$U$1001,MATCH(ROWS($J$2:J73),$J$2:$J$1001,0),MATCH(COLUMNS($Q$1006:T1006),$Q$1006:$U$1006,0)), HYPERLINK("#",""), HYPERLINK(CONCATENATE("#Metadata!", ADDRESS(INDEX($L$2:$L$1001,MATCH(ROWS($J$2:J73),$J$2:$J$1001,0),0), INDEX($Q$1004:$U$1004,1,MATCH(COLUMNS($Q$1006:T1006),$Q$1006:$U$1006,0)))),"Fix")))</f>
        <v xml:space="preserve"> </v>
      </c>
      <c r="F73" s="3" t="str">
        <f ca="1">IF(OR(INDEX($K$2:$K$1001,MATCH(ROWS($J$2:J73),$J$2:$J$1001,0),1)&gt;=100000,INDEX($Q$1005:$U$1005,1,MATCH(COLUMNS($Q$1006:U1006),$Q$1006:$U$1006,0))&gt;=100000), " ",IF(INDEX($Q$2:$U$1001,MATCH(ROWS($J$2:J73),$J$2:$J$1001,0),MATCH(COLUMNS($Q$1006:U1006),$Q$1006:$U$1006,0)), HYPERLINK("#",""), HYPERLINK(CONCATENATE("#Metadata!", ADDRESS(INDEX($L$2:$L$1001,MATCH(ROWS($J$2:J73),$J$2:$J$1001,0),0), INDEX($Q$1004:$U$1004,1,MATCH(COLUMNS($Q$1006:U1006),$Q$1006:$U$1006,0)))),"Fix")))</f>
        <v xml:space="preserve"> </v>
      </c>
      <c r="J73">
        <f ca="1"/>
        <v>72</v>
      </c>
      <c r="K73">
        <v>100073</v>
      </c>
      <c r="L73">
        <v>73</v>
      </c>
      <c r="M73" t="b">
        <f t="shared" si="1"/>
        <v>1</v>
      </c>
      <c r="N73" t="b">
        <f>COUNTBLANK(Metadata!B73:F73)=COLUMNS(Metadata!B73:F73)</f>
        <v>1</v>
      </c>
      <c r="O73" t="str">
        <v/>
      </c>
      <c r="Q73" t="b">
        <f ca="1"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R73" t="b">
        <f>IF(Metadata!C73="",FALSE,TRUE)</f>
        <v>0</v>
      </c>
      <c r="S73" t="b">
        <f>OR(AND(IF(Metadata!D73="",FALSE,TRUE),EXACT(Metadata!D73,"missing: not collected")),AND(IF(Metadata!D73="",FALSE,TRUE),OR(EXACT(Metadata!D73,"t"),EXACT(Metadata!D73,"f"))))</f>
        <v>0</v>
      </c>
      <c r="T73" t="b">
        <f>AND(IF(Metadata!E73="",FALSE,TRUE),OR(EXACT(Metadata!E73,"a"),EXACT(Metadata!E73,"b")))</f>
        <v>0</v>
      </c>
      <c r="U73" t="b">
        <f>OR(AND(IF(Metadata!F73="",FALSE,TRUE),OR(EXACT(Metadata!F73,"missing: not collected"),EXACT(Metadata!F73,"missing: not provided"))),AND(IF(Metadata!F73="",FALSE,TRUE),OR(EXACT(Metadata!F73,"lo"),EXACT(Metadata!F73,"med"),EXACT(Metadata!F73,"hi"))))</f>
        <v>0</v>
      </c>
    </row>
    <row r="74" spans="1:21" x14ac:dyDescent="0.2">
      <c r="A74" s="4" t="str">
        <f ca="1">IF(B74=" "," ",HYPERLINK(CONCATENATE("#metadata!",ADDRESS(INDEX($L$2:$L$1001,MATCH(ROWS($J$2:J74),$J$2:$J$1001,0),0),1)),INDEX($O$2:$O$1001,MATCH(ROWS($J$2:J74),$J$2:$J$1001,0),0)))</f>
        <v xml:space="preserve"> </v>
      </c>
      <c r="B74" s="3" t="str">
        <f ca="1">IF(OR(INDEX($K$2:$K$1001,MATCH(ROWS($J$2:J74),$J$2:$J$1001,0),1)&gt;=100000,INDEX($Q$1005:$U$1005,1,MATCH(COLUMNS($Q$1006:Q1006),$Q$1006:$U$1006,0))&gt;=100000), " ",IF(INDEX($Q$2:$U$1001,MATCH(ROWS($J$2:J74),$J$2:$J$1001,0),MATCH(COLUMNS($Q$1006:Q1006),$Q$1006:$U$1006,0)), HYPERLINK("#",""), HYPERLINK(CONCATENATE("#Metadata!", ADDRESS(INDEX($L$2:$L$1001,MATCH(ROWS($J$2:J74),$J$2:$J$1001,0),0), INDEX($Q$1004:$U$1004,1,MATCH(COLUMNS($Q$1006:Q1006),$Q$1006:$U$1006,0)))),"Fix")))</f>
        <v xml:space="preserve"> </v>
      </c>
      <c r="C74" s="3" t="str">
        <f ca="1">IF(OR(INDEX($K$2:$K$1001,MATCH(ROWS($J$2:J74),$J$2:$J$1001,0),1)&gt;=100000,INDEX($Q$1005:$U$1005,1,MATCH(COLUMNS($Q$1006:R1006),$Q$1006:$U$1006,0))&gt;=100000), " ",IF(INDEX($Q$2:$U$1001,MATCH(ROWS($J$2:J74),$J$2:$J$1001,0),MATCH(COLUMNS($Q$1006:R1006),$Q$1006:$U$1006,0)), HYPERLINK("#",""), HYPERLINK(CONCATENATE("#Metadata!", ADDRESS(INDEX($L$2:$L$1001,MATCH(ROWS($J$2:J74),$J$2:$J$1001,0),0), INDEX($Q$1004:$U$1004,1,MATCH(COLUMNS($Q$1006:R1006),$Q$1006:$U$1006,0)))),"Fix")))</f>
        <v xml:space="preserve"> </v>
      </c>
      <c r="D74" s="3" t="str">
        <f ca="1">IF(OR(INDEX($K$2:$K$1001,MATCH(ROWS($J$2:J74),$J$2:$J$1001,0),1)&gt;=100000,INDEX($Q$1005:$U$1005,1,MATCH(COLUMNS($Q$1006:S1006),$Q$1006:$U$1006,0))&gt;=100000), " ",IF(INDEX($Q$2:$U$1001,MATCH(ROWS($J$2:J74),$J$2:$J$1001,0),MATCH(COLUMNS($Q$1006:S1006),$Q$1006:$U$1006,0)), HYPERLINK("#",""), HYPERLINK(CONCATENATE("#Metadata!", ADDRESS(INDEX($L$2:$L$1001,MATCH(ROWS($J$2:J74),$J$2:$J$1001,0),0), INDEX($Q$1004:$U$1004,1,MATCH(COLUMNS($Q$1006:S1006),$Q$1006:$U$1006,0)))),"Fix")))</f>
        <v xml:space="preserve"> </v>
      </c>
      <c r="E74" s="3" t="str">
        <f ca="1">IF(OR(INDEX($K$2:$K$1001,MATCH(ROWS($J$2:J74),$J$2:$J$1001,0),1)&gt;=100000,INDEX($Q$1005:$U$1005,1,MATCH(COLUMNS($Q$1006:T1006),$Q$1006:$U$1006,0))&gt;=100000), " ",IF(INDEX($Q$2:$U$1001,MATCH(ROWS($J$2:J74),$J$2:$J$1001,0),MATCH(COLUMNS($Q$1006:T1006),$Q$1006:$U$1006,0)), HYPERLINK("#",""), HYPERLINK(CONCATENATE("#Metadata!", ADDRESS(INDEX($L$2:$L$1001,MATCH(ROWS($J$2:J74),$J$2:$J$1001,0),0), INDEX($Q$1004:$U$1004,1,MATCH(COLUMNS($Q$1006:T1006),$Q$1006:$U$1006,0)))),"Fix")))</f>
        <v xml:space="preserve"> </v>
      </c>
      <c r="F74" s="3" t="str">
        <f ca="1">IF(OR(INDEX($K$2:$K$1001,MATCH(ROWS($J$2:J74),$J$2:$J$1001,0),1)&gt;=100000,INDEX($Q$1005:$U$1005,1,MATCH(COLUMNS($Q$1006:U1006),$Q$1006:$U$1006,0))&gt;=100000), " ",IF(INDEX($Q$2:$U$1001,MATCH(ROWS($J$2:J74),$J$2:$J$1001,0),MATCH(COLUMNS($Q$1006:U1006),$Q$1006:$U$1006,0)), HYPERLINK("#",""), HYPERLINK(CONCATENATE("#Metadata!", ADDRESS(INDEX($L$2:$L$1001,MATCH(ROWS($J$2:J74),$J$2:$J$1001,0),0), INDEX($Q$1004:$U$1004,1,MATCH(COLUMNS($Q$1006:U1006),$Q$1006:$U$1006,0)))),"Fix")))</f>
        <v xml:space="preserve"> </v>
      </c>
      <c r="J74">
        <f ca="1"/>
        <v>73</v>
      </c>
      <c r="K74">
        <v>100074</v>
      </c>
      <c r="L74">
        <v>74</v>
      </c>
      <c r="M74" t="b">
        <f t="shared" si="1"/>
        <v>1</v>
      </c>
      <c r="N74" t="b">
        <f>COUNTBLANK(Metadata!B74:F74)=COLUMNS(Metadata!B74:F74)</f>
        <v>1</v>
      </c>
      <c r="O74" t="str">
        <v/>
      </c>
      <c r="Q74" t="b">
        <f ca="1"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R74" t="b">
        <f>IF(Metadata!C74="",FALSE,TRUE)</f>
        <v>0</v>
      </c>
      <c r="S74" t="b">
        <f>OR(AND(IF(Metadata!D74="",FALSE,TRUE),EXACT(Metadata!D74,"missing: not collected")),AND(IF(Metadata!D74="",FALSE,TRUE),OR(EXACT(Metadata!D74,"t"),EXACT(Metadata!D74,"f"))))</f>
        <v>0</v>
      </c>
      <c r="T74" t="b">
        <f>AND(IF(Metadata!E74="",FALSE,TRUE),OR(EXACT(Metadata!E74,"a"),EXACT(Metadata!E74,"b")))</f>
        <v>0</v>
      </c>
      <c r="U74" t="b">
        <f>OR(AND(IF(Metadata!F74="",FALSE,TRUE),OR(EXACT(Metadata!F74,"missing: not collected"),EXACT(Metadata!F74,"missing: not provided"))),AND(IF(Metadata!F74="",FALSE,TRUE),OR(EXACT(Metadata!F74,"lo"),EXACT(Metadata!F74,"med"),EXACT(Metadata!F74,"hi"))))</f>
        <v>0</v>
      </c>
    </row>
    <row r="75" spans="1:21" x14ac:dyDescent="0.2">
      <c r="A75" s="4" t="str">
        <f ca="1">IF(B75=" "," ",HYPERLINK(CONCATENATE("#metadata!",ADDRESS(INDEX($L$2:$L$1001,MATCH(ROWS($J$2:J75),$J$2:$J$1001,0),0),1)),INDEX($O$2:$O$1001,MATCH(ROWS($J$2:J75),$J$2:$J$1001,0),0)))</f>
        <v xml:space="preserve"> </v>
      </c>
      <c r="B75" s="3" t="str">
        <f ca="1">IF(OR(INDEX($K$2:$K$1001,MATCH(ROWS($J$2:J75),$J$2:$J$1001,0),1)&gt;=100000,INDEX($Q$1005:$U$1005,1,MATCH(COLUMNS($Q$1006:Q1006),$Q$1006:$U$1006,0))&gt;=100000), " ",IF(INDEX($Q$2:$U$1001,MATCH(ROWS($J$2:J75),$J$2:$J$1001,0),MATCH(COLUMNS($Q$1006:Q1006),$Q$1006:$U$1006,0)), HYPERLINK("#",""), HYPERLINK(CONCATENATE("#Metadata!", ADDRESS(INDEX($L$2:$L$1001,MATCH(ROWS($J$2:J75),$J$2:$J$1001,0),0), INDEX($Q$1004:$U$1004,1,MATCH(COLUMNS($Q$1006:Q1006),$Q$1006:$U$1006,0)))),"Fix")))</f>
        <v xml:space="preserve"> </v>
      </c>
      <c r="C75" s="3" t="str">
        <f ca="1">IF(OR(INDEX($K$2:$K$1001,MATCH(ROWS($J$2:J75),$J$2:$J$1001,0),1)&gt;=100000,INDEX($Q$1005:$U$1005,1,MATCH(COLUMNS($Q$1006:R1006),$Q$1006:$U$1006,0))&gt;=100000), " ",IF(INDEX($Q$2:$U$1001,MATCH(ROWS($J$2:J75),$J$2:$J$1001,0),MATCH(COLUMNS($Q$1006:R1006),$Q$1006:$U$1006,0)), HYPERLINK("#",""), HYPERLINK(CONCATENATE("#Metadata!", ADDRESS(INDEX($L$2:$L$1001,MATCH(ROWS($J$2:J75),$J$2:$J$1001,0),0), INDEX($Q$1004:$U$1004,1,MATCH(COLUMNS($Q$1006:R1006),$Q$1006:$U$1006,0)))),"Fix")))</f>
        <v xml:space="preserve"> </v>
      </c>
      <c r="D75" s="3" t="str">
        <f ca="1">IF(OR(INDEX($K$2:$K$1001,MATCH(ROWS($J$2:J75),$J$2:$J$1001,0),1)&gt;=100000,INDEX($Q$1005:$U$1005,1,MATCH(COLUMNS($Q$1006:S1006),$Q$1006:$U$1006,0))&gt;=100000), " ",IF(INDEX($Q$2:$U$1001,MATCH(ROWS($J$2:J75),$J$2:$J$1001,0),MATCH(COLUMNS($Q$1006:S1006),$Q$1006:$U$1006,0)), HYPERLINK("#",""), HYPERLINK(CONCATENATE("#Metadata!", ADDRESS(INDEX($L$2:$L$1001,MATCH(ROWS($J$2:J75),$J$2:$J$1001,0),0), INDEX($Q$1004:$U$1004,1,MATCH(COLUMNS($Q$1006:S1006),$Q$1006:$U$1006,0)))),"Fix")))</f>
        <v xml:space="preserve"> </v>
      </c>
      <c r="E75" s="3" t="str">
        <f ca="1">IF(OR(INDEX($K$2:$K$1001,MATCH(ROWS($J$2:J75),$J$2:$J$1001,0),1)&gt;=100000,INDEX($Q$1005:$U$1005,1,MATCH(COLUMNS($Q$1006:T1006),$Q$1006:$U$1006,0))&gt;=100000), " ",IF(INDEX($Q$2:$U$1001,MATCH(ROWS($J$2:J75),$J$2:$J$1001,0),MATCH(COLUMNS($Q$1006:T1006),$Q$1006:$U$1006,0)), HYPERLINK("#",""), HYPERLINK(CONCATENATE("#Metadata!", ADDRESS(INDEX($L$2:$L$1001,MATCH(ROWS($J$2:J75),$J$2:$J$1001,0),0), INDEX($Q$1004:$U$1004,1,MATCH(COLUMNS($Q$1006:T1006),$Q$1006:$U$1006,0)))),"Fix")))</f>
        <v xml:space="preserve"> </v>
      </c>
      <c r="F75" s="3" t="str">
        <f ca="1">IF(OR(INDEX($K$2:$K$1001,MATCH(ROWS($J$2:J75),$J$2:$J$1001,0),1)&gt;=100000,INDEX($Q$1005:$U$1005,1,MATCH(COLUMNS($Q$1006:U1006),$Q$1006:$U$1006,0))&gt;=100000), " ",IF(INDEX($Q$2:$U$1001,MATCH(ROWS($J$2:J75),$J$2:$J$1001,0),MATCH(COLUMNS($Q$1006:U1006),$Q$1006:$U$1006,0)), HYPERLINK("#",""), HYPERLINK(CONCATENATE("#Metadata!", ADDRESS(INDEX($L$2:$L$1001,MATCH(ROWS($J$2:J75),$J$2:$J$1001,0),0), INDEX($Q$1004:$U$1004,1,MATCH(COLUMNS($Q$1006:U1006),$Q$1006:$U$1006,0)))),"Fix")))</f>
        <v xml:space="preserve"> </v>
      </c>
      <c r="J75">
        <f ca="1"/>
        <v>74</v>
      </c>
      <c r="K75">
        <v>100075</v>
      </c>
      <c r="L75">
        <v>75</v>
      </c>
      <c r="M75" t="b">
        <f t="shared" si="1"/>
        <v>1</v>
      </c>
      <c r="N75" t="b">
        <f>COUNTBLANK(Metadata!B75:F75)=COLUMNS(Metadata!B75:F75)</f>
        <v>1</v>
      </c>
      <c r="O75" t="str">
        <v/>
      </c>
      <c r="Q75" t="b">
        <f ca="1"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R75" t="b">
        <f>IF(Metadata!C75="",FALSE,TRUE)</f>
        <v>0</v>
      </c>
      <c r="S75" t="b">
        <f>OR(AND(IF(Metadata!D75="",FALSE,TRUE),EXACT(Metadata!D75,"missing: not collected")),AND(IF(Metadata!D75="",FALSE,TRUE),OR(EXACT(Metadata!D75,"t"),EXACT(Metadata!D75,"f"))))</f>
        <v>0</v>
      </c>
      <c r="T75" t="b">
        <f>AND(IF(Metadata!E75="",FALSE,TRUE),OR(EXACT(Metadata!E75,"a"),EXACT(Metadata!E75,"b")))</f>
        <v>0</v>
      </c>
      <c r="U75" t="b">
        <f>OR(AND(IF(Metadata!F75="",FALSE,TRUE),OR(EXACT(Metadata!F75,"missing: not collected"),EXACT(Metadata!F75,"missing: not provided"))),AND(IF(Metadata!F75="",FALSE,TRUE),OR(EXACT(Metadata!F75,"lo"),EXACT(Metadata!F75,"med"),EXACT(Metadata!F75,"hi"))))</f>
        <v>0</v>
      </c>
    </row>
    <row r="76" spans="1:21" x14ac:dyDescent="0.2">
      <c r="A76" s="4" t="str">
        <f ca="1">IF(B76=" "," ",HYPERLINK(CONCATENATE("#metadata!",ADDRESS(INDEX($L$2:$L$1001,MATCH(ROWS($J$2:J76),$J$2:$J$1001,0),0),1)),INDEX($O$2:$O$1001,MATCH(ROWS($J$2:J76),$J$2:$J$1001,0),0)))</f>
        <v xml:space="preserve"> </v>
      </c>
      <c r="B76" s="3" t="str">
        <f ca="1">IF(OR(INDEX($K$2:$K$1001,MATCH(ROWS($J$2:J76),$J$2:$J$1001,0),1)&gt;=100000,INDEX($Q$1005:$U$1005,1,MATCH(COLUMNS($Q$1006:Q1006),$Q$1006:$U$1006,0))&gt;=100000), " ",IF(INDEX($Q$2:$U$1001,MATCH(ROWS($J$2:J76),$J$2:$J$1001,0),MATCH(COLUMNS($Q$1006:Q1006),$Q$1006:$U$1006,0)), HYPERLINK("#",""), HYPERLINK(CONCATENATE("#Metadata!", ADDRESS(INDEX($L$2:$L$1001,MATCH(ROWS($J$2:J76),$J$2:$J$1001,0),0), INDEX($Q$1004:$U$1004,1,MATCH(COLUMNS($Q$1006:Q1006),$Q$1006:$U$1006,0)))),"Fix")))</f>
        <v xml:space="preserve"> </v>
      </c>
      <c r="C76" s="3" t="str">
        <f ca="1">IF(OR(INDEX($K$2:$K$1001,MATCH(ROWS($J$2:J76),$J$2:$J$1001,0),1)&gt;=100000,INDEX($Q$1005:$U$1005,1,MATCH(COLUMNS($Q$1006:R1006),$Q$1006:$U$1006,0))&gt;=100000), " ",IF(INDEX($Q$2:$U$1001,MATCH(ROWS($J$2:J76),$J$2:$J$1001,0),MATCH(COLUMNS($Q$1006:R1006),$Q$1006:$U$1006,0)), HYPERLINK("#",""), HYPERLINK(CONCATENATE("#Metadata!", ADDRESS(INDEX($L$2:$L$1001,MATCH(ROWS($J$2:J76),$J$2:$J$1001,0),0), INDEX($Q$1004:$U$1004,1,MATCH(COLUMNS($Q$1006:R1006),$Q$1006:$U$1006,0)))),"Fix")))</f>
        <v xml:space="preserve"> </v>
      </c>
      <c r="D76" s="3" t="str">
        <f ca="1">IF(OR(INDEX($K$2:$K$1001,MATCH(ROWS($J$2:J76),$J$2:$J$1001,0),1)&gt;=100000,INDEX($Q$1005:$U$1005,1,MATCH(COLUMNS($Q$1006:S1006),$Q$1006:$U$1006,0))&gt;=100000), " ",IF(INDEX($Q$2:$U$1001,MATCH(ROWS($J$2:J76),$J$2:$J$1001,0),MATCH(COLUMNS($Q$1006:S1006),$Q$1006:$U$1006,0)), HYPERLINK("#",""), HYPERLINK(CONCATENATE("#Metadata!", ADDRESS(INDEX($L$2:$L$1001,MATCH(ROWS($J$2:J76),$J$2:$J$1001,0),0), INDEX($Q$1004:$U$1004,1,MATCH(COLUMNS($Q$1006:S1006),$Q$1006:$U$1006,0)))),"Fix")))</f>
        <v xml:space="preserve"> </v>
      </c>
      <c r="E76" s="3" t="str">
        <f ca="1">IF(OR(INDEX($K$2:$K$1001,MATCH(ROWS($J$2:J76),$J$2:$J$1001,0),1)&gt;=100000,INDEX($Q$1005:$U$1005,1,MATCH(COLUMNS($Q$1006:T1006),$Q$1006:$U$1006,0))&gt;=100000), " ",IF(INDEX($Q$2:$U$1001,MATCH(ROWS($J$2:J76),$J$2:$J$1001,0),MATCH(COLUMNS($Q$1006:T1006),$Q$1006:$U$1006,0)), HYPERLINK("#",""), HYPERLINK(CONCATENATE("#Metadata!", ADDRESS(INDEX($L$2:$L$1001,MATCH(ROWS($J$2:J76),$J$2:$J$1001,0),0), INDEX($Q$1004:$U$1004,1,MATCH(COLUMNS($Q$1006:T1006),$Q$1006:$U$1006,0)))),"Fix")))</f>
        <v xml:space="preserve"> </v>
      </c>
      <c r="F76" s="3" t="str">
        <f ca="1">IF(OR(INDEX($K$2:$K$1001,MATCH(ROWS($J$2:J76),$J$2:$J$1001,0),1)&gt;=100000,INDEX($Q$1005:$U$1005,1,MATCH(COLUMNS($Q$1006:U1006),$Q$1006:$U$1006,0))&gt;=100000), " ",IF(INDEX($Q$2:$U$1001,MATCH(ROWS($J$2:J76),$J$2:$J$1001,0),MATCH(COLUMNS($Q$1006:U1006),$Q$1006:$U$1006,0)), HYPERLINK("#",""), HYPERLINK(CONCATENATE("#Metadata!", ADDRESS(INDEX($L$2:$L$1001,MATCH(ROWS($J$2:J76),$J$2:$J$1001,0),0), INDEX($Q$1004:$U$1004,1,MATCH(COLUMNS($Q$1006:U1006),$Q$1006:$U$1006,0)))),"Fix")))</f>
        <v xml:space="preserve"> </v>
      </c>
      <c r="J76">
        <f ca="1"/>
        <v>75</v>
      </c>
      <c r="K76">
        <v>100076</v>
      </c>
      <c r="L76">
        <v>76</v>
      </c>
      <c r="M76" t="b">
        <f t="shared" si="1"/>
        <v>1</v>
      </c>
      <c r="N76" t="b">
        <f>COUNTBLANK(Metadata!B76:F76)=COLUMNS(Metadata!B76:F76)</f>
        <v>1</v>
      </c>
      <c r="O76" t="str">
        <v/>
      </c>
      <c r="Q76" t="b">
        <f ca="1"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R76" t="b">
        <f>IF(Metadata!C76="",FALSE,TRUE)</f>
        <v>0</v>
      </c>
      <c r="S76" t="b">
        <f>OR(AND(IF(Metadata!D76="",FALSE,TRUE),EXACT(Metadata!D76,"missing: not collected")),AND(IF(Metadata!D76="",FALSE,TRUE),OR(EXACT(Metadata!D76,"t"),EXACT(Metadata!D76,"f"))))</f>
        <v>0</v>
      </c>
      <c r="T76" t="b">
        <f>AND(IF(Metadata!E76="",FALSE,TRUE),OR(EXACT(Metadata!E76,"a"),EXACT(Metadata!E76,"b")))</f>
        <v>0</v>
      </c>
      <c r="U76" t="b">
        <f>OR(AND(IF(Metadata!F76="",FALSE,TRUE),OR(EXACT(Metadata!F76,"missing: not collected"),EXACT(Metadata!F76,"missing: not provided"))),AND(IF(Metadata!F76="",FALSE,TRUE),OR(EXACT(Metadata!F76,"lo"),EXACT(Metadata!F76,"med"),EXACT(Metadata!F76,"hi"))))</f>
        <v>0</v>
      </c>
    </row>
    <row r="77" spans="1:21" x14ac:dyDescent="0.2">
      <c r="A77" s="4" t="str">
        <f ca="1">IF(B77=" "," ",HYPERLINK(CONCATENATE("#metadata!",ADDRESS(INDEX($L$2:$L$1001,MATCH(ROWS($J$2:J77),$J$2:$J$1001,0),0),1)),INDEX($O$2:$O$1001,MATCH(ROWS($J$2:J77),$J$2:$J$1001,0),0)))</f>
        <v xml:space="preserve"> </v>
      </c>
      <c r="B77" s="3" t="str">
        <f ca="1">IF(OR(INDEX($K$2:$K$1001,MATCH(ROWS($J$2:J77),$J$2:$J$1001,0),1)&gt;=100000,INDEX($Q$1005:$U$1005,1,MATCH(COLUMNS($Q$1006:Q1006),$Q$1006:$U$1006,0))&gt;=100000), " ",IF(INDEX($Q$2:$U$1001,MATCH(ROWS($J$2:J77),$J$2:$J$1001,0),MATCH(COLUMNS($Q$1006:Q1006),$Q$1006:$U$1006,0)), HYPERLINK("#",""), HYPERLINK(CONCATENATE("#Metadata!", ADDRESS(INDEX($L$2:$L$1001,MATCH(ROWS($J$2:J77),$J$2:$J$1001,0),0), INDEX($Q$1004:$U$1004,1,MATCH(COLUMNS($Q$1006:Q1006),$Q$1006:$U$1006,0)))),"Fix")))</f>
        <v xml:space="preserve"> </v>
      </c>
      <c r="C77" s="3" t="str">
        <f ca="1">IF(OR(INDEX($K$2:$K$1001,MATCH(ROWS($J$2:J77),$J$2:$J$1001,0),1)&gt;=100000,INDEX($Q$1005:$U$1005,1,MATCH(COLUMNS($Q$1006:R1006),$Q$1006:$U$1006,0))&gt;=100000), " ",IF(INDEX($Q$2:$U$1001,MATCH(ROWS($J$2:J77),$J$2:$J$1001,0),MATCH(COLUMNS($Q$1006:R1006),$Q$1006:$U$1006,0)), HYPERLINK("#",""), HYPERLINK(CONCATENATE("#Metadata!", ADDRESS(INDEX($L$2:$L$1001,MATCH(ROWS($J$2:J77),$J$2:$J$1001,0),0), INDEX($Q$1004:$U$1004,1,MATCH(COLUMNS($Q$1006:R1006),$Q$1006:$U$1006,0)))),"Fix")))</f>
        <v xml:space="preserve"> </v>
      </c>
      <c r="D77" s="3" t="str">
        <f ca="1">IF(OR(INDEX($K$2:$K$1001,MATCH(ROWS($J$2:J77),$J$2:$J$1001,0),1)&gt;=100000,INDEX($Q$1005:$U$1005,1,MATCH(COLUMNS($Q$1006:S1006),$Q$1006:$U$1006,0))&gt;=100000), " ",IF(INDEX($Q$2:$U$1001,MATCH(ROWS($J$2:J77),$J$2:$J$1001,0),MATCH(COLUMNS($Q$1006:S1006),$Q$1006:$U$1006,0)), HYPERLINK("#",""), HYPERLINK(CONCATENATE("#Metadata!", ADDRESS(INDEX($L$2:$L$1001,MATCH(ROWS($J$2:J77),$J$2:$J$1001,0),0), INDEX($Q$1004:$U$1004,1,MATCH(COLUMNS($Q$1006:S1006),$Q$1006:$U$1006,0)))),"Fix")))</f>
        <v xml:space="preserve"> </v>
      </c>
      <c r="E77" s="3" t="str">
        <f ca="1">IF(OR(INDEX($K$2:$K$1001,MATCH(ROWS($J$2:J77),$J$2:$J$1001,0),1)&gt;=100000,INDEX($Q$1005:$U$1005,1,MATCH(COLUMNS($Q$1006:T1006),$Q$1006:$U$1006,0))&gt;=100000), " ",IF(INDEX($Q$2:$U$1001,MATCH(ROWS($J$2:J77),$J$2:$J$1001,0),MATCH(COLUMNS($Q$1006:T1006),$Q$1006:$U$1006,0)), HYPERLINK("#",""), HYPERLINK(CONCATENATE("#Metadata!", ADDRESS(INDEX($L$2:$L$1001,MATCH(ROWS($J$2:J77),$J$2:$J$1001,0),0), INDEX($Q$1004:$U$1004,1,MATCH(COLUMNS($Q$1006:T1006),$Q$1006:$U$1006,0)))),"Fix")))</f>
        <v xml:space="preserve"> </v>
      </c>
      <c r="F77" s="3" t="str">
        <f ca="1">IF(OR(INDEX($K$2:$K$1001,MATCH(ROWS($J$2:J77),$J$2:$J$1001,0),1)&gt;=100000,INDEX($Q$1005:$U$1005,1,MATCH(COLUMNS($Q$1006:U1006),$Q$1006:$U$1006,0))&gt;=100000), " ",IF(INDEX($Q$2:$U$1001,MATCH(ROWS($J$2:J77),$J$2:$J$1001,0),MATCH(COLUMNS($Q$1006:U1006),$Q$1006:$U$1006,0)), HYPERLINK("#",""), HYPERLINK(CONCATENATE("#Metadata!", ADDRESS(INDEX($L$2:$L$1001,MATCH(ROWS($J$2:J77),$J$2:$J$1001,0),0), INDEX($Q$1004:$U$1004,1,MATCH(COLUMNS($Q$1006:U1006),$Q$1006:$U$1006,0)))),"Fix")))</f>
        <v xml:space="preserve"> </v>
      </c>
      <c r="J77">
        <f ca="1"/>
        <v>76</v>
      </c>
      <c r="K77">
        <v>100077</v>
      </c>
      <c r="L77">
        <v>77</v>
      </c>
      <c r="M77" t="b">
        <f t="shared" si="1"/>
        <v>1</v>
      </c>
      <c r="N77" t="b">
        <f>COUNTBLANK(Metadata!B77:F77)=COLUMNS(Metadata!B77:F77)</f>
        <v>1</v>
      </c>
      <c r="O77" t="str">
        <v/>
      </c>
      <c r="Q77" t="b">
        <f ca="1"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R77" t="b">
        <f>IF(Metadata!C77="",FALSE,TRUE)</f>
        <v>0</v>
      </c>
      <c r="S77" t="b">
        <f>OR(AND(IF(Metadata!D77="",FALSE,TRUE),EXACT(Metadata!D77,"missing: not collected")),AND(IF(Metadata!D77="",FALSE,TRUE),OR(EXACT(Metadata!D77,"t"),EXACT(Metadata!D77,"f"))))</f>
        <v>0</v>
      </c>
      <c r="T77" t="b">
        <f>AND(IF(Metadata!E77="",FALSE,TRUE),OR(EXACT(Metadata!E77,"a"),EXACT(Metadata!E77,"b")))</f>
        <v>0</v>
      </c>
      <c r="U77" t="b">
        <f>OR(AND(IF(Metadata!F77="",FALSE,TRUE),OR(EXACT(Metadata!F77,"missing: not collected"),EXACT(Metadata!F77,"missing: not provided"))),AND(IF(Metadata!F77="",FALSE,TRUE),OR(EXACT(Metadata!F77,"lo"),EXACT(Metadata!F77,"med"),EXACT(Metadata!F77,"hi"))))</f>
        <v>0</v>
      </c>
    </row>
    <row r="78" spans="1:21" x14ac:dyDescent="0.2">
      <c r="A78" s="4" t="str">
        <f ca="1">IF(B78=" "," ",HYPERLINK(CONCATENATE("#metadata!",ADDRESS(INDEX($L$2:$L$1001,MATCH(ROWS($J$2:J78),$J$2:$J$1001,0),0),1)),INDEX($O$2:$O$1001,MATCH(ROWS($J$2:J78),$J$2:$J$1001,0),0)))</f>
        <v xml:space="preserve"> </v>
      </c>
      <c r="B78" s="3" t="str">
        <f ca="1">IF(OR(INDEX($K$2:$K$1001,MATCH(ROWS($J$2:J78),$J$2:$J$1001,0),1)&gt;=100000,INDEX($Q$1005:$U$1005,1,MATCH(COLUMNS($Q$1006:Q1006),$Q$1006:$U$1006,0))&gt;=100000), " ",IF(INDEX($Q$2:$U$1001,MATCH(ROWS($J$2:J78),$J$2:$J$1001,0),MATCH(COLUMNS($Q$1006:Q1006),$Q$1006:$U$1006,0)), HYPERLINK("#",""), HYPERLINK(CONCATENATE("#Metadata!", ADDRESS(INDEX($L$2:$L$1001,MATCH(ROWS($J$2:J78),$J$2:$J$1001,0),0), INDEX($Q$1004:$U$1004,1,MATCH(COLUMNS($Q$1006:Q1006),$Q$1006:$U$1006,0)))),"Fix")))</f>
        <v xml:space="preserve"> </v>
      </c>
      <c r="C78" s="3" t="str">
        <f ca="1">IF(OR(INDEX($K$2:$K$1001,MATCH(ROWS($J$2:J78),$J$2:$J$1001,0),1)&gt;=100000,INDEX($Q$1005:$U$1005,1,MATCH(COLUMNS($Q$1006:R1006),$Q$1006:$U$1006,0))&gt;=100000), " ",IF(INDEX($Q$2:$U$1001,MATCH(ROWS($J$2:J78),$J$2:$J$1001,0),MATCH(COLUMNS($Q$1006:R1006),$Q$1006:$U$1006,0)), HYPERLINK("#",""), HYPERLINK(CONCATENATE("#Metadata!", ADDRESS(INDEX($L$2:$L$1001,MATCH(ROWS($J$2:J78),$J$2:$J$1001,0),0), INDEX($Q$1004:$U$1004,1,MATCH(COLUMNS($Q$1006:R1006),$Q$1006:$U$1006,0)))),"Fix")))</f>
        <v xml:space="preserve"> </v>
      </c>
      <c r="D78" s="3" t="str">
        <f ca="1">IF(OR(INDEX($K$2:$K$1001,MATCH(ROWS($J$2:J78),$J$2:$J$1001,0),1)&gt;=100000,INDEX($Q$1005:$U$1005,1,MATCH(COLUMNS($Q$1006:S1006),$Q$1006:$U$1006,0))&gt;=100000), " ",IF(INDEX($Q$2:$U$1001,MATCH(ROWS($J$2:J78),$J$2:$J$1001,0),MATCH(COLUMNS($Q$1006:S1006),$Q$1006:$U$1006,0)), HYPERLINK("#",""), HYPERLINK(CONCATENATE("#Metadata!", ADDRESS(INDEX($L$2:$L$1001,MATCH(ROWS($J$2:J78),$J$2:$J$1001,0),0), INDEX($Q$1004:$U$1004,1,MATCH(COLUMNS($Q$1006:S1006),$Q$1006:$U$1006,0)))),"Fix")))</f>
        <v xml:space="preserve"> </v>
      </c>
      <c r="E78" s="3" t="str">
        <f ca="1">IF(OR(INDEX($K$2:$K$1001,MATCH(ROWS($J$2:J78),$J$2:$J$1001,0),1)&gt;=100000,INDEX($Q$1005:$U$1005,1,MATCH(COLUMNS($Q$1006:T1006),$Q$1006:$U$1006,0))&gt;=100000), " ",IF(INDEX($Q$2:$U$1001,MATCH(ROWS($J$2:J78),$J$2:$J$1001,0),MATCH(COLUMNS($Q$1006:T1006),$Q$1006:$U$1006,0)), HYPERLINK("#",""), HYPERLINK(CONCATENATE("#Metadata!", ADDRESS(INDEX($L$2:$L$1001,MATCH(ROWS($J$2:J78),$J$2:$J$1001,0),0), INDEX($Q$1004:$U$1004,1,MATCH(COLUMNS($Q$1006:T1006),$Q$1006:$U$1006,0)))),"Fix")))</f>
        <v xml:space="preserve"> </v>
      </c>
      <c r="F78" s="3" t="str">
        <f ca="1">IF(OR(INDEX($K$2:$K$1001,MATCH(ROWS($J$2:J78),$J$2:$J$1001,0),1)&gt;=100000,INDEX($Q$1005:$U$1005,1,MATCH(COLUMNS($Q$1006:U1006),$Q$1006:$U$1006,0))&gt;=100000), " ",IF(INDEX($Q$2:$U$1001,MATCH(ROWS($J$2:J78),$J$2:$J$1001,0),MATCH(COLUMNS($Q$1006:U1006),$Q$1006:$U$1006,0)), HYPERLINK("#",""), HYPERLINK(CONCATENATE("#Metadata!", ADDRESS(INDEX($L$2:$L$1001,MATCH(ROWS($J$2:J78),$J$2:$J$1001,0),0), INDEX($Q$1004:$U$1004,1,MATCH(COLUMNS($Q$1006:U1006),$Q$1006:$U$1006,0)))),"Fix")))</f>
        <v xml:space="preserve"> </v>
      </c>
      <c r="J78">
        <f ca="1"/>
        <v>77</v>
      </c>
      <c r="K78">
        <v>100078</v>
      </c>
      <c r="L78">
        <v>78</v>
      </c>
      <c r="M78" t="b">
        <f t="shared" si="1"/>
        <v>1</v>
      </c>
      <c r="N78" t="b">
        <f>COUNTBLANK(Metadata!B78:F78)=COLUMNS(Metadata!B78:F78)</f>
        <v>1</v>
      </c>
      <c r="O78" t="str">
        <v/>
      </c>
      <c r="Q78" t="b">
        <f ca="1"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R78" t="b">
        <f>IF(Metadata!C78="",FALSE,TRUE)</f>
        <v>0</v>
      </c>
      <c r="S78" t="b">
        <f>OR(AND(IF(Metadata!D78="",FALSE,TRUE),EXACT(Metadata!D78,"missing: not collected")),AND(IF(Metadata!D78="",FALSE,TRUE),OR(EXACT(Metadata!D78,"t"),EXACT(Metadata!D78,"f"))))</f>
        <v>0</v>
      </c>
      <c r="T78" t="b">
        <f>AND(IF(Metadata!E78="",FALSE,TRUE),OR(EXACT(Metadata!E78,"a"),EXACT(Metadata!E78,"b")))</f>
        <v>0</v>
      </c>
      <c r="U78" t="b">
        <f>OR(AND(IF(Metadata!F78="",FALSE,TRUE),OR(EXACT(Metadata!F78,"missing: not collected"),EXACT(Metadata!F78,"missing: not provided"))),AND(IF(Metadata!F78="",FALSE,TRUE),OR(EXACT(Metadata!F78,"lo"),EXACT(Metadata!F78,"med"),EXACT(Metadata!F78,"hi"))))</f>
        <v>0</v>
      </c>
    </row>
    <row r="79" spans="1:21" x14ac:dyDescent="0.2">
      <c r="A79" s="4" t="str">
        <f ca="1">IF(B79=" "," ",HYPERLINK(CONCATENATE("#metadata!",ADDRESS(INDEX($L$2:$L$1001,MATCH(ROWS($J$2:J79),$J$2:$J$1001,0),0),1)),INDEX($O$2:$O$1001,MATCH(ROWS($J$2:J79),$J$2:$J$1001,0),0)))</f>
        <v xml:space="preserve"> </v>
      </c>
      <c r="B79" s="3" t="str">
        <f ca="1">IF(OR(INDEX($K$2:$K$1001,MATCH(ROWS($J$2:J79),$J$2:$J$1001,0),1)&gt;=100000,INDEX($Q$1005:$U$1005,1,MATCH(COLUMNS($Q$1006:Q1006),$Q$1006:$U$1006,0))&gt;=100000), " ",IF(INDEX($Q$2:$U$1001,MATCH(ROWS($J$2:J79),$J$2:$J$1001,0),MATCH(COLUMNS($Q$1006:Q1006),$Q$1006:$U$1006,0)), HYPERLINK("#",""), HYPERLINK(CONCATENATE("#Metadata!", ADDRESS(INDEX($L$2:$L$1001,MATCH(ROWS($J$2:J79),$J$2:$J$1001,0),0), INDEX($Q$1004:$U$1004,1,MATCH(COLUMNS($Q$1006:Q1006),$Q$1006:$U$1006,0)))),"Fix")))</f>
        <v xml:space="preserve"> </v>
      </c>
      <c r="C79" s="3" t="str">
        <f ca="1">IF(OR(INDEX($K$2:$K$1001,MATCH(ROWS($J$2:J79),$J$2:$J$1001,0),1)&gt;=100000,INDEX($Q$1005:$U$1005,1,MATCH(COLUMNS($Q$1006:R1006),$Q$1006:$U$1006,0))&gt;=100000), " ",IF(INDEX($Q$2:$U$1001,MATCH(ROWS($J$2:J79),$J$2:$J$1001,0),MATCH(COLUMNS($Q$1006:R1006),$Q$1006:$U$1006,0)), HYPERLINK("#",""), HYPERLINK(CONCATENATE("#Metadata!", ADDRESS(INDEX($L$2:$L$1001,MATCH(ROWS($J$2:J79),$J$2:$J$1001,0),0), INDEX($Q$1004:$U$1004,1,MATCH(COLUMNS($Q$1006:R1006),$Q$1006:$U$1006,0)))),"Fix")))</f>
        <v xml:space="preserve"> </v>
      </c>
      <c r="D79" s="3" t="str">
        <f ca="1">IF(OR(INDEX($K$2:$K$1001,MATCH(ROWS($J$2:J79),$J$2:$J$1001,0),1)&gt;=100000,INDEX($Q$1005:$U$1005,1,MATCH(COLUMNS($Q$1006:S1006),$Q$1006:$U$1006,0))&gt;=100000), " ",IF(INDEX($Q$2:$U$1001,MATCH(ROWS($J$2:J79),$J$2:$J$1001,0),MATCH(COLUMNS($Q$1006:S1006),$Q$1006:$U$1006,0)), HYPERLINK("#",""), HYPERLINK(CONCATENATE("#Metadata!", ADDRESS(INDEX($L$2:$L$1001,MATCH(ROWS($J$2:J79),$J$2:$J$1001,0),0), INDEX($Q$1004:$U$1004,1,MATCH(COLUMNS($Q$1006:S1006),$Q$1006:$U$1006,0)))),"Fix")))</f>
        <v xml:space="preserve"> </v>
      </c>
      <c r="E79" s="3" t="str">
        <f ca="1">IF(OR(INDEX($K$2:$K$1001,MATCH(ROWS($J$2:J79),$J$2:$J$1001,0),1)&gt;=100000,INDEX($Q$1005:$U$1005,1,MATCH(COLUMNS($Q$1006:T1006),$Q$1006:$U$1006,0))&gt;=100000), " ",IF(INDEX($Q$2:$U$1001,MATCH(ROWS($J$2:J79),$J$2:$J$1001,0),MATCH(COLUMNS($Q$1006:T1006),$Q$1006:$U$1006,0)), HYPERLINK("#",""), HYPERLINK(CONCATENATE("#Metadata!", ADDRESS(INDEX($L$2:$L$1001,MATCH(ROWS($J$2:J79),$J$2:$J$1001,0),0), INDEX($Q$1004:$U$1004,1,MATCH(COLUMNS($Q$1006:T1006),$Q$1006:$U$1006,0)))),"Fix")))</f>
        <v xml:space="preserve"> </v>
      </c>
      <c r="F79" s="3" t="str">
        <f ca="1">IF(OR(INDEX($K$2:$K$1001,MATCH(ROWS($J$2:J79),$J$2:$J$1001,0),1)&gt;=100000,INDEX($Q$1005:$U$1005,1,MATCH(COLUMNS($Q$1006:U1006),$Q$1006:$U$1006,0))&gt;=100000), " ",IF(INDEX($Q$2:$U$1001,MATCH(ROWS($J$2:J79),$J$2:$J$1001,0),MATCH(COLUMNS($Q$1006:U1006),$Q$1006:$U$1006,0)), HYPERLINK("#",""), HYPERLINK(CONCATENATE("#Metadata!", ADDRESS(INDEX($L$2:$L$1001,MATCH(ROWS($J$2:J79),$J$2:$J$1001,0),0), INDEX($Q$1004:$U$1004,1,MATCH(COLUMNS($Q$1006:U1006),$Q$1006:$U$1006,0)))),"Fix")))</f>
        <v xml:space="preserve"> </v>
      </c>
      <c r="J79">
        <f ca="1"/>
        <v>78</v>
      </c>
      <c r="K79">
        <v>100079</v>
      </c>
      <c r="L79">
        <v>79</v>
      </c>
      <c r="M79" t="b">
        <f t="shared" si="1"/>
        <v>1</v>
      </c>
      <c r="N79" t="b">
        <f>COUNTBLANK(Metadata!B79:F79)=COLUMNS(Metadata!B79:F79)</f>
        <v>1</v>
      </c>
      <c r="O79" t="str">
        <v/>
      </c>
      <c r="Q79" t="b">
        <f ca="1"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R79" t="b">
        <f>IF(Metadata!C79="",FALSE,TRUE)</f>
        <v>0</v>
      </c>
      <c r="S79" t="b">
        <f>OR(AND(IF(Metadata!D79="",FALSE,TRUE),EXACT(Metadata!D79,"missing: not collected")),AND(IF(Metadata!D79="",FALSE,TRUE),OR(EXACT(Metadata!D79,"t"),EXACT(Metadata!D79,"f"))))</f>
        <v>0</v>
      </c>
      <c r="T79" t="b">
        <f>AND(IF(Metadata!E79="",FALSE,TRUE),OR(EXACT(Metadata!E79,"a"),EXACT(Metadata!E79,"b")))</f>
        <v>0</v>
      </c>
      <c r="U79" t="b">
        <f>OR(AND(IF(Metadata!F79="",FALSE,TRUE),OR(EXACT(Metadata!F79,"missing: not collected"),EXACT(Metadata!F79,"missing: not provided"))),AND(IF(Metadata!F79="",FALSE,TRUE),OR(EXACT(Metadata!F79,"lo"),EXACT(Metadata!F79,"med"),EXACT(Metadata!F79,"hi"))))</f>
        <v>0</v>
      </c>
    </row>
    <row r="80" spans="1:21" x14ac:dyDescent="0.2">
      <c r="A80" s="4" t="str">
        <f ca="1">IF(B80=" "," ",HYPERLINK(CONCATENATE("#metadata!",ADDRESS(INDEX($L$2:$L$1001,MATCH(ROWS($J$2:J80),$J$2:$J$1001,0),0),1)),INDEX($O$2:$O$1001,MATCH(ROWS($J$2:J80),$J$2:$J$1001,0),0)))</f>
        <v xml:space="preserve"> </v>
      </c>
      <c r="B80" s="3" t="str">
        <f ca="1">IF(OR(INDEX($K$2:$K$1001,MATCH(ROWS($J$2:J80),$J$2:$J$1001,0),1)&gt;=100000,INDEX($Q$1005:$U$1005,1,MATCH(COLUMNS($Q$1006:Q1006),$Q$1006:$U$1006,0))&gt;=100000), " ",IF(INDEX($Q$2:$U$1001,MATCH(ROWS($J$2:J80),$J$2:$J$1001,0),MATCH(COLUMNS($Q$1006:Q1006),$Q$1006:$U$1006,0)), HYPERLINK("#",""), HYPERLINK(CONCATENATE("#Metadata!", ADDRESS(INDEX($L$2:$L$1001,MATCH(ROWS($J$2:J80),$J$2:$J$1001,0),0), INDEX($Q$1004:$U$1004,1,MATCH(COLUMNS($Q$1006:Q1006),$Q$1006:$U$1006,0)))),"Fix")))</f>
        <v xml:space="preserve"> </v>
      </c>
      <c r="C80" s="3" t="str">
        <f ca="1">IF(OR(INDEX($K$2:$K$1001,MATCH(ROWS($J$2:J80),$J$2:$J$1001,0),1)&gt;=100000,INDEX($Q$1005:$U$1005,1,MATCH(COLUMNS($Q$1006:R1006),$Q$1006:$U$1006,0))&gt;=100000), " ",IF(INDEX($Q$2:$U$1001,MATCH(ROWS($J$2:J80),$J$2:$J$1001,0),MATCH(COLUMNS($Q$1006:R1006),$Q$1006:$U$1006,0)), HYPERLINK("#",""), HYPERLINK(CONCATENATE("#Metadata!", ADDRESS(INDEX($L$2:$L$1001,MATCH(ROWS($J$2:J80),$J$2:$J$1001,0),0), INDEX($Q$1004:$U$1004,1,MATCH(COLUMNS($Q$1006:R1006),$Q$1006:$U$1006,0)))),"Fix")))</f>
        <v xml:space="preserve"> </v>
      </c>
      <c r="D80" s="3" t="str">
        <f ca="1">IF(OR(INDEX($K$2:$K$1001,MATCH(ROWS($J$2:J80),$J$2:$J$1001,0),1)&gt;=100000,INDEX($Q$1005:$U$1005,1,MATCH(COLUMNS($Q$1006:S1006),$Q$1006:$U$1006,0))&gt;=100000), " ",IF(INDEX($Q$2:$U$1001,MATCH(ROWS($J$2:J80),$J$2:$J$1001,0),MATCH(COLUMNS($Q$1006:S1006),$Q$1006:$U$1006,0)), HYPERLINK("#",""), HYPERLINK(CONCATENATE("#Metadata!", ADDRESS(INDEX($L$2:$L$1001,MATCH(ROWS($J$2:J80),$J$2:$J$1001,0),0), INDEX($Q$1004:$U$1004,1,MATCH(COLUMNS($Q$1006:S1006),$Q$1006:$U$1006,0)))),"Fix")))</f>
        <v xml:space="preserve"> </v>
      </c>
      <c r="E80" s="3" t="str">
        <f ca="1">IF(OR(INDEX($K$2:$K$1001,MATCH(ROWS($J$2:J80),$J$2:$J$1001,0),1)&gt;=100000,INDEX($Q$1005:$U$1005,1,MATCH(COLUMNS($Q$1006:T1006),$Q$1006:$U$1006,0))&gt;=100000), " ",IF(INDEX($Q$2:$U$1001,MATCH(ROWS($J$2:J80),$J$2:$J$1001,0),MATCH(COLUMNS($Q$1006:T1006),$Q$1006:$U$1006,0)), HYPERLINK("#",""), HYPERLINK(CONCATENATE("#Metadata!", ADDRESS(INDEX($L$2:$L$1001,MATCH(ROWS($J$2:J80),$J$2:$J$1001,0),0), INDEX($Q$1004:$U$1004,1,MATCH(COLUMNS($Q$1006:T1006),$Q$1006:$U$1006,0)))),"Fix")))</f>
        <v xml:space="preserve"> </v>
      </c>
      <c r="F80" s="3" t="str">
        <f ca="1">IF(OR(INDEX($K$2:$K$1001,MATCH(ROWS($J$2:J80),$J$2:$J$1001,0),1)&gt;=100000,INDEX($Q$1005:$U$1005,1,MATCH(COLUMNS($Q$1006:U1006),$Q$1006:$U$1006,0))&gt;=100000), " ",IF(INDEX($Q$2:$U$1001,MATCH(ROWS($J$2:J80),$J$2:$J$1001,0),MATCH(COLUMNS($Q$1006:U1006),$Q$1006:$U$1006,0)), HYPERLINK("#",""), HYPERLINK(CONCATENATE("#Metadata!", ADDRESS(INDEX($L$2:$L$1001,MATCH(ROWS($J$2:J80),$J$2:$J$1001,0),0), INDEX($Q$1004:$U$1004,1,MATCH(COLUMNS($Q$1006:U1006),$Q$1006:$U$1006,0)))),"Fix")))</f>
        <v xml:space="preserve"> </v>
      </c>
      <c r="J80">
        <f ca="1"/>
        <v>79</v>
      </c>
      <c r="K80">
        <v>100080</v>
      </c>
      <c r="L80">
        <v>80</v>
      </c>
      <c r="M80" t="b">
        <f t="shared" si="1"/>
        <v>1</v>
      </c>
      <c r="N80" t="b">
        <f>COUNTBLANK(Metadata!B80:F80)=COLUMNS(Metadata!B80:F80)</f>
        <v>1</v>
      </c>
      <c r="O80" t="str">
        <v/>
      </c>
      <c r="Q80" t="b">
        <f ca="1"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R80" t="b">
        <f>IF(Metadata!C80="",FALSE,TRUE)</f>
        <v>0</v>
      </c>
      <c r="S80" t="b">
        <f>OR(AND(IF(Metadata!D80="",FALSE,TRUE),EXACT(Metadata!D80,"missing: not collected")),AND(IF(Metadata!D80="",FALSE,TRUE),OR(EXACT(Metadata!D80,"t"),EXACT(Metadata!D80,"f"))))</f>
        <v>0</v>
      </c>
      <c r="T80" t="b">
        <f>AND(IF(Metadata!E80="",FALSE,TRUE),OR(EXACT(Metadata!E80,"a"),EXACT(Metadata!E80,"b")))</f>
        <v>0</v>
      </c>
      <c r="U80" t="b">
        <f>OR(AND(IF(Metadata!F80="",FALSE,TRUE),OR(EXACT(Metadata!F80,"missing: not collected"),EXACT(Metadata!F80,"missing: not provided"))),AND(IF(Metadata!F80="",FALSE,TRUE),OR(EXACT(Metadata!F80,"lo"),EXACT(Metadata!F80,"med"),EXACT(Metadata!F80,"hi"))))</f>
        <v>0</v>
      </c>
    </row>
    <row r="81" spans="1:21" x14ac:dyDescent="0.2">
      <c r="A81" s="4" t="str">
        <f ca="1">IF(B81=" "," ",HYPERLINK(CONCATENATE("#metadata!",ADDRESS(INDEX($L$2:$L$1001,MATCH(ROWS($J$2:J81),$J$2:$J$1001,0),0),1)),INDEX($O$2:$O$1001,MATCH(ROWS($J$2:J81),$J$2:$J$1001,0),0)))</f>
        <v xml:space="preserve"> </v>
      </c>
      <c r="B81" s="3" t="str">
        <f ca="1">IF(OR(INDEX($K$2:$K$1001,MATCH(ROWS($J$2:J81),$J$2:$J$1001,0),1)&gt;=100000,INDEX($Q$1005:$U$1005,1,MATCH(COLUMNS($Q$1006:Q1006),$Q$1006:$U$1006,0))&gt;=100000), " ",IF(INDEX($Q$2:$U$1001,MATCH(ROWS($J$2:J81),$J$2:$J$1001,0),MATCH(COLUMNS($Q$1006:Q1006),$Q$1006:$U$1006,0)), HYPERLINK("#",""), HYPERLINK(CONCATENATE("#Metadata!", ADDRESS(INDEX($L$2:$L$1001,MATCH(ROWS($J$2:J81),$J$2:$J$1001,0),0), INDEX($Q$1004:$U$1004,1,MATCH(COLUMNS($Q$1006:Q1006),$Q$1006:$U$1006,0)))),"Fix")))</f>
        <v xml:space="preserve"> </v>
      </c>
      <c r="C81" s="3" t="str">
        <f ca="1">IF(OR(INDEX($K$2:$K$1001,MATCH(ROWS($J$2:J81),$J$2:$J$1001,0),1)&gt;=100000,INDEX($Q$1005:$U$1005,1,MATCH(COLUMNS($Q$1006:R1006),$Q$1006:$U$1006,0))&gt;=100000), " ",IF(INDEX($Q$2:$U$1001,MATCH(ROWS($J$2:J81),$J$2:$J$1001,0),MATCH(COLUMNS($Q$1006:R1006),$Q$1006:$U$1006,0)), HYPERLINK("#",""), HYPERLINK(CONCATENATE("#Metadata!", ADDRESS(INDEX($L$2:$L$1001,MATCH(ROWS($J$2:J81),$J$2:$J$1001,0),0), INDEX($Q$1004:$U$1004,1,MATCH(COLUMNS($Q$1006:R1006),$Q$1006:$U$1006,0)))),"Fix")))</f>
        <v xml:space="preserve"> </v>
      </c>
      <c r="D81" s="3" t="str">
        <f ca="1">IF(OR(INDEX($K$2:$K$1001,MATCH(ROWS($J$2:J81),$J$2:$J$1001,0),1)&gt;=100000,INDEX($Q$1005:$U$1005,1,MATCH(COLUMNS($Q$1006:S1006),$Q$1006:$U$1006,0))&gt;=100000), " ",IF(INDEX($Q$2:$U$1001,MATCH(ROWS($J$2:J81),$J$2:$J$1001,0),MATCH(COLUMNS($Q$1006:S1006),$Q$1006:$U$1006,0)), HYPERLINK("#",""), HYPERLINK(CONCATENATE("#Metadata!", ADDRESS(INDEX($L$2:$L$1001,MATCH(ROWS($J$2:J81),$J$2:$J$1001,0),0), INDEX($Q$1004:$U$1004,1,MATCH(COLUMNS($Q$1006:S1006),$Q$1006:$U$1006,0)))),"Fix")))</f>
        <v xml:space="preserve"> </v>
      </c>
      <c r="E81" s="3" t="str">
        <f ca="1">IF(OR(INDEX($K$2:$K$1001,MATCH(ROWS($J$2:J81),$J$2:$J$1001,0),1)&gt;=100000,INDEX($Q$1005:$U$1005,1,MATCH(COLUMNS($Q$1006:T1006),$Q$1006:$U$1006,0))&gt;=100000), " ",IF(INDEX($Q$2:$U$1001,MATCH(ROWS($J$2:J81),$J$2:$J$1001,0),MATCH(COLUMNS($Q$1006:T1006),$Q$1006:$U$1006,0)), HYPERLINK("#",""), HYPERLINK(CONCATENATE("#Metadata!", ADDRESS(INDEX($L$2:$L$1001,MATCH(ROWS($J$2:J81),$J$2:$J$1001,0),0), INDEX($Q$1004:$U$1004,1,MATCH(COLUMNS($Q$1006:T1006),$Q$1006:$U$1006,0)))),"Fix")))</f>
        <v xml:space="preserve"> </v>
      </c>
      <c r="F81" s="3" t="str">
        <f ca="1">IF(OR(INDEX($K$2:$K$1001,MATCH(ROWS($J$2:J81),$J$2:$J$1001,0),1)&gt;=100000,INDEX($Q$1005:$U$1005,1,MATCH(COLUMNS($Q$1006:U1006),$Q$1006:$U$1006,0))&gt;=100000), " ",IF(INDEX($Q$2:$U$1001,MATCH(ROWS($J$2:J81),$J$2:$J$1001,0),MATCH(COLUMNS($Q$1006:U1006),$Q$1006:$U$1006,0)), HYPERLINK("#",""), HYPERLINK(CONCATENATE("#Metadata!", ADDRESS(INDEX($L$2:$L$1001,MATCH(ROWS($J$2:J81),$J$2:$J$1001,0),0), INDEX($Q$1004:$U$1004,1,MATCH(COLUMNS($Q$1006:U1006),$Q$1006:$U$1006,0)))),"Fix")))</f>
        <v xml:space="preserve"> </v>
      </c>
      <c r="J81">
        <f ca="1"/>
        <v>80</v>
      </c>
      <c r="K81">
        <v>100081</v>
      </c>
      <c r="L81">
        <v>81</v>
      </c>
      <c r="M81" t="b">
        <f t="shared" si="1"/>
        <v>1</v>
      </c>
      <c r="N81" t="b">
        <f>COUNTBLANK(Metadata!B81:F81)=COLUMNS(Metadata!B81:F81)</f>
        <v>1</v>
      </c>
      <c r="O81" t="str">
        <v/>
      </c>
      <c r="Q81" t="b">
        <f ca="1"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R81" t="b">
        <f>IF(Metadata!C81="",FALSE,TRUE)</f>
        <v>0</v>
      </c>
      <c r="S81" t="b">
        <f>OR(AND(IF(Metadata!D81="",FALSE,TRUE),EXACT(Metadata!D81,"missing: not collected")),AND(IF(Metadata!D81="",FALSE,TRUE),OR(EXACT(Metadata!D81,"t"),EXACT(Metadata!D81,"f"))))</f>
        <v>0</v>
      </c>
      <c r="T81" t="b">
        <f>AND(IF(Metadata!E81="",FALSE,TRUE),OR(EXACT(Metadata!E81,"a"),EXACT(Metadata!E81,"b")))</f>
        <v>0</v>
      </c>
      <c r="U81" t="b">
        <f>OR(AND(IF(Metadata!F81="",FALSE,TRUE),OR(EXACT(Metadata!F81,"missing: not collected"),EXACT(Metadata!F81,"missing: not provided"))),AND(IF(Metadata!F81="",FALSE,TRUE),OR(EXACT(Metadata!F81,"lo"),EXACT(Metadata!F81,"med"),EXACT(Metadata!F81,"hi"))))</f>
        <v>0</v>
      </c>
    </row>
    <row r="82" spans="1:21" x14ac:dyDescent="0.2">
      <c r="A82" s="4" t="str">
        <f ca="1">IF(B82=" "," ",HYPERLINK(CONCATENATE("#metadata!",ADDRESS(INDEX($L$2:$L$1001,MATCH(ROWS($J$2:J82),$J$2:$J$1001,0),0),1)),INDEX($O$2:$O$1001,MATCH(ROWS($J$2:J82),$J$2:$J$1001,0),0)))</f>
        <v xml:space="preserve"> </v>
      </c>
      <c r="B82" s="3" t="str">
        <f ca="1">IF(OR(INDEX($K$2:$K$1001,MATCH(ROWS($J$2:J82),$J$2:$J$1001,0),1)&gt;=100000,INDEX($Q$1005:$U$1005,1,MATCH(COLUMNS($Q$1006:Q1006),$Q$1006:$U$1006,0))&gt;=100000), " ",IF(INDEX($Q$2:$U$1001,MATCH(ROWS($J$2:J82),$J$2:$J$1001,0),MATCH(COLUMNS($Q$1006:Q1006),$Q$1006:$U$1006,0)), HYPERLINK("#",""), HYPERLINK(CONCATENATE("#Metadata!", ADDRESS(INDEX($L$2:$L$1001,MATCH(ROWS($J$2:J82),$J$2:$J$1001,0),0), INDEX($Q$1004:$U$1004,1,MATCH(COLUMNS($Q$1006:Q1006),$Q$1006:$U$1006,0)))),"Fix")))</f>
        <v xml:space="preserve"> </v>
      </c>
      <c r="C82" s="3" t="str">
        <f ca="1">IF(OR(INDEX($K$2:$K$1001,MATCH(ROWS($J$2:J82),$J$2:$J$1001,0),1)&gt;=100000,INDEX($Q$1005:$U$1005,1,MATCH(COLUMNS($Q$1006:R1006),$Q$1006:$U$1006,0))&gt;=100000), " ",IF(INDEX($Q$2:$U$1001,MATCH(ROWS($J$2:J82),$J$2:$J$1001,0),MATCH(COLUMNS($Q$1006:R1006),$Q$1006:$U$1006,0)), HYPERLINK("#",""), HYPERLINK(CONCATENATE("#Metadata!", ADDRESS(INDEX($L$2:$L$1001,MATCH(ROWS($J$2:J82),$J$2:$J$1001,0),0), INDEX($Q$1004:$U$1004,1,MATCH(COLUMNS($Q$1006:R1006),$Q$1006:$U$1006,0)))),"Fix")))</f>
        <v xml:space="preserve"> </v>
      </c>
      <c r="D82" s="3" t="str">
        <f ca="1">IF(OR(INDEX($K$2:$K$1001,MATCH(ROWS($J$2:J82),$J$2:$J$1001,0),1)&gt;=100000,INDEX($Q$1005:$U$1005,1,MATCH(COLUMNS($Q$1006:S1006),$Q$1006:$U$1006,0))&gt;=100000), " ",IF(INDEX($Q$2:$U$1001,MATCH(ROWS($J$2:J82),$J$2:$J$1001,0),MATCH(COLUMNS($Q$1006:S1006),$Q$1006:$U$1006,0)), HYPERLINK("#",""), HYPERLINK(CONCATENATE("#Metadata!", ADDRESS(INDEX($L$2:$L$1001,MATCH(ROWS($J$2:J82),$J$2:$J$1001,0),0), INDEX($Q$1004:$U$1004,1,MATCH(COLUMNS($Q$1006:S1006),$Q$1006:$U$1006,0)))),"Fix")))</f>
        <v xml:space="preserve"> </v>
      </c>
      <c r="E82" s="3" t="str">
        <f ca="1">IF(OR(INDEX($K$2:$K$1001,MATCH(ROWS($J$2:J82),$J$2:$J$1001,0),1)&gt;=100000,INDEX($Q$1005:$U$1005,1,MATCH(COLUMNS($Q$1006:T1006),$Q$1006:$U$1006,0))&gt;=100000), " ",IF(INDEX($Q$2:$U$1001,MATCH(ROWS($J$2:J82),$J$2:$J$1001,0),MATCH(COLUMNS($Q$1006:T1006),$Q$1006:$U$1006,0)), HYPERLINK("#",""), HYPERLINK(CONCATENATE("#Metadata!", ADDRESS(INDEX($L$2:$L$1001,MATCH(ROWS($J$2:J82),$J$2:$J$1001,0),0), INDEX($Q$1004:$U$1004,1,MATCH(COLUMNS($Q$1006:T1006),$Q$1006:$U$1006,0)))),"Fix")))</f>
        <v xml:space="preserve"> </v>
      </c>
      <c r="F82" s="3" t="str">
        <f ca="1">IF(OR(INDEX($K$2:$K$1001,MATCH(ROWS($J$2:J82),$J$2:$J$1001,0),1)&gt;=100000,INDEX($Q$1005:$U$1005,1,MATCH(COLUMNS($Q$1006:U1006),$Q$1006:$U$1006,0))&gt;=100000), " ",IF(INDEX($Q$2:$U$1001,MATCH(ROWS($J$2:J82),$J$2:$J$1001,0),MATCH(COLUMNS($Q$1006:U1006),$Q$1006:$U$1006,0)), HYPERLINK("#",""), HYPERLINK(CONCATENATE("#Metadata!", ADDRESS(INDEX($L$2:$L$1001,MATCH(ROWS($J$2:J82),$J$2:$J$1001,0),0), INDEX($Q$1004:$U$1004,1,MATCH(COLUMNS($Q$1006:U1006),$Q$1006:$U$1006,0)))),"Fix")))</f>
        <v xml:space="preserve"> </v>
      </c>
      <c r="J82">
        <f ca="1"/>
        <v>81</v>
      </c>
      <c r="K82">
        <v>100082</v>
      </c>
      <c r="L82">
        <v>82</v>
      </c>
      <c r="M82" t="b">
        <f t="shared" si="1"/>
        <v>1</v>
      </c>
      <c r="N82" t="b">
        <f>COUNTBLANK(Metadata!B82:F82)=COLUMNS(Metadata!B82:F82)</f>
        <v>1</v>
      </c>
      <c r="O82" t="str">
        <v/>
      </c>
      <c r="Q82" t="b">
        <f ca="1"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R82" t="b">
        <f>IF(Metadata!C82="",FALSE,TRUE)</f>
        <v>0</v>
      </c>
      <c r="S82" t="b">
        <f>OR(AND(IF(Metadata!D82="",FALSE,TRUE),EXACT(Metadata!D82,"missing: not collected")),AND(IF(Metadata!D82="",FALSE,TRUE),OR(EXACT(Metadata!D82,"t"),EXACT(Metadata!D82,"f"))))</f>
        <v>0</v>
      </c>
      <c r="T82" t="b">
        <f>AND(IF(Metadata!E82="",FALSE,TRUE),OR(EXACT(Metadata!E82,"a"),EXACT(Metadata!E82,"b")))</f>
        <v>0</v>
      </c>
      <c r="U82" t="b">
        <f>OR(AND(IF(Metadata!F82="",FALSE,TRUE),OR(EXACT(Metadata!F82,"missing: not collected"),EXACT(Metadata!F82,"missing: not provided"))),AND(IF(Metadata!F82="",FALSE,TRUE),OR(EXACT(Metadata!F82,"lo"),EXACT(Metadata!F82,"med"),EXACT(Metadata!F82,"hi"))))</f>
        <v>0</v>
      </c>
    </row>
    <row r="83" spans="1:21" x14ac:dyDescent="0.2">
      <c r="A83" s="4" t="str">
        <f ca="1">IF(B83=" "," ",HYPERLINK(CONCATENATE("#metadata!",ADDRESS(INDEX($L$2:$L$1001,MATCH(ROWS($J$2:J83),$J$2:$J$1001,0),0),1)),INDEX($O$2:$O$1001,MATCH(ROWS($J$2:J83),$J$2:$J$1001,0),0)))</f>
        <v xml:space="preserve"> </v>
      </c>
      <c r="B83" s="3" t="str">
        <f ca="1">IF(OR(INDEX($K$2:$K$1001,MATCH(ROWS($J$2:J83),$J$2:$J$1001,0),1)&gt;=100000,INDEX($Q$1005:$U$1005,1,MATCH(COLUMNS($Q$1006:Q1006),$Q$1006:$U$1006,0))&gt;=100000), " ",IF(INDEX($Q$2:$U$1001,MATCH(ROWS($J$2:J83),$J$2:$J$1001,0),MATCH(COLUMNS($Q$1006:Q1006),$Q$1006:$U$1006,0)), HYPERLINK("#",""), HYPERLINK(CONCATENATE("#Metadata!", ADDRESS(INDEX($L$2:$L$1001,MATCH(ROWS($J$2:J83),$J$2:$J$1001,0),0), INDEX($Q$1004:$U$1004,1,MATCH(COLUMNS($Q$1006:Q1006),$Q$1006:$U$1006,0)))),"Fix")))</f>
        <v xml:space="preserve"> </v>
      </c>
      <c r="C83" s="3" t="str">
        <f ca="1">IF(OR(INDEX($K$2:$K$1001,MATCH(ROWS($J$2:J83),$J$2:$J$1001,0),1)&gt;=100000,INDEX($Q$1005:$U$1005,1,MATCH(COLUMNS($Q$1006:R1006),$Q$1006:$U$1006,0))&gt;=100000), " ",IF(INDEX($Q$2:$U$1001,MATCH(ROWS($J$2:J83),$J$2:$J$1001,0),MATCH(COLUMNS($Q$1006:R1006),$Q$1006:$U$1006,0)), HYPERLINK("#",""), HYPERLINK(CONCATENATE("#Metadata!", ADDRESS(INDEX($L$2:$L$1001,MATCH(ROWS($J$2:J83),$J$2:$J$1001,0),0), INDEX($Q$1004:$U$1004,1,MATCH(COLUMNS($Q$1006:R1006),$Q$1006:$U$1006,0)))),"Fix")))</f>
        <v xml:space="preserve"> </v>
      </c>
      <c r="D83" s="3" t="str">
        <f ca="1">IF(OR(INDEX($K$2:$K$1001,MATCH(ROWS($J$2:J83),$J$2:$J$1001,0),1)&gt;=100000,INDEX($Q$1005:$U$1005,1,MATCH(COLUMNS($Q$1006:S1006),$Q$1006:$U$1006,0))&gt;=100000), " ",IF(INDEX($Q$2:$U$1001,MATCH(ROWS($J$2:J83),$J$2:$J$1001,0),MATCH(COLUMNS($Q$1006:S1006),$Q$1006:$U$1006,0)), HYPERLINK("#",""), HYPERLINK(CONCATENATE("#Metadata!", ADDRESS(INDEX($L$2:$L$1001,MATCH(ROWS($J$2:J83),$J$2:$J$1001,0),0), INDEX($Q$1004:$U$1004,1,MATCH(COLUMNS($Q$1006:S1006),$Q$1006:$U$1006,0)))),"Fix")))</f>
        <v xml:space="preserve"> </v>
      </c>
      <c r="E83" s="3" t="str">
        <f ca="1">IF(OR(INDEX($K$2:$K$1001,MATCH(ROWS($J$2:J83),$J$2:$J$1001,0),1)&gt;=100000,INDEX($Q$1005:$U$1005,1,MATCH(COLUMNS($Q$1006:T1006),$Q$1006:$U$1006,0))&gt;=100000), " ",IF(INDEX($Q$2:$U$1001,MATCH(ROWS($J$2:J83),$J$2:$J$1001,0),MATCH(COLUMNS($Q$1006:T1006),$Q$1006:$U$1006,0)), HYPERLINK("#",""), HYPERLINK(CONCATENATE("#Metadata!", ADDRESS(INDEX($L$2:$L$1001,MATCH(ROWS($J$2:J83),$J$2:$J$1001,0),0), INDEX($Q$1004:$U$1004,1,MATCH(COLUMNS($Q$1006:T1006),$Q$1006:$U$1006,0)))),"Fix")))</f>
        <v xml:space="preserve"> </v>
      </c>
      <c r="F83" s="3" t="str">
        <f ca="1">IF(OR(INDEX($K$2:$K$1001,MATCH(ROWS($J$2:J83),$J$2:$J$1001,0),1)&gt;=100000,INDEX($Q$1005:$U$1005,1,MATCH(COLUMNS($Q$1006:U1006),$Q$1006:$U$1006,0))&gt;=100000), " ",IF(INDEX($Q$2:$U$1001,MATCH(ROWS($J$2:J83),$J$2:$J$1001,0),MATCH(COLUMNS($Q$1006:U1006),$Q$1006:$U$1006,0)), HYPERLINK("#",""), HYPERLINK(CONCATENATE("#Metadata!", ADDRESS(INDEX($L$2:$L$1001,MATCH(ROWS($J$2:J83),$J$2:$J$1001,0),0), INDEX($Q$1004:$U$1004,1,MATCH(COLUMNS($Q$1006:U1006),$Q$1006:$U$1006,0)))),"Fix")))</f>
        <v xml:space="preserve"> </v>
      </c>
      <c r="J83">
        <f ca="1"/>
        <v>82</v>
      </c>
      <c r="K83">
        <v>100083</v>
      </c>
      <c r="L83">
        <v>83</v>
      </c>
      <c r="M83" t="b">
        <f t="shared" si="1"/>
        <v>1</v>
      </c>
      <c r="N83" t="b">
        <f>COUNTBLANK(Metadata!B83:F83)=COLUMNS(Metadata!B83:F83)</f>
        <v>1</v>
      </c>
      <c r="O83" t="str">
        <v/>
      </c>
      <c r="Q83" t="b">
        <f ca="1"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R83" t="b">
        <f>IF(Metadata!C83="",FALSE,TRUE)</f>
        <v>0</v>
      </c>
      <c r="S83" t="b">
        <f>OR(AND(IF(Metadata!D83="",FALSE,TRUE),EXACT(Metadata!D83,"missing: not collected")),AND(IF(Metadata!D83="",FALSE,TRUE),OR(EXACT(Metadata!D83,"t"),EXACT(Metadata!D83,"f"))))</f>
        <v>0</v>
      </c>
      <c r="T83" t="b">
        <f>AND(IF(Metadata!E83="",FALSE,TRUE),OR(EXACT(Metadata!E83,"a"),EXACT(Metadata!E83,"b")))</f>
        <v>0</v>
      </c>
      <c r="U83" t="b">
        <f>OR(AND(IF(Metadata!F83="",FALSE,TRUE),OR(EXACT(Metadata!F83,"missing: not collected"),EXACT(Metadata!F83,"missing: not provided"))),AND(IF(Metadata!F83="",FALSE,TRUE),OR(EXACT(Metadata!F83,"lo"),EXACT(Metadata!F83,"med"),EXACT(Metadata!F83,"hi"))))</f>
        <v>0</v>
      </c>
    </row>
    <row r="84" spans="1:21" x14ac:dyDescent="0.2">
      <c r="A84" s="4" t="str">
        <f ca="1">IF(B84=" "," ",HYPERLINK(CONCATENATE("#metadata!",ADDRESS(INDEX($L$2:$L$1001,MATCH(ROWS($J$2:J84),$J$2:$J$1001,0),0),1)),INDEX($O$2:$O$1001,MATCH(ROWS($J$2:J84),$J$2:$J$1001,0),0)))</f>
        <v xml:space="preserve"> </v>
      </c>
      <c r="B84" s="3" t="str">
        <f ca="1">IF(OR(INDEX($K$2:$K$1001,MATCH(ROWS($J$2:J84),$J$2:$J$1001,0),1)&gt;=100000,INDEX($Q$1005:$U$1005,1,MATCH(COLUMNS($Q$1006:Q1006),$Q$1006:$U$1006,0))&gt;=100000), " ",IF(INDEX($Q$2:$U$1001,MATCH(ROWS($J$2:J84),$J$2:$J$1001,0),MATCH(COLUMNS($Q$1006:Q1006),$Q$1006:$U$1006,0)), HYPERLINK("#",""), HYPERLINK(CONCATENATE("#Metadata!", ADDRESS(INDEX($L$2:$L$1001,MATCH(ROWS($J$2:J84),$J$2:$J$1001,0),0), INDEX($Q$1004:$U$1004,1,MATCH(COLUMNS($Q$1006:Q1006),$Q$1006:$U$1006,0)))),"Fix")))</f>
        <v xml:space="preserve"> </v>
      </c>
      <c r="C84" s="3" t="str">
        <f ca="1">IF(OR(INDEX($K$2:$K$1001,MATCH(ROWS($J$2:J84),$J$2:$J$1001,0),1)&gt;=100000,INDEX($Q$1005:$U$1005,1,MATCH(COLUMNS($Q$1006:R1006),$Q$1006:$U$1006,0))&gt;=100000), " ",IF(INDEX($Q$2:$U$1001,MATCH(ROWS($J$2:J84),$J$2:$J$1001,0),MATCH(COLUMNS($Q$1006:R1006),$Q$1006:$U$1006,0)), HYPERLINK("#",""), HYPERLINK(CONCATENATE("#Metadata!", ADDRESS(INDEX($L$2:$L$1001,MATCH(ROWS($J$2:J84),$J$2:$J$1001,0),0), INDEX($Q$1004:$U$1004,1,MATCH(COLUMNS($Q$1006:R1006),$Q$1006:$U$1006,0)))),"Fix")))</f>
        <v xml:space="preserve"> </v>
      </c>
      <c r="D84" s="3" t="str">
        <f ca="1">IF(OR(INDEX($K$2:$K$1001,MATCH(ROWS($J$2:J84),$J$2:$J$1001,0),1)&gt;=100000,INDEX($Q$1005:$U$1005,1,MATCH(COLUMNS($Q$1006:S1006),$Q$1006:$U$1006,0))&gt;=100000), " ",IF(INDEX($Q$2:$U$1001,MATCH(ROWS($J$2:J84),$J$2:$J$1001,0),MATCH(COLUMNS($Q$1006:S1006),$Q$1006:$U$1006,0)), HYPERLINK("#",""), HYPERLINK(CONCATENATE("#Metadata!", ADDRESS(INDEX($L$2:$L$1001,MATCH(ROWS($J$2:J84),$J$2:$J$1001,0),0), INDEX($Q$1004:$U$1004,1,MATCH(COLUMNS($Q$1006:S1006),$Q$1006:$U$1006,0)))),"Fix")))</f>
        <v xml:space="preserve"> </v>
      </c>
      <c r="E84" s="3" t="str">
        <f ca="1">IF(OR(INDEX($K$2:$K$1001,MATCH(ROWS($J$2:J84),$J$2:$J$1001,0),1)&gt;=100000,INDEX($Q$1005:$U$1005,1,MATCH(COLUMNS($Q$1006:T1006),$Q$1006:$U$1006,0))&gt;=100000), " ",IF(INDEX($Q$2:$U$1001,MATCH(ROWS($J$2:J84),$J$2:$J$1001,0),MATCH(COLUMNS($Q$1006:T1006),$Q$1006:$U$1006,0)), HYPERLINK("#",""), HYPERLINK(CONCATENATE("#Metadata!", ADDRESS(INDEX($L$2:$L$1001,MATCH(ROWS($J$2:J84),$J$2:$J$1001,0),0), INDEX($Q$1004:$U$1004,1,MATCH(COLUMNS($Q$1006:T1006),$Q$1006:$U$1006,0)))),"Fix")))</f>
        <v xml:space="preserve"> </v>
      </c>
      <c r="F84" s="3" t="str">
        <f ca="1">IF(OR(INDEX($K$2:$K$1001,MATCH(ROWS($J$2:J84),$J$2:$J$1001,0),1)&gt;=100000,INDEX($Q$1005:$U$1005,1,MATCH(COLUMNS($Q$1006:U1006),$Q$1006:$U$1006,0))&gt;=100000), " ",IF(INDEX($Q$2:$U$1001,MATCH(ROWS($J$2:J84),$J$2:$J$1001,0),MATCH(COLUMNS($Q$1006:U1006),$Q$1006:$U$1006,0)), HYPERLINK("#",""), HYPERLINK(CONCATENATE("#Metadata!", ADDRESS(INDEX($L$2:$L$1001,MATCH(ROWS($J$2:J84),$J$2:$J$1001,0),0), INDEX($Q$1004:$U$1004,1,MATCH(COLUMNS($Q$1006:U1006),$Q$1006:$U$1006,0)))),"Fix")))</f>
        <v xml:space="preserve"> </v>
      </c>
      <c r="J84">
        <f ca="1"/>
        <v>83</v>
      </c>
      <c r="K84">
        <v>100084</v>
      </c>
      <c r="L84">
        <v>84</v>
      </c>
      <c r="M84" t="b">
        <f t="shared" si="1"/>
        <v>1</v>
      </c>
      <c r="N84" t="b">
        <f>COUNTBLANK(Metadata!B84:F84)=COLUMNS(Metadata!B84:F84)</f>
        <v>1</v>
      </c>
      <c r="O84" t="str">
        <v/>
      </c>
      <c r="Q84" t="b">
        <f ca="1"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R84" t="b">
        <f>IF(Metadata!C84="",FALSE,TRUE)</f>
        <v>0</v>
      </c>
      <c r="S84" t="b">
        <f>OR(AND(IF(Metadata!D84="",FALSE,TRUE),EXACT(Metadata!D84,"missing: not collected")),AND(IF(Metadata!D84="",FALSE,TRUE),OR(EXACT(Metadata!D84,"t"),EXACT(Metadata!D84,"f"))))</f>
        <v>0</v>
      </c>
      <c r="T84" t="b">
        <f>AND(IF(Metadata!E84="",FALSE,TRUE),OR(EXACT(Metadata!E84,"a"),EXACT(Metadata!E84,"b")))</f>
        <v>0</v>
      </c>
      <c r="U84" t="b">
        <f>OR(AND(IF(Metadata!F84="",FALSE,TRUE),OR(EXACT(Metadata!F84,"missing: not collected"),EXACT(Metadata!F84,"missing: not provided"))),AND(IF(Metadata!F84="",FALSE,TRUE),OR(EXACT(Metadata!F84,"lo"),EXACT(Metadata!F84,"med"),EXACT(Metadata!F84,"hi"))))</f>
        <v>0</v>
      </c>
    </row>
    <row r="85" spans="1:21" x14ac:dyDescent="0.2">
      <c r="A85" s="4" t="str">
        <f ca="1">IF(B85=" "," ",HYPERLINK(CONCATENATE("#metadata!",ADDRESS(INDEX($L$2:$L$1001,MATCH(ROWS($J$2:J85),$J$2:$J$1001,0),0),1)),INDEX($O$2:$O$1001,MATCH(ROWS($J$2:J85),$J$2:$J$1001,0),0)))</f>
        <v xml:space="preserve"> </v>
      </c>
      <c r="B85" s="3" t="str">
        <f ca="1">IF(OR(INDEX($K$2:$K$1001,MATCH(ROWS($J$2:J85),$J$2:$J$1001,0),1)&gt;=100000,INDEX($Q$1005:$U$1005,1,MATCH(COLUMNS($Q$1006:Q1006),$Q$1006:$U$1006,0))&gt;=100000), " ",IF(INDEX($Q$2:$U$1001,MATCH(ROWS($J$2:J85),$J$2:$J$1001,0),MATCH(COLUMNS($Q$1006:Q1006),$Q$1006:$U$1006,0)), HYPERLINK("#",""), HYPERLINK(CONCATENATE("#Metadata!", ADDRESS(INDEX($L$2:$L$1001,MATCH(ROWS($J$2:J85),$J$2:$J$1001,0),0), INDEX($Q$1004:$U$1004,1,MATCH(COLUMNS($Q$1006:Q1006),$Q$1006:$U$1006,0)))),"Fix")))</f>
        <v xml:space="preserve"> </v>
      </c>
      <c r="C85" s="3" t="str">
        <f ca="1">IF(OR(INDEX($K$2:$K$1001,MATCH(ROWS($J$2:J85),$J$2:$J$1001,0),1)&gt;=100000,INDEX($Q$1005:$U$1005,1,MATCH(COLUMNS($Q$1006:R1006),$Q$1006:$U$1006,0))&gt;=100000), " ",IF(INDEX($Q$2:$U$1001,MATCH(ROWS($J$2:J85),$J$2:$J$1001,0),MATCH(COLUMNS($Q$1006:R1006),$Q$1006:$U$1006,0)), HYPERLINK("#",""), HYPERLINK(CONCATENATE("#Metadata!", ADDRESS(INDEX($L$2:$L$1001,MATCH(ROWS($J$2:J85),$J$2:$J$1001,0),0), INDEX($Q$1004:$U$1004,1,MATCH(COLUMNS($Q$1006:R1006),$Q$1006:$U$1006,0)))),"Fix")))</f>
        <v xml:space="preserve"> </v>
      </c>
      <c r="D85" s="3" t="str">
        <f ca="1">IF(OR(INDEX($K$2:$K$1001,MATCH(ROWS($J$2:J85),$J$2:$J$1001,0),1)&gt;=100000,INDEX($Q$1005:$U$1005,1,MATCH(COLUMNS($Q$1006:S1006),$Q$1006:$U$1006,0))&gt;=100000), " ",IF(INDEX($Q$2:$U$1001,MATCH(ROWS($J$2:J85),$J$2:$J$1001,0),MATCH(COLUMNS($Q$1006:S1006),$Q$1006:$U$1006,0)), HYPERLINK("#",""), HYPERLINK(CONCATENATE("#Metadata!", ADDRESS(INDEX($L$2:$L$1001,MATCH(ROWS($J$2:J85),$J$2:$J$1001,0),0), INDEX($Q$1004:$U$1004,1,MATCH(COLUMNS($Q$1006:S1006),$Q$1006:$U$1006,0)))),"Fix")))</f>
        <v xml:space="preserve"> </v>
      </c>
      <c r="E85" s="3" t="str">
        <f ca="1">IF(OR(INDEX($K$2:$K$1001,MATCH(ROWS($J$2:J85),$J$2:$J$1001,0),1)&gt;=100000,INDEX($Q$1005:$U$1005,1,MATCH(COLUMNS($Q$1006:T1006),$Q$1006:$U$1006,0))&gt;=100000), " ",IF(INDEX($Q$2:$U$1001,MATCH(ROWS($J$2:J85),$J$2:$J$1001,0),MATCH(COLUMNS($Q$1006:T1006),$Q$1006:$U$1006,0)), HYPERLINK("#",""), HYPERLINK(CONCATENATE("#Metadata!", ADDRESS(INDEX($L$2:$L$1001,MATCH(ROWS($J$2:J85),$J$2:$J$1001,0),0), INDEX($Q$1004:$U$1004,1,MATCH(COLUMNS($Q$1006:T1006),$Q$1006:$U$1006,0)))),"Fix")))</f>
        <v xml:space="preserve"> </v>
      </c>
      <c r="F85" s="3" t="str">
        <f ca="1">IF(OR(INDEX($K$2:$K$1001,MATCH(ROWS($J$2:J85),$J$2:$J$1001,0),1)&gt;=100000,INDEX($Q$1005:$U$1005,1,MATCH(COLUMNS($Q$1006:U1006),$Q$1006:$U$1006,0))&gt;=100000), " ",IF(INDEX($Q$2:$U$1001,MATCH(ROWS($J$2:J85),$J$2:$J$1001,0),MATCH(COLUMNS($Q$1006:U1006),$Q$1006:$U$1006,0)), HYPERLINK("#",""), HYPERLINK(CONCATENATE("#Metadata!", ADDRESS(INDEX($L$2:$L$1001,MATCH(ROWS($J$2:J85),$J$2:$J$1001,0),0), INDEX($Q$1004:$U$1004,1,MATCH(COLUMNS($Q$1006:U1006),$Q$1006:$U$1006,0)))),"Fix")))</f>
        <v xml:space="preserve"> </v>
      </c>
      <c r="J85">
        <f ca="1"/>
        <v>84</v>
      </c>
      <c r="K85">
        <v>100085</v>
      </c>
      <c r="L85">
        <v>85</v>
      </c>
      <c r="M85" t="b">
        <f t="shared" si="1"/>
        <v>1</v>
      </c>
      <c r="N85" t="b">
        <f>COUNTBLANK(Metadata!B85:F85)=COLUMNS(Metadata!B85:F85)</f>
        <v>1</v>
      </c>
      <c r="O85" t="str">
        <v/>
      </c>
      <c r="Q85" t="b">
        <f ca="1"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R85" t="b">
        <f>IF(Metadata!C85="",FALSE,TRUE)</f>
        <v>0</v>
      </c>
      <c r="S85" t="b">
        <f>OR(AND(IF(Metadata!D85="",FALSE,TRUE),EXACT(Metadata!D85,"missing: not collected")),AND(IF(Metadata!D85="",FALSE,TRUE),OR(EXACT(Metadata!D85,"t"),EXACT(Metadata!D85,"f"))))</f>
        <v>0</v>
      </c>
      <c r="T85" t="b">
        <f>AND(IF(Metadata!E85="",FALSE,TRUE),OR(EXACT(Metadata!E85,"a"),EXACT(Metadata!E85,"b")))</f>
        <v>0</v>
      </c>
      <c r="U85" t="b">
        <f>OR(AND(IF(Metadata!F85="",FALSE,TRUE),OR(EXACT(Metadata!F85,"missing: not collected"),EXACT(Metadata!F85,"missing: not provided"))),AND(IF(Metadata!F85="",FALSE,TRUE),OR(EXACT(Metadata!F85,"lo"),EXACT(Metadata!F85,"med"),EXACT(Metadata!F85,"hi"))))</f>
        <v>0</v>
      </c>
    </row>
    <row r="86" spans="1:21" x14ac:dyDescent="0.2">
      <c r="A86" s="4" t="str">
        <f ca="1">IF(B86=" "," ",HYPERLINK(CONCATENATE("#metadata!",ADDRESS(INDEX($L$2:$L$1001,MATCH(ROWS($J$2:J86),$J$2:$J$1001,0),0),1)),INDEX($O$2:$O$1001,MATCH(ROWS($J$2:J86),$J$2:$J$1001,0),0)))</f>
        <v xml:space="preserve"> </v>
      </c>
      <c r="B86" s="3" t="str">
        <f ca="1">IF(OR(INDEX($K$2:$K$1001,MATCH(ROWS($J$2:J86),$J$2:$J$1001,0),1)&gt;=100000,INDEX($Q$1005:$U$1005,1,MATCH(COLUMNS($Q$1006:Q1006),$Q$1006:$U$1006,0))&gt;=100000), " ",IF(INDEX($Q$2:$U$1001,MATCH(ROWS($J$2:J86),$J$2:$J$1001,0),MATCH(COLUMNS($Q$1006:Q1006),$Q$1006:$U$1006,0)), HYPERLINK("#",""), HYPERLINK(CONCATENATE("#Metadata!", ADDRESS(INDEX($L$2:$L$1001,MATCH(ROWS($J$2:J86),$J$2:$J$1001,0),0), INDEX($Q$1004:$U$1004,1,MATCH(COLUMNS($Q$1006:Q1006),$Q$1006:$U$1006,0)))),"Fix")))</f>
        <v xml:space="preserve"> </v>
      </c>
      <c r="C86" s="3" t="str">
        <f ca="1">IF(OR(INDEX($K$2:$K$1001,MATCH(ROWS($J$2:J86),$J$2:$J$1001,0),1)&gt;=100000,INDEX($Q$1005:$U$1005,1,MATCH(COLUMNS($Q$1006:R1006),$Q$1006:$U$1006,0))&gt;=100000), " ",IF(INDEX($Q$2:$U$1001,MATCH(ROWS($J$2:J86),$J$2:$J$1001,0),MATCH(COLUMNS($Q$1006:R1006),$Q$1006:$U$1006,0)), HYPERLINK("#",""), HYPERLINK(CONCATENATE("#Metadata!", ADDRESS(INDEX($L$2:$L$1001,MATCH(ROWS($J$2:J86),$J$2:$J$1001,0),0), INDEX($Q$1004:$U$1004,1,MATCH(COLUMNS($Q$1006:R1006),$Q$1006:$U$1006,0)))),"Fix")))</f>
        <v xml:space="preserve"> </v>
      </c>
      <c r="D86" s="3" t="str">
        <f ca="1">IF(OR(INDEX($K$2:$K$1001,MATCH(ROWS($J$2:J86),$J$2:$J$1001,0),1)&gt;=100000,INDEX($Q$1005:$U$1005,1,MATCH(COLUMNS($Q$1006:S1006),$Q$1006:$U$1006,0))&gt;=100000), " ",IF(INDEX($Q$2:$U$1001,MATCH(ROWS($J$2:J86),$J$2:$J$1001,0),MATCH(COLUMNS($Q$1006:S1006),$Q$1006:$U$1006,0)), HYPERLINK("#",""), HYPERLINK(CONCATENATE("#Metadata!", ADDRESS(INDEX($L$2:$L$1001,MATCH(ROWS($J$2:J86),$J$2:$J$1001,0),0), INDEX($Q$1004:$U$1004,1,MATCH(COLUMNS($Q$1006:S1006),$Q$1006:$U$1006,0)))),"Fix")))</f>
        <v xml:space="preserve"> </v>
      </c>
      <c r="E86" s="3" t="str">
        <f ca="1">IF(OR(INDEX($K$2:$K$1001,MATCH(ROWS($J$2:J86),$J$2:$J$1001,0),1)&gt;=100000,INDEX($Q$1005:$U$1005,1,MATCH(COLUMNS($Q$1006:T1006),$Q$1006:$U$1006,0))&gt;=100000), " ",IF(INDEX($Q$2:$U$1001,MATCH(ROWS($J$2:J86),$J$2:$J$1001,0),MATCH(COLUMNS($Q$1006:T1006),$Q$1006:$U$1006,0)), HYPERLINK("#",""), HYPERLINK(CONCATENATE("#Metadata!", ADDRESS(INDEX($L$2:$L$1001,MATCH(ROWS($J$2:J86),$J$2:$J$1001,0),0), INDEX($Q$1004:$U$1004,1,MATCH(COLUMNS($Q$1006:T1006),$Q$1006:$U$1006,0)))),"Fix")))</f>
        <v xml:space="preserve"> </v>
      </c>
      <c r="F86" s="3" t="str">
        <f ca="1">IF(OR(INDEX($K$2:$K$1001,MATCH(ROWS($J$2:J86),$J$2:$J$1001,0),1)&gt;=100000,INDEX($Q$1005:$U$1005,1,MATCH(COLUMNS($Q$1006:U1006),$Q$1006:$U$1006,0))&gt;=100000), " ",IF(INDEX($Q$2:$U$1001,MATCH(ROWS($J$2:J86),$J$2:$J$1001,0),MATCH(COLUMNS($Q$1006:U1006),$Q$1006:$U$1006,0)), HYPERLINK("#",""), HYPERLINK(CONCATENATE("#Metadata!", ADDRESS(INDEX($L$2:$L$1001,MATCH(ROWS($J$2:J86),$J$2:$J$1001,0),0), INDEX($Q$1004:$U$1004,1,MATCH(COLUMNS($Q$1006:U1006),$Q$1006:$U$1006,0)))),"Fix")))</f>
        <v xml:space="preserve"> </v>
      </c>
      <c r="J86">
        <f ca="1"/>
        <v>85</v>
      </c>
      <c r="K86">
        <v>100086</v>
      </c>
      <c r="L86">
        <v>86</v>
      </c>
      <c r="M86" t="b">
        <f t="shared" si="1"/>
        <v>1</v>
      </c>
      <c r="N86" t="b">
        <f>COUNTBLANK(Metadata!B86:F86)=COLUMNS(Metadata!B86:F86)</f>
        <v>1</v>
      </c>
      <c r="O86" t="str">
        <v/>
      </c>
      <c r="Q86" t="b">
        <f ca="1"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R86" t="b">
        <f>IF(Metadata!C86="",FALSE,TRUE)</f>
        <v>0</v>
      </c>
      <c r="S86" t="b">
        <f>OR(AND(IF(Metadata!D86="",FALSE,TRUE),EXACT(Metadata!D86,"missing: not collected")),AND(IF(Metadata!D86="",FALSE,TRUE),OR(EXACT(Metadata!D86,"t"),EXACT(Metadata!D86,"f"))))</f>
        <v>0</v>
      </c>
      <c r="T86" t="b">
        <f>AND(IF(Metadata!E86="",FALSE,TRUE),OR(EXACT(Metadata!E86,"a"),EXACT(Metadata!E86,"b")))</f>
        <v>0</v>
      </c>
      <c r="U86" t="b">
        <f>OR(AND(IF(Metadata!F86="",FALSE,TRUE),OR(EXACT(Metadata!F86,"missing: not collected"),EXACT(Metadata!F86,"missing: not provided"))),AND(IF(Metadata!F86="",FALSE,TRUE),OR(EXACT(Metadata!F86,"lo"),EXACT(Metadata!F86,"med"),EXACT(Metadata!F86,"hi"))))</f>
        <v>0</v>
      </c>
    </row>
    <row r="87" spans="1:21" x14ac:dyDescent="0.2">
      <c r="A87" s="4" t="str">
        <f ca="1">IF(B87=" "," ",HYPERLINK(CONCATENATE("#metadata!",ADDRESS(INDEX($L$2:$L$1001,MATCH(ROWS($J$2:J87),$J$2:$J$1001,0),0),1)),INDEX($O$2:$O$1001,MATCH(ROWS($J$2:J87),$J$2:$J$1001,0),0)))</f>
        <v xml:space="preserve"> </v>
      </c>
      <c r="B87" s="3" t="str">
        <f ca="1">IF(OR(INDEX($K$2:$K$1001,MATCH(ROWS($J$2:J87),$J$2:$J$1001,0),1)&gt;=100000,INDEX($Q$1005:$U$1005,1,MATCH(COLUMNS($Q$1006:Q1006),$Q$1006:$U$1006,0))&gt;=100000), " ",IF(INDEX($Q$2:$U$1001,MATCH(ROWS($J$2:J87),$J$2:$J$1001,0),MATCH(COLUMNS($Q$1006:Q1006),$Q$1006:$U$1006,0)), HYPERLINK("#",""), HYPERLINK(CONCATENATE("#Metadata!", ADDRESS(INDEX($L$2:$L$1001,MATCH(ROWS($J$2:J87),$J$2:$J$1001,0),0), INDEX($Q$1004:$U$1004,1,MATCH(COLUMNS($Q$1006:Q1006),$Q$1006:$U$1006,0)))),"Fix")))</f>
        <v xml:space="preserve"> </v>
      </c>
      <c r="C87" s="3" t="str">
        <f ca="1">IF(OR(INDEX($K$2:$K$1001,MATCH(ROWS($J$2:J87),$J$2:$J$1001,0),1)&gt;=100000,INDEX($Q$1005:$U$1005,1,MATCH(COLUMNS($Q$1006:R1006),$Q$1006:$U$1006,0))&gt;=100000), " ",IF(INDEX($Q$2:$U$1001,MATCH(ROWS($J$2:J87),$J$2:$J$1001,0),MATCH(COLUMNS($Q$1006:R1006),$Q$1006:$U$1006,0)), HYPERLINK("#",""), HYPERLINK(CONCATENATE("#Metadata!", ADDRESS(INDEX($L$2:$L$1001,MATCH(ROWS($J$2:J87),$J$2:$J$1001,0),0), INDEX($Q$1004:$U$1004,1,MATCH(COLUMNS($Q$1006:R1006),$Q$1006:$U$1006,0)))),"Fix")))</f>
        <v xml:space="preserve"> </v>
      </c>
      <c r="D87" s="3" t="str">
        <f ca="1">IF(OR(INDEX($K$2:$K$1001,MATCH(ROWS($J$2:J87),$J$2:$J$1001,0),1)&gt;=100000,INDEX($Q$1005:$U$1005,1,MATCH(COLUMNS($Q$1006:S1006),$Q$1006:$U$1006,0))&gt;=100000), " ",IF(INDEX($Q$2:$U$1001,MATCH(ROWS($J$2:J87),$J$2:$J$1001,0),MATCH(COLUMNS($Q$1006:S1006),$Q$1006:$U$1006,0)), HYPERLINK("#",""), HYPERLINK(CONCATENATE("#Metadata!", ADDRESS(INDEX($L$2:$L$1001,MATCH(ROWS($J$2:J87),$J$2:$J$1001,0),0), INDEX($Q$1004:$U$1004,1,MATCH(COLUMNS($Q$1006:S1006),$Q$1006:$U$1006,0)))),"Fix")))</f>
        <v xml:space="preserve"> </v>
      </c>
      <c r="E87" s="3" t="str">
        <f ca="1">IF(OR(INDEX($K$2:$K$1001,MATCH(ROWS($J$2:J87),$J$2:$J$1001,0),1)&gt;=100000,INDEX($Q$1005:$U$1005,1,MATCH(COLUMNS($Q$1006:T1006),$Q$1006:$U$1006,0))&gt;=100000), " ",IF(INDEX($Q$2:$U$1001,MATCH(ROWS($J$2:J87),$J$2:$J$1001,0),MATCH(COLUMNS($Q$1006:T1006),$Q$1006:$U$1006,0)), HYPERLINK("#",""), HYPERLINK(CONCATENATE("#Metadata!", ADDRESS(INDEX($L$2:$L$1001,MATCH(ROWS($J$2:J87),$J$2:$J$1001,0),0), INDEX($Q$1004:$U$1004,1,MATCH(COLUMNS($Q$1006:T1006),$Q$1006:$U$1006,0)))),"Fix")))</f>
        <v xml:space="preserve"> </v>
      </c>
      <c r="F87" s="3" t="str">
        <f ca="1">IF(OR(INDEX($K$2:$K$1001,MATCH(ROWS($J$2:J87),$J$2:$J$1001,0),1)&gt;=100000,INDEX($Q$1005:$U$1005,1,MATCH(COLUMNS($Q$1006:U1006),$Q$1006:$U$1006,0))&gt;=100000), " ",IF(INDEX($Q$2:$U$1001,MATCH(ROWS($J$2:J87),$J$2:$J$1001,0),MATCH(COLUMNS($Q$1006:U1006),$Q$1006:$U$1006,0)), HYPERLINK("#",""), HYPERLINK(CONCATENATE("#Metadata!", ADDRESS(INDEX($L$2:$L$1001,MATCH(ROWS($J$2:J87),$J$2:$J$1001,0),0), INDEX($Q$1004:$U$1004,1,MATCH(COLUMNS($Q$1006:U1006),$Q$1006:$U$1006,0)))),"Fix")))</f>
        <v xml:space="preserve"> </v>
      </c>
      <c r="J87">
        <f ca="1"/>
        <v>86</v>
      </c>
      <c r="K87">
        <v>100087</v>
      </c>
      <c r="L87">
        <v>87</v>
      </c>
      <c r="M87" t="b">
        <f t="shared" si="1"/>
        <v>1</v>
      </c>
      <c r="N87" t="b">
        <f>COUNTBLANK(Metadata!B87:F87)=COLUMNS(Metadata!B87:F87)</f>
        <v>1</v>
      </c>
      <c r="O87" t="str">
        <v/>
      </c>
      <c r="Q87" t="b">
        <f ca="1"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R87" t="b">
        <f>IF(Metadata!C87="",FALSE,TRUE)</f>
        <v>0</v>
      </c>
      <c r="S87" t="b">
        <f>OR(AND(IF(Metadata!D87="",FALSE,TRUE),EXACT(Metadata!D87,"missing: not collected")),AND(IF(Metadata!D87="",FALSE,TRUE),OR(EXACT(Metadata!D87,"t"),EXACT(Metadata!D87,"f"))))</f>
        <v>0</v>
      </c>
      <c r="T87" t="b">
        <f>AND(IF(Metadata!E87="",FALSE,TRUE),OR(EXACT(Metadata!E87,"a"),EXACT(Metadata!E87,"b")))</f>
        <v>0</v>
      </c>
      <c r="U87" t="b">
        <f>OR(AND(IF(Metadata!F87="",FALSE,TRUE),OR(EXACT(Metadata!F87,"missing: not collected"),EXACT(Metadata!F87,"missing: not provided"))),AND(IF(Metadata!F87="",FALSE,TRUE),OR(EXACT(Metadata!F87,"lo"),EXACT(Metadata!F87,"med"),EXACT(Metadata!F87,"hi"))))</f>
        <v>0</v>
      </c>
    </row>
    <row r="88" spans="1:21" x14ac:dyDescent="0.2">
      <c r="A88" s="4" t="str">
        <f ca="1">IF(B88=" "," ",HYPERLINK(CONCATENATE("#metadata!",ADDRESS(INDEX($L$2:$L$1001,MATCH(ROWS($J$2:J88),$J$2:$J$1001,0),0),1)),INDEX($O$2:$O$1001,MATCH(ROWS($J$2:J88),$J$2:$J$1001,0),0)))</f>
        <v xml:space="preserve"> </v>
      </c>
      <c r="B88" s="3" t="str">
        <f ca="1">IF(OR(INDEX($K$2:$K$1001,MATCH(ROWS($J$2:J88),$J$2:$J$1001,0),1)&gt;=100000,INDEX($Q$1005:$U$1005,1,MATCH(COLUMNS($Q$1006:Q1006),$Q$1006:$U$1006,0))&gt;=100000), " ",IF(INDEX($Q$2:$U$1001,MATCH(ROWS($J$2:J88),$J$2:$J$1001,0),MATCH(COLUMNS($Q$1006:Q1006),$Q$1006:$U$1006,0)), HYPERLINK("#",""), HYPERLINK(CONCATENATE("#Metadata!", ADDRESS(INDEX($L$2:$L$1001,MATCH(ROWS($J$2:J88),$J$2:$J$1001,0),0), INDEX($Q$1004:$U$1004,1,MATCH(COLUMNS($Q$1006:Q1006),$Q$1006:$U$1006,0)))),"Fix")))</f>
        <v xml:space="preserve"> </v>
      </c>
      <c r="C88" s="3" t="str">
        <f ca="1">IF(OR(INDEX($K$2:$K$1001,MATCH(ROWS($J$2:J88),$J$2:$J$1001,0),1)&gt;=100000,INDEX($Q$1005:$U$1005,1,MATCH(COLUMNS($Q$1006:R1006),$Q$1006:$U$1006,0))&gt;=100000), " ",IF(INDEX($Q$2:$U$1001,MATCH(ROWS($J$2:J88),$J$2:$J$1001,0),MATCH(COLUMNS($Q$1006:R1006),$Q$1006:$U$1006,0)), HYPERLINK("#",""), HYPERLINK(CONCATENATE("#Metadata!", ADDRESS(INDEX($L$2:$L$1001,MATCH(ROWS($J$2:J88),$J$2:$J$1001,0),0), INDEX($Q$1004:$U$1004,1,MATCH(COLUMNS($Q$1006:R1006),$Q$1006:$U$1006,0)))),"Fix")))</f>
        <v xml:space="preserve"> </v>
      </c>
      <c r="D88" s="3" t="str">
        <f ca="1">IF(OR(INDEX($K$2:$K$1001,MATCH(ROWS($J$2:J88),$J$2:$J$1001,0),1)&gt;=100000,INDEX($Q$1005:$U$1005,1,MATCH(COLUMNS($Q$1006:S1006),$Q$1006:$U$1006,0))&gt;=100000), " ",IF(INDEX($Q$2:$U$1001,MATCH(ROWS($J$2:J88),$J$2:$J$1001,0),MATCH(COLUMNS($Q$1006:S1006),$Q$1006:$U$1006,0)), HYPERLINK("#",""), HYPERLINK(CONCATENATE("#Metadata!", ADDRESS(INDEX($L$2:$L$1001,MATCH(ROWS($J$2:J88),$J$2:$J$1001,0),0), INDEX($Q$1004:$U$1004,1,MATCH(COLUMNS($Q$1006:S1006),$Q$1006:$U$1006,0)))),"Fix")))</f>
        <v xml:space="preserve"> </v>
      </c>
      <c r="E88" s="3" t="str">
        <f ca="1">IF(OR(INDEX($K$2:$K$1001,MATCH(ROWS($J$2:J88),$J$2:$J$1001,0),1)&gt;=100000,INDEX($Q$1005:$U$1005,1,MATCH(COLUMNS($Q$1006:T1006),$Q$1006:$U$1006,0))&gt;=100000), " ",IF(INDEX($Q$2:$U$1001,MATCH(ROWS($J$2:J88),$J$2:$J$1001,0),MATCH(COLUMNS($Q$1006:T1006),$Q$1006:$U$1006,0)), HYPERLINK("#",""), HYPERLINK(CONCATENATE("#Metadata!", ADDRESS(INDEX($L$2:$L$1001,MATCH(ROWS($J$2:J88),$J$2:$J$1001,0),0), INDEX($Q$1004:$U$1004,1,MATCH(COLUMNS($Q$1006:T1006),$Q$1006:$U$1006,0)))),"Fix")))</f>
        <v xml:space="preserve"> </v>
      </c>
      <c r="F88" s="3" t="str">
        <f ca="1">IF(OR(INDEX($K$2:$K$1001,MATCH(ROWS($J$2:J88),$J$2:$J$1001,0),1)&gt;=100000,INDEX($Q$1005:$U$1005,1,MATCH(COLUMNS($Q$1006:U1006),$Q$1006:$U$1006,0))&gt;=100000), " ",IF(INDEX($Q$2:$U$1001,MATCH(ROWS($J$2:J88),$J$2:$J$1001,0),MATCH(COLUMNS($Q$1006:U1006),$Q$1006:$U$1006,0)), HYPERLINK("#",""), HYPERLINK(CONCATENATE("#Metadata!", ADDRESS(INDEX($L$2:$L$1001,MATCH(ROWS($J$2:J88),$J$2:$J$1001,0),0), INDEX($Q$1004:$U$1004,1,MATCH(COLUMNS($Q$1006:U1006),$Q$1006:$U$1006,0)))),"Fix")))</f>
        <v xml:space="preserve"> </v>
      </c>
      <c r="J88">
        <f ca="1"/>
        <v>87</v>
      </c>
      <c r="K88">
        <v>100088</v>
      </c>
      <c r="L88">
        <v>88</v>
      </c>
      <c r="M88" t="b">
        <f t="shared" si="1"/>
        <v>1</v>
      </c>
      <c r="N88" t="b">
        <f>COUNTBLANK(Metadata!B88:F88)=COLUMNS(Metadata!B88:F88)</f>
        <v>1</v>
      </c>
      <c r="O88" t="str">
        <v/>
      </c>
      <c r="Q88" t="b">
        <f ca="1"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R88" t="b">
        <f>IF(Metadata!C88="",FALSE,TRUE)</f>
        <v>0</v>
      </c>
      <c r="S88" t="b">
        <f>OR(AND(IF(Metadata!D88="",FALSE,TRUE),EXACT(Metadata!D88,"missing: not collected")),AND(IF(Metadata!D88="",FALSE,TRUE),OR(EXACT(Metadata!D88,"t"),EXACT(Metadata!D88,"f"))))</f>
        <v>0</v>
      </c>
      <c r="T88" t="b">
        <f>AND(IF(Metadata!E88="",FALSE,TRUE),OR(EXACT(Metadata!E88,"a"),EXACT(Metadata!E88,"b")))</f>
        <v>0</v>
      </c>
      <c r="U88" t="b">
        <f>OR(AND(IF(Metadata!F88="",FALSE,TRUE),OR(EXACT(Metadata!F88,"missing: not collected"),EXACT(Metadata!F88,"missing: not provided"))),AND(IF(Metadata!F88="",FALSE,TRUE),OR(EXACT(Metadata!F88,"lo"),EXACT(Metadata!F88,"med"),EXACT(Metadata!F88,"hi"))))</f>
        <v>0</v>
      </c>
    </row>
    <row r="89" spans="1:21" x14ac:dyDescent="0.2">
      <c r="A89" s="4" t="str">
        <f ca="1">IF(B89=" "," ",HYPERLINK(CONCATENATE("#metadata!",ADDRESS(INDEX($L$2:$L$1001,MATCH(ROWS($J$2:J89),$J$2:$J$1001,0),0),1)),INDEX($O$2:$O$1001,MATCH(ROWS($J$2:J89),$J$2:$J$1001,0),0)))</f>
        <v xml:space="preserve"> </v>
      </c>
      <c r="B89" s="3" t="str">
        <f ca="1">IF(OR(INDEX($K$2:$K$1001,MATCH(ROWS($J$2:J89),$J$2:$J$1001,0),1)&gt;=100000,INDEX($Q$1005:$U$1005,1,MATCH(COLUMNS($Q$1006:Q1006),$Q$1006:$U$1006,0))&gt;=100000), " ",IF(INDEX($Q$2:$U$1001,MATCH(ROWS($J$2:J89),$J$2:$J$1001,0),MATCH(COLUMNS($Q$1006:Q1006),$Q$1006:$U$1006,0)), HYPERLINK("#",""), HYPERLINK(CONCATENATE("#Metadata!", ADDRESS(INDEX($L$2:$L$1001,MATCH(ROWS($J$2:J89),$J$2:$J$1001,0),0), INDEX($Q$1004:$U$1004,1,MATCH(COLUMNS($Q$1006:Q1006),$Q$1006:$U$1006,0)))),"Fix")))</f>
        <v xml:space="preserve"> </v>
      </c>
      <c r="C89" s="3" t="str">
        <f ca="1">IF(OR(INDEX($K$2:$K$1001,MATCH(ROWS($J$2:J89),$J$2:$J$1001,0),1)&gt;=100000,INDEX($Q$1005:$U$1005,1,MATCH(COLUMNS($Q$1006:R1006),$Q$1006:$U$1006,0))&gt;=100000), " ",IF(INDEX($Q$2:$U$1001,MATCH(ROWS($J$2:J89),$J$2:$J$1001,0),MATCH(COLUMNS($Q$1006:R1006),$Q$1006:$U$1006,0)), HYPERLINK("#",""), HYPERLINK(CONCATENATE("#Metadata!", ADDRESS(INDEX($L$2:$L$1001,MATCH(ROWS($J$2:J89),$J$2:$J$1001,0),0), INDEX($Q$1004:$U$1004,1,MATCH(COLUMNS($Q$1006:R1006),$Q$1006:$U$1006,0)))),"Fix")))</f>
        <v xml:space="preserve"> </v>
      </c>
      <c r="D89" s="3" t="str">
        <f ca="1">IF(OR(INDEX($K$2:$K$1001,MATCH(ROWS($J$2:J89),$J$2:$J$1001,0),1)&gt;=100000,INDEX($Q$1005:$U$1005,1,MATCH(COLUMNS($Q$1006:S1006),$Q$1006:$U$1006,0))&gt;=100000), " ",IF(INDEX($Q$2:$U$1001,MATCH(ROWS($J$2:J89),$J$2:$J$1001,0),MATCH(COLUMNS($Q$1006:S1006),$Q$1006:$U$1006,0)), HYPERLINK("#",""), HYPERLINK(CONCATENATE("#Metadata!", ADDRESS(INDEX($L$2:$L$1001,MATCH(ROWS($J$2:J89),$J$2:$J$1001,0),0), INDEX($Q$1004:$U$1004,1,MATCH(COLUMNS($Q$1006:S1006),$Q$1006:$U$1006,0)))),"Fix")))</f>
        <v xml:space="preserve"> </v>
      </c>
      <c r="E89" s="3" t="str">
        <f ca="1">IF(OR(INDEX($K$2:$K$1001,MATCH(ROWS($J$2:J89),$J$2:$J$1001,0),1)&gt;=100000,INDEX($Q$1005:$U$1005,1,MATCH(COLUMNS($Q$1006:T1006),$Q$1006:$U$1006,0))&gt;=100000), " ",IF(INDEX($Q$2:$U$1001,MATCH(ROWS($J$2:J89),$J$2:$J$1001,0),MATCH(COLUMNS($Q$1006:T1006),$Q$1006:$U$1006,0)), HYPERLINK("#",""), HYPERLINK(CONCATENATE("#Metadata!", ADDRESS(INDEX($L$2:$L$1001,MATCH(ROWS($J$2:J89),$J$2:$J$1001,0),0), INDEX($Q$1004:$U$1004,1,MATCH(COLUMNS($Q$1006:T1006),$Q$1006:$U$1006,0)))),"Fix")))</f>
        <v xml:space="preserve"> </v>
      </c>
      <c r="F89" s="3" t="str">
        <f ca="1">IF(OR(INDEX($K$2:$K$1001,MATCH(ROWS($J$2:J89),$J$2:$J$1001,0),1)&gt;=100000,INDEX($Q$1005:$U$1005,1,MATCH(COLUMNS($Q$1006:U1006),$Q$1006:$U$1006,0))&gt;=100000), " ",IF(INDEX($Q$2:$U$1001,MATCH(ROWS($J$2:J89),$J$2:$J$1001,0),MATCH(COLUMNS($Q$1006:U1006),$Q$1006:$U$1006,0)), HYPERLINK("#",""), HYPERLINK(CONCATENATE("#Metadata!", ADDRESS(INDEX($L$2:$L$1001,MATCH(ROWS($J$2:J89),$J$2:$J$1001,0),0), INDEX($Q$1004:$U$1004,1,MATCH(COLUMNS($Q$1006:U1006),$Q$1006:$U$1006,0)))),"Fix")))</f>
        <v xml:space="preserve"> </v>
      </c>
      <c r="J89">
        <f ca="1"/>
        <v>88</v>
      </c>
      <c r="K89">
        <v>100089</v>
      </c>
      <c r="L89">
        <v>89</v>
      </c>
      <c r="M89" t="b">
        <f t="shared" si="1"/>
        <v>1</v>
      </c>
      <c r="N89" t="b">
        <f>COUNTBLANK(Metadata!B89:F89)=COLUMNS(Metadata!B89:F89)</f>
        <v>1</v>
      </c>
      <c r="O89" t="str">
        <v/>
      </c>
      <c r="Q89" t="b">
        <f ca="1"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R89" t="b">
        <f>IF(Metadata!C89="",FALSE,TRUE)</f>
        <v>0</v>
      </c>
      <c r="S89" t="b">
        <f>OR(AND(IF(Metadata!D89="",FALSE,TRUE),EXACT(Metadata!D89,"missing: not collected")),AND(IF(Metadata!D89="",FALSE,TRUE),OR(EXACT(Metadata!D89,"t"),EXACT(Metadata!D89,"f"))))</f>
        <v>0</v>
      </c>
      <c r="T89" t="b">
        <f>AND(IF(Metadata!E89="",FALSE,TRUE),OR(EXACT(Metadata!E89,"a"),EXACT(Metadata!E89,"b")))</f>
        <v>0</v>
      </c>
      <c r="U89" t="b">
        <f>OR(AND(IF(Metadata!F89="",FALSE,TRUE),OR(EXACT(Metadata!F89,"missing: not collected"),EXACT(Metadata!F89,"missing: not provided"))),AND(IF(Metadata!F89="",FALSE,TRUE),OR(EXACT(Metadata!F89,"lo"),EXACT(Metadata!F89,"med"),EXACT(Metadata!F89,"hi"))))</f>
        <v>0</v>
      </c>
    </row>
    <row r="90" spans="1:21" x14ac:dyDescent="0.2">
      <c r="A90" s="4" t="str">
        <f ca="1">IF(B90=" "," ",HYPERLINK(CONCATENATE("#metadata!",ADDRESS(INDEX($L$2:$L$1001,MATCH(ROWS($J$2:J90),$J$2:$J$1001,0),0),1)),INDEX($O$2:$O$1001,MATCH(ROWS($J$2:J90),$J$2:$J$1001,0),0)))</f>
        <v xml:space="preserve"> </v>
      </c>
      <c r="B90" s="3" t="str">
        <f ca="1">IF(OR(INDEX($K$2:$K$1001,MATCH(ROWS($J$2:J90),$J$2:$J$1001,0),1)&gt;=100000,INDEX($Q$1005:$U$1005,1,MATCH(COLUMNS($Q$1006:Q1006),$Q$1006:$U$1006,0))&gt;=100000), " ",IF(INDEX($Q$2:$U$1001,MATCH(ROWS($J$2:J90),$J$2:$J$1001,0),MATCH(COLUMNS($Q$1006:Q1006),$Q$1006:$U$1006,0)), HYPERLINK("#",""), HYPERLINK(CONCATENATE("#Metadata!", ADDRESS(INDEX($L$2:$L$1001,MATCH(ROWS($J$2:J90),$J$2:$J$1001,0),0), INDEX($Q$1004:$U$1004,1,MATCH(COLUMNS($Q$1006:Q1006),$Q$1006:$U$1006,0)))),"Fix")))</f>
        <v xml:space="preserve"> </v>
      </c>
      <c r="C90" s="3" t="str">
        <f ca="1">IF(OR(INDEX($K$2:$K$1001,MATCH(ROWS($J$2:J90),$J$2:$J$1001,0),1)&gt;=100000,INDEX($Q$1005:$U$1005,1,MATCH(COLUMNS($Q$1006:R1006),$Q$1006:$U$1006,0))&gt;=100000), " ",IF(INDEX($Q$2:$U$1001,MATCH(ROWS($J$2:J90),$J$2:$J$1001,0),MATCH(COLUMNS($Q$1006:R1006),$Q$1006:$U$1006,0)), HYPERLINK("#",""), HYPERLINK(CONCATENATE("#Metadata!", ADDRESS(INDEX($L$2:$L$1001,MATCH(ROWS($J$2:J90),$J$2:$J$1001,0),0), INDEX($Q$1004:$U$1004,1,MATCH(COLUMNS($Q$1006:R1006),$Q$1006:$U$1006,0)))),"Fix")))</f>
        <v xml:space="preserve"> </v>
      </c>
      <c r="D90" s="3" t="str">
        <f ca="1">IF(OR(INDEX($K$2:$K$1001,MATCH(ROWS($J$2:J90),$J$2:$J$1001,0),1)&gt;=100000,INDEX($Q$1005:$U$1005,1,MATCH(COLUMNS($Q$1006:S1006),$Q$1006:$U$1006,0))&gt;=100000), " ",IF(INDEX($Q$2:$U$1001,MATCH(ROWS($J$2:J90),$J$2:$J$1001,0),MATCH(COLUMNS($Q$1006:S1006),$Q$1006:$U$1006,0)), HYPERLINK("#",""), HYPERLINK(CONCATENATE("#Metadata!", ADDRESS(INDEX($L$2:$L$1001,MATCH(ROWS($J$2:J90),$J$2:$J$1001,0),0), INDEX($Q$1004:$U$1004,1,MATCH(COLUMNS($Q$1006:S1006),$Q$1006:$U$1006,0)))),"Fix")))</f>
        <v xml:space="preserve"> </v>
      </c>
      <c r="E90" s="3" t="str">
        <f ca="1">IF(OR(INDEX($K$2:$K$1001,MATCH(ROWS($J$2:J90),$J$2:$J$1001,0),1)&gt;=100000,INDEX($Q$1005:$U$1005,1,MATCH(COLUMNS($Q$1006:T1006),$Q$1006:$U$1006,0))&gt;=100000), " ",IF(INDEX($Q$2:$U$1001,MATCH(ROWS($J$2:J90),$J$2:$J$1001,0),MATCH(COLUMNS($Q$1006:T1006),$Q$1006:$U$1006,0)), HYPERLINK("#",""), HYPERLINK(CONCATENATE("#Metadata!", ADDRESS(INDEX($L$2:$L$1001,MATCH(ROWS($J$2:J90),$J$2:$J$1001,0),0), INDEX($Q$1004:$U$1004,1,MATCH(COLUMNS($Q$1006:T1006),$Q$1006:$U$1006,0)))),"Fix")))</f>
        <v xml:space="preserve"> </v>
      </c>
      <c r="F90" s="3" t="str">
        <f ca="1">IF(OR(INDEX($K$2:$K$1001,MATCH(ROWS($J$2:J90),$J$2:$J$1001,0),1)&gt;=100000,INDEX($Q$1005:$U$1005,1,MATCH(COLUMNS($Q$1006:U1006),$Q$1006:$U$1006,0))&gt;=100000), " ",IF(INDEX($Q$2:$U$1001,MATCH(ROWS($J$2:J90),$J$2:$J$1001,0),MATCH(COLUMNS($Q$1006:U1006),$Q$1006:$U$1006,0)), HYPERLINK("#",""), HYPERLINK(CONCATENATE("#Metadata!", ADDRESS(INDEX($L$2:$L$1001,MATCH(ROWS($J$2:J90),$J$2:$J$1001,0),0), INDEX($Q$1004:$U$1004,1,MATCH(COLUMNS($Q$1006:U1006),$Q$1006:$U$1006,0)))),"Fix")))</f>
        <v xml:space="preserve"> </v>
      </c>
      <c r="J90">
        <f ca="1"/>
        <v>89</v>
      </c>
      <c r="K90">
        <v>100090</v>
      </c>
      <c r="L90">
        <v>90</v>
      </c>
      <c r="M90" t="b">
        <f t="shared" si="1"/>
        <v>1</v>
      </c>
      <c r="N90" t="b">
        <f>COUNTBLANK(Metadata!B90:F90)=COLUMNS(Metadata!B90:F90)</f>
        <v>1</v>
      </c>
      <c r="O90" t="str">
        <v/>
      </c>
      <c r="Q90" t="b">
        <f ca="1"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R90" t="b">
        <f>IF(Metadata!C90="",FALSE,TRUE)</f>
        <v>0</v>
      </c>
      <c r="S90" t="b">
        <f>OR(AND(IF(Metadata!D90="",FALSE,TRUE),EXACT(Metadata!D90,"missing: not collected")),AND(IF(Metadata!D90="",FALSE,TRUE),OR(EXACT(Metadata!D90,"t"),EXACT(Metadata!D90,"f"))))</f>
        <v>0</v>
      </c>
      <c r="T90" t="b">
        <f>AND(IF(Metadata!E90="",FALSE,TRUE),OR(EXACT(Metadata!E90,"a"),EXACT(Metadata!E90,"b")))</f>
        <v>0</v>
      </c>
      <c r="U90" t="b">
        <f>OR(AND(IF(Metadata!F90="",FALSE,TRUE),OR(EXACT(Metadata!F90,"missing: not collected"),EXACT(Metadata!F90,"missing: not provided"))),AND(IF(Metadata!F90="",FALSE,TRUE),OR(EXACT(Metadata!F90,"lo"),EXACT(Metadata!F90,"med"),EXACT(Metadata!F90,"hi"))))</f>
        <v>0</v>
      </c>
    </row>
    <row r="91" spans="1:21" x14ac:dyDescent="0.2">
      <c r="A91" s="4" t="str">
        <f ca="1">IF(B91=" "," ",HYPERLINK(CONCATENATE("#metadata!",ADDRESS(INDEX($L$2:$L$1001,MATCH(ROWS($J$2:J91),$J$2:$J$1001,0),0),1)),INDEX($O$2:$O$1001,MATCH(ROWS($J$2:J91),$J$2:$J$1001,0),0)))</f>
        <v xml:space="preserve"> </v>
      </c>
      <c r="B91" s="3" t="str">
        <f ca="1">IF(OR(INDEX($K$2:$K$1001,MATCH(ROWS($J$2:J91),$J$2:$J$1001,0),1)&gt;=100000,INDEX($Q$1005:$U$1005,1,MATCH(COLUMNS($Q$1006:Q1006),$Q$1006:$U$1006,0))&gt;=100000), " ",IF(INDEX($Q$2:$U$1001,MATCH(ROWS($J$2:J91),$J$2:$J$1001,0),MATCH(COLUMNS($Q$1006:Q1006),$Q$1006:$U$1006,0)), HYPERLINK("#",""), HYPERLINK(CONCATENATE("#Metadata!", ADDRESS(INDEX($L$2:$L$1001,MATCH(ROWS($J$2:J91),$J$2:$J$1001,0),0), INDEX($Q$1004:$U$1004,1,MATCH(COLUMNS($Q$1006:Q1006),$Q$1006:$U$1006,0)))),"Fix")))</f>
        <v xml:space="preserve"> </v>
      </c>
      <c r="C91" s="3" t="str">
        <f ca="1">IF(OR(INDEX($K$2:$K$1001,MATCH(ROWS($J$2:J91),$J$2:$J$1001,0),1)&gt;=100000,INDEX($Q$1005:$U$1005,1,MATCH(COLUMNS($Q$1006:R1006),$Q$1006:$U$1006,0))&gt;=100000), " ",IF(INDEX($Q$2:$U$1001,MATCH(ROWS($J$2:J91),$J$2:$J$1001,0),MATCH(COLUMNS($Q$1006:R1006),$Q$1006:$U$1006,0)), HYPERLINK("#",""), HYPERLINK(CONCATENATE("#Metadata!", ADDRESS(INDEX($L$2:$L$1001,MATCH(ROWS($J$2:J91),$J$2:$J$1001,0),0), INDEX($Q$1004:$U$1004,1,MATCH(COLUMNS($Q$1006:R1006),$Q$1006:$U$1006,0)))),"Fix")))</f>
        <v xml:space="preserve"> </v>
      </c>
      <c r="D91" s="3" t="str">
        <f ca="1">IF(OR(INDEX($K$2:$K$1001,MATCH(ROWS($J$2:J91),$J$2:$J$1001,0),1)&gt;=100000,INDEX($Q$1005:$U$1005,1,MATCH(COLUMNS($Q$1006:S1006),$Q$1006:$U$1006,0))&gt;=100000), " ",IF(INDEX($Q$2:$U$1001,MATCH(ROWS($J$2:J91),$J$2:$J$1001,0),MATCH(COLUMNS($Q$1006:S1006),$Q$1006:$U$1006,0)), HYPERLINK("#",""), HYPERLINK(CONCATENATE("#Metadata!", ADDRESS(INDEX($L$2:$L$1001,MATCH(ROWS($J$2:J91),$J$2:$J$1001,0),0), INDEX($Q$1004:$U$1004,1,MATCH(COLUMNS($Q$1006:S1006),$Q$1006:$U$1006,0)))),"Fix")))</f>
        <v xml:space="preserve"> </v>
      </c>
      <c r="E91" s="3" t="str">
        <f ca="1">IF(OR(INDEX($K$2:$K$1001,MATCH(ROWS($J$2:J91),$J$2:$J$1001,0),1)&gt;=100000,INDEX($Q$1005:$U$1005,1,MATCH(COLUMNS($Q$1006:T1006),$Q$1006:$U$1006,0))&gt;=100000), " ",IF(INDEX($Q$2:$U$1001,MATCH(ROWS($J$2:J91),$J$2:$J$1001,0),MATCH(COLUMNS($Q$1006:T1006),$Q$1006:$U$1006,0)), HYPERLINK("#",""), HYPERLINK(CONCATENATE("#Metadata!", ADDRESS(INDEX($L$2:$L$1001,MATCH(ROWS($J$2:J91),$J$2:$J$1001,0),0), INDEX($Q$1004:$U$1004,1,MATCH(COLUMNS($Q$1006:T1006),$Q$1006:$U$1006,0)))),"Fix")))</f>
        <v xml:space="preserve"> </v>
      </c>
      <c r="F91" s="3" t="str">
        <f ca="1">IF(OR(INDEX($K$2:$K$1001,MATCH(ROWS($J$2:J91),$J$2:$J$1001,0),1)&gt;=100000,INDEX($Q$1005:$U$1005,1,MATCH(COLUMNS($Q$1006:U1006),$Q$1006:$U$1006,0))&gt;=100000), " ",IF(INDEX($Q$2:$U$1001,MATCH(ROWS($J$2:J91),$J$2:$J$1001,0),MATCH(COLUMNS($Q$1006:U1006),$Q$1006:$U$1006,0)), HYPERLINK("#",""), HYPERLINK(CONCATENATE("#Metadata!", ADDRESS(INDEX($L$2:$L$1001,MATCH(ROWS($J$2:J91),$J$2:$J$1001,0),0), INDEX($Q$1004:$U$1004,1,MATCH(COLUMNS($Q$1006:U1006),$Q$1006:$U$1006,0)))),"Fix")))</f>
        <v xml:space="preserve"> </v>
      </c>
      <c r="J91">
        <f ca="1"/>
        <v>90</v>
      </c>
      <c r="K91">
        <v>100091</v>
      </c>
      <c r="L91">
        <v>91</v>
      </c>
      <c r="M91" t="b">
        <f t="shared" si="1"/>
        <v>1</v>
      </c>
      <c r="N91" t="b">
        <f>COUNTBLANK(Metadata!B91:F91)=COLUMNS(Metadata!B91:F91)</f>
        <v>1</v>
      </c>
      <c r="O91" t="str">
        <v/>
      </c>
      <c r="Q91" t="b">
        <f ca="1"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R91" t="b">
        <f>IF(Metadata!C91="",FALSE,TRUE)</f>
        <v>0</v>
      </c>
      <c r="S91" t="b">
        <f>OR(AND(IF(Metadata!D91="",FALSE,TRUE),EXACT(Metadata!D91,"missing: not collected")),AND(IF(Metadata!D91="",FALSE,TRUE),OR(EXACT(Metadata!D91,"t"),EXACT(Metadata!D91,"f"))))</f>
        <v>0</v>
      </c>
      <c r="T91" t="b">
        <f>AND(IF(Metadata!E91="",FALSE,TRUE),OR(EXACT(Metadata!E91,"a"),EXACT(Metadata!E91,"b")))</f>
        <v>0</v>
      </c>
      <c r="U91" t="b">
        <f>OR(AND(IF(Metadata!F91="",FALSE,TRUE),OR(EXACT(Metadata!F91,"missing: not collected"),EXACT(Metadata!F91,"missing: not provided"))),AND(IF(Metadata!F91="",FALSE,TRUE),OR(EXACT(Metadata!F91,"lo"),EXACT(Metadata!F91,"med"),EXACT(Metadata!F91,"hi"))))</f>
        <v>0</v>
      </c>
    </row>
    <row r="92" spans="1:21" x14ac:dyDescent="0.2">
      <c r="A92" s="4" t="str">
        <f ca="1">IF(B92=" "," ",HYPERLINK(CONCATENATE("#metadata!",ADDRESS(INDEX($L$2:$L$1001,MATCH(ROWS($J$2:J92),$J$2:$J$1001,0),0),1)),INDEX($O$2:$O$1001,MATCH(ROWS($J$2:J92),$J$2:$J$1001,0),0)))</f>
        <v xml:space="preserve"> </v>
      </c>
      <c r="B92" s="3" t="str">
        <f ca="1">IF(OR(INDEX($K$2:$K$1001,MATCH(ROWS($J$2:J92),$J$2:$J$1001,0),1)&gt;=100000,INDEX($Q$1005:$U$1005,1,MATCH(COLUMNS($Q$1006:Q1006),$Q$1006:$U$1006,0))&gt;=100000), " ",IF(INDEX($Q$2:$U$1001,MATCH(ROWS($J$2:J92),$J$2:$J$1001,0),MATCH(COLUMNS($Q$1006:Q1006),$Q$1006:$U$1006,0)), HYPERLINK("#",""), HYPERLINK(CONCATENATE("#Metadata!", ADDRESS(INDEX($L$2:$L$1001,MATCH(ROWS($J$2:J92),$J$2:$J$1001,0),0), INDEX($Q$1004:$U$1004,1,MATCH(COLUMNS($Q$1006:Q1006),$Q$1006:$U$1006,0)))),"Fix")))</f>
        <v xml:space="preserve"> </v>
      </c>
      <c r="C92" s="3" t="str">
        <f ca="1">IF(OR(INDEX($K$2:$K$1001,MATCH(ROWS($J$2:J92),$J$2:$J$1001,0),1)&gt;=100000,INDEX($Q$1005:$U$1005,1,MATCH(COLUMNS($Q$1006:R1006),$Q$1006:$U$1006,0))&gt;=100000), " ",IF(INDEX($Q$2:$U$1001,MATCH(ROWS($J$2:J92),$J$2:$J$1001,0),MATCH(COLUMNS($Q$1006:R1006),$Q$1006:$U$1006,0)), HYPERLINK("#",""), HYPERLINK(CONCATENATE("#Metadata!", ADDRESS(INDEX($L$2:$L$1001,MATCH(ROWS($J$2:J92),$J$2:$J$1001,0),0), INDEX($Q$1004:$U$1004,1,MATCH(COLUMNS($Q$1006:R1006),$Q$1006:$U$1006,0)))),"Fix")))</f>
        <v xml:space="preserve"> </v>
      </c>
      <c r="D92" s="3" t="str">
        <f ca="1">IF(OR(INDEX($K$2:$K$1001,MATCH(ROWS($J$2:J92),$J$2:$J$1001,0),1)&gt;=100000,INDEX($Q$1005:$U$1005,1,MATCH(COLUMNS($Q$1006:S1006),$Q$1006:$U$1006,0))&gt;=100000), " ",IF(INDEX($Q$2:$U$1001,MATCH(ROWS($J$2:J92),$J$2:$J$1001,0),MATCH(COLUMNS($Q$1006:S1006),$Q$1006:$U$1006,0)), HYPERLINK("#",""), HYPERLINK(CONCATENATE("#Metadata!", ADDRESS(INDEX($L$2:$L$1001,MATCH(ROWS($J$2:J92),$J$2:$J$1001,0),0), INDEX($Q$1004:$U$1004,1,MATCH(COLUMNS($Q$1006:S1006),$Q$1006:$U$1006,0)))),"Fix")))</f>
        <v xml:space="preserve"> </v>
      </c>
      <c r="E92" s="3" t="str">
        <f ca="1">IF(OR(INDEX($K$2:$K$1001,MATCH(ROWS($J$2:J92),$J$2:$J$1001,0),1)&gt;=100000,INDEX($Q$1005:$U$1005,1,MATCH(COLUMNS($Q$1006:T1006),$Q$1006:$U$1006,0))&gt;=100000), " ",IF(INDEX($Q$2:$U$1001,MATCH(ROWS($J$2:J92),$J$2:$J$1001,0),MATCH(COLUMNS($Q$1006:T1006),$Q$1006:$U$1006,0)), HYPERLINK("#",""), HYPERLINK(CONCATENATE("#Metadata!", ADDRESS(INDEX($L$2:$L$1001,MATCH(ROWS($J$2:J92),$J$2:$J$1001,0),0), INDEX($Q$1004:$U$1004,1,MATCH(COLUMNS($Q$1006:T1006),$Q$1006:$U$1006,0)))),"Fix")))</f>
        <v xml:space="preserve"> </v>
      </c>
      <c r="F92" s="3" t="str">
        <f ca="1">IF(OR(INDEX($K$2:$K$1001,MATCH(ROWS($J$2:J92),$J$2:$J$1001,0),1)&gt;=100000,INDEX($Q$1005:$U$1005,1,MATCH(COLUMNS($Q$1006:U1006),$Q$1006:$U$1006,0))&gt;=100000), " ",IF(INDEX($Q$2:$U$1001,MATCH(ROWS($J$2:J92),$J$2:$J$1001,0),MATCH(COLUMNS($Q$1006:U1006),$Q$1006:$U$1006,0)), HYPERLINK("#",""), HYPERLINK(CONCATENATE("#Metadata!", ADDRESS(INDEX($L$2:$L$1001,MATCH(ROWS($J$2:J92),$J$2:$J$1001,0),0), INDEX($Q$1004:$U$1004,1,MATCH(COLUMNS($Q$1006:U1006),$Q$1006:$U$1006,0)))),"Fix")))</f>
        <v xml:space="preserve"> </v>
      </c>
      <c r="J92">
        <f ca="1"/>
        <v>91</v>
      </c>
      <c r="K92">
        <v>100092</v>
      </c>
      <c r="L92">
        <v>92</v>
      </c>
      <c r="M92" t="b">
        <f t="shared" si="1"/>
        <v>1</v>
      </c>
      <c r="N92" t="b">
        <f>COUNTBLANK(Metadata!B92:F92)=COLUMNS(Metadata!B92:F92)</f>
        <v>1</v>
      </c>
      <c r="O92" t="str">
        <v/>
      </c>
      <c r="Q92" t="b">
        <f ca="1"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R92" t="b">
        <f>IF(Metadata!C92="",FALSE,TRUE)</f>
        <v>0</v>
      </c>
      <c r="S92" t="b">
        <f>OR(AND(IF(Metadata!D92="",FALSE,TRUE),EXACT(Metadata!D92,"missing: not collected")),AND(IF(Metadata!D92="",FALSE,TRUE),OR(EXACT(Metadata!D92,"t"),EXACT(Metadata!D92,"f"))))</f>
        <v>0</v>
      </c>
      <c r="T92" t="b">
        <f>AND(IF(Metadata!E92="",FALSE,TRUE),OR(EXACT(Metadata!E92,"a"),EXACT(Metadata!E92,"b")))</f>
        <v>0</v>
      </c>
      <c r="U92" t="b">
        <f>OR(AND(IF(Metadata!F92="",FALSE,TRUE),OR(EXACT(Metadata!F92,"missing: not collected"),EXACT(Metadata!F92,"missing: not provided"))),AND(IF(Metadata!F92="",FALSE,TRUE),OR(EXACT(Metadata!F92,"lo"),EXACT(Metadata!F92,"med"),EXACT(Metadata!F92,"hi"))))</f>
        <v>0</v>
      </c>
    </row>
    <row r="93" spans="1:21" x14ac:dyDescent="0.2">
      <c r="A93" s="4" t="str">
        <f ca="1">IF(B93=" "," ",HYPERLINK(CONCATENATE("#metadata!",ADDRESS(INDEX($L$2:$L$1001,MATCH(ROWS($J$2:J93),$J$2:$J$1001,0),0),1)),INDEX($O$2:$O$1001,MATCH(ROWS($J$2:J93),$J$2:$J$1001,0),0)))</f>
        <v xml:space="preserve"> </v>
      </c>
      <c r="B93" s="3" t="str">
        <f ca="1">IF(OR(INDEX($K$2:$K$1001,MATCH(ROWS($J$2:J93),$J$2:$J$1001,0),1)&gt;=100000,INDEX($Q$1005:$U$1005,1,MATCH(COLUMNS($Q$1006:Q1006),$Q$1006:$U$1006,0))&gt;=100000), " ",IF(INDEX($Q$2:$U$1001,MATCH(ROWS($J$2:J93),$J$2:$J$1001,0),MATCH(COLUMNS($Q$1006:Q1006),$Q$1006:$U$1006,0)), HYPERLINK("#",""), HYPERLINK(CONCATENATE("#Metadata!", ADDRESS(INDEX($L$2:$L$1001,MATCH(ROWS($J$2:J93),$J$2:$J$1001,0),0), INDEX($Q$1004:$U$1004,1,MATCH(COLUMNS($Q$1006:Q1006),$Q$1006:$U$1006,0)))),"Fix")))</f>
        <v xml:space="preserve"> </v>
      </c>
      <c r="C93" s="3" t="str">
        <f ca="1">IF(OR(INDEX($K$2:$K$1001,MATCH(ROWS($J$2:J93),$J$2:$J$1001,0),1)&gt;=100000,INDEX($Q$1005:$U$1005,1,MATCH(COLUMNS($Q$1006:R1006),$Q$1006:$U$1006,0))&gt;=100000), " ",IF(INDEX($Q$2:$U$1001,MATCH(ROWS($J$2:J93),$J$2:$J$1001,0),MATCH(COLUMNS($Q$1006:R1006),$Q$1006:$U$1006,0)), HYPERLINK("#",""), HYPERLINK(CONCATENATE("#Metadata!", ADDRESS(INDEX($L$2:$L$1001,MATCH(ROWS($J$2:J93),$J$2:$J$1001,0),0), INDEX($Q$1004:$U$1004,1,MATCH(COLUMNS($Q$1006:R1006),$Q$1006:$U$1006,0)))),"Fix")))</f>
        <v xml:space="preserve"> </v>
      </c>
      <c r="D93" s="3" t="str">
        <f ca="1">IF(OR(INDEX($K$2:$K$1001,MATCH(ROWS($J$2:J93),$J$2:$J$1001,0),1)&gt;=100000,INDEX($Q$1005:$U$1005,1,MATCH(COLUMNS($Q$1006:S1006),$Q$1006:$U$1006,0))&gt;=100000), " ",IF(INDEX($Q$2:$U$1001,MATCH(ROWS($J$2:J93),$J$2:$J$1001,0),MATCH(COLUMNS($Q$1006:S1006),$Q$1006:$U$1006,0)), HYPERLINK("#",""), HYPERLINK(CONCATENATE("#Metadata!", ADDRESS(INDEX($L$2:$L$1001,MATCH(ROWS($J$2:J93),$J$2:$J$1001,0),0), INDEX($Q$1004:$U$1004,1,MATCH(COLUMNS($Q$1006:S1006),$Q$1006:$U$1006,0)))),"Fix")))</f>
        <v xml:space="preserve"> </v>
      </c>
      <c r="E93" s="3" t="str">
        <f ca="1">IF(OR(INDEX($K$2:$K$1001,MATCH(ROWS($J$2:J93),$J$2:$J$1001,0),1)&gt;=100000,INDEX($Q$1005:$U$1005,1,MATCH(COLUMNS($Q$1006:T1006),$Q$1006:$U$1006,0))&gt;=100000), " ",IF(INDEX($Q$2:$U$1001,MATCH(ROWS($J$2:J93),$J$2:$J$1001,0),MATCH(COLUMNS($Q$1006:T1006),$Q$1006:$U$1006,0)), HYPERLINK("#",""), HYPERLINK(CONCATENATE("#Metadata!", ADDRESS(INDEX($L$2:$L$1001,MATCH(ROWS($J$2:J93),$J$2:$J$1001,0),0), INDEX($Q$1004:$U$1004,1,MATCH(COLUMNS($Q$1006:T1006),$Q$1006:$U$1006,0)))),"Fix")))</f>
        <v xml:space="preserve"> </v>
      </c>
      <c r="F93" s="3" t="str">
        <f ca="1">IF(OR(INDEX($K$2:$K$1001,MATCH(ROWS($J$2:J93),$J$2:$J$1001,0),1)&gt;=100000,INDEX($Q$1005:$U$1005,1,MATCH(COLUMNS($Q$1006:U1006),$Q$1006:$U$1006,0))&gt;=100000), " ",IF(INDEX($Q$2:$U$1001,MATCH(ROWS($J$2:J93),$J$2:$J$1001,0),MATCH(COLUMNS($Q$1006:U1006),$Q$1006:$U$1006,0)), HYPERLINK("#",""), HYPERLINK(CONCATENATE("#Metadata!", ADDRESS(INDEX($L$2:$L$1001,MATCH(ROWS($J$2:J93),$J$2:$J$1001,0),0), INDEX($Q$1004:$U$1004,1,MATCH(COLUMNS($Q$1006:U1006),$Q$1006:$U$1006,0)))),"Fix")))</f>
        <v xml:space="preserve"> </v>
      </c>
      <c r="J93">
        <f ca="1"/>
        <v>92</v>
      </c>
      <c r="K93">
        <v>100093</v>
      </c>
      <c r="L93">
        <v>93</v>
      </c>
      <c r="M93" t="b">
        <f t="shared" si="1"/>
        <v>1</v>
      </c>
      <c r="N93" t="b">
        <f>COUNTBLANK(Metadata!B93:F93)=COLUMNS(Metadata!B93:F93)</f>
        <v>1</v>
      </c>
      <c r="O93" t="str">
        <v/>
      </c>
      <c r="Q93" t="b">
        <f ca="1"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R93" t="b">
        <f>IF(Metadata!C93="",FALSE,TRUE)</f>
        <v>0</v>
      </c>
      <c r="S93" t="b">
        <f>OR(AND(IF(Metadata!D93="",FALSE,TRUE),EXACT(Metadata!D93,"missing: not collected")),AND(IF(Metadata!D93="",FALSE,TRUE),OR(EXACT(Metadata!D93,"t"),EXACT(Metadata!D93,"f"))))</f>
        <v>0</v>
      </c>
      <c r="T93" t="b">
        <f>AND(IF(Metadata!E93="",FALSE,TRUE),OR(EXACT(Metadata!E93,"a"),EXACT(Metadata!E93,"b")))</f>
        <v>0</v>
      </c>
      <c r="U93" t="b">
        <f>OR(AND(IF(Metadata!F93="",FALSE,TRUE),OR(EXACT(Metadata!F93,"missing: not collected"),EXACT(Metadata!F93,"missing: not provided"))),AND(IF(Metadata!F93="",FALSE,TRUE),OR(EXACT(Metadata!F93,"lo"),EXACT(Metadata!F93,"med"),EXACT(Metadata!F93,"hi"))))</f>
        <v>0</v>
      </c>
    </row>
    <row r="94" spans="1:21" x14ac:dyDescent="0.2">
      <c r="A94" s="4" t="str">
        <f ca="1">IF(B94=" "," ",HYPERLINK(CONCATENATE("#metadata!",ADDRESS(INDEX($L$2:$L$1001,MATCH(ROWS($J$2:J94),$J$2:$J$1001,0),0),1)),INDEX($O$2:$O$1001,MATCH(ROWS($J$2:J94),$J$2:$J$1001,0),0)))</f>
        <v xml:space="preserve"> </v>
      </c>
      <c r="B94" s="3" t="str">
        <f ca="1">IF(OR(INDEX($K$2:$K$1001,MATCH(ROWS($J$2:J94),$J$2:$J$1001,0),1)&gt;=100000,INDEX($Q$1005:$U$1005,1,MATCH(COLUMNS($Q$1006:Q1006),$Q$1006:$U$1006,0))&gt;=100000), " ",IF(INDEX($Q$2:$U$1001,MATCH(ROWS($J$2:J94),$J$2:$J$1001,0),MATCH(COLUMNS($Q$1006:Q1006),$Q$1006:$U$1006,0)), HYPERLINK("#",""), HYPERLINK(CONCATENATE("#Metadata!", ADDRESS(INDEX($L$2:$L$1001,MATCH(ROWS($J$2:J94),$J$2:$J$1001,0),0), INDEX($Q$1004:$U$1004,1,MATCH(COLUMNS($Q$1006:Q1006),$Q$1006:$U$1006,0)))),"Fix")))</f>
        <v xml:space="preserve"> </v>
      </c>
      <c r="C94" s="3" t="str">
        <f ca="1">IF(OR(INDEX($K$2:$K$1001,MATCH(ROWS($J$2:J94),$J$2:$J$1001,0),1)&gt;=100000,INDEX($Q$1005:$U$1005,1,MATCH(COLUMNS($Q$1006:R1006),$Q$1006:$U$1006,0))&gt;=100000), " ",IF(INDEX($Q$2:$U$1001,MATCH(ROWS($J$2:J94),$J$2:$J$1001,0),MATCH(COLUMNS($Q$1006:R1006),$Q$1006:$U$1006,0)), HYPERLINK("#",""), HYPERLINK(CONCATENATE("#Metadata!", ADDRESS(INDEX($L$2:$L$1001,MATCH(ROWS($J$2:J94),$J$2:$J$1001,0),0), INDEX($Q$1004:$U$1004,1,MATCH(COLUMNS($Q$1006:R1006),$Q$1006:$U$1006,0)))),"Fix")))</f>
        <v xml:space="preserve"> </v>
      </c>
      <c r="D94" s="3" t="str">
        <f ca="1">IF(OR(INDEX($K$2:$K$1001,MATCH(ROWS($J$2:J94),$J$2:$J$1001,0),1)&gt;=100000,INDEX($Q$1005:$U$1005,1,MATCH(COLUMNS($Q$1006:S1006),$Q$1006:$U$1006,0))&gt;=100000), " ",IF(INDEX($Q$2:$U$1001,MATCH(ROWS($J$2:J94),$J$2:$J$1001,0),MATCH(COLUMNS($Q$1006:S1006),$Q$1006:$U$1006,0)), HYPERLINK("#",""), HYPERLINK(CONCATENATE("#Metadata!", ADDRESS(INDEX($L$2:$L$1001,MATCH(ROWS($J$2:J94),$J$2:$J$1001,0),0), INDEX($Q$1004:$U$1004,1,MATCH(COLUMNS($Q$1006:S1006),$Q$1006:$U$1006,0)))),"Fix")))</f>
        <v xml:space="preserve"> </v>
      </c>
      <c r="E94" s="3" t="str">
        <f ca="1">IF(OR(INDEX($K$2:$K$1001,MATCH(ROWS($J$2:J94),$J$2:$J$1001,0),1)&gt;=100000,INDEX($Q$1005:$U$1005,1,MATCH(COLUMNS($Q$1006:T1006),$Q$1006:$U$1006,0))&gt;=100000), " ",IF(INDEX($Q$2:$U$1001,MATCH(ROWS($J$2:J94),$J$2:$J$1001,0),MATCH(COLUMNS($Q$1006:T1006),$Q$1006:$U$1006,0)), HYPERLINK("#",""), HYPERLINK(CONCATENATE("#Metadata!", ADDRESS(INDEX($L$2:$L$1001,MATCH(ROWS($J$2:J94),$J$2:$J$1001,0),0), INDEX($Q$1004:$U$1004,1,MATCH(COLUMNS($Q$1006:T1006),$Q$1006:$U$1006,0)))),"Fix")))</f>
        <v xml:space="preserve"> </v>
      </c>
      <c r="F94" s="3" t="str">
        <f ca="1">IF(OR(INDEX($K$2:$K$1001,MATCH(ROWS($J$2:J94),$J$2:$J$1001,0),1)&gt;=100000,INDEX($Q$1005:$U$1005,1,MATCH(COLUMNS($Q$1006:U1006),$Q$1006:$U$1006,0))&gt;=100000), " ",IF(INDEX($Q$2:$U$1001,MATCH(ROWS($J$2:J94),$J$2:$J$1001,0),MATCH(COLUMNS($Q$1006:U1006),$Q$1006:$U$1006,0)), HYPERLINK("#",""), HYPERLINK(CONCATENATE("#Metadata!", ADDRESS(INDEX($L$2:$L$1001,MATCH(ROWS($J$2:J94),$J$2:$J$1001,0),0), INDEX($Q$1004:$U$1004,1,MATCH(COLUMNS($Q$1006:U1006),$Q$1006:$U$1006,0)))),"Fix")))</f>
        <v xml:space="preserve"> </v>
      </c>
      <c r="J94">
        <f ca="1"/>
        <v>93</v>
      </c>
      <c r="K94">
        <v>100094</v>
      </c>
      <c r="L94">
        <v>94</v>
      </c>
      <c r="M94" t="b">
        <f t="shared" si="1"/>
        <v>1</v>
      </c>
      <c r="N94" t="b">
        <f>COUNTBLANK(Metadata!B94:F94)=COLUMNS(Metadata!B94:F94)</f>
        <v>1</v>
      </c>
      <c r="O94" t="str">
        <v/>
      </c>
      <c r="Q94" t="b">
        <f ca="1"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R94" t="b">
        <f>IF(Metadata!C94="",FALSE,TRUE)</f>
        <v>0</v>
      </c>
      <c r="S94" t="b">
        <f>OR(AND(IF(Metadata!D94="",FALSE,TRUE),EXACT(Metadata!D94,"missing: not collected")),AND(IF(Metadata!D94="",FALSE,TRUE),OR(EXACT(Metadata!D94,"t"),EXACT(Metadata!D94,"f"))))</f>
        <v>0</v>
      </c>
      <c r="T94" t="b">
        <f>AND(IF(Metadata!E94="",FALSE,TRUE),OR(EXACT(Metadata!E94,"a"),EXACT(Metadata!E94,"b")))</f>
        <v>0</v>
      </c>
      <c r="U94" t="b">
        <f>OR(AND(IF(Metadata!F94="",FALSE,TRUE),OR(EXACT(Metadata!F94,"missing: not collected"),EXACT(Metadata!F94,"missing: not provided"))),AND(IF(Metadata!F94="",FALSE,TRUE),OR(EXACT(Metadata!F94,"lo"),EXACT(Metadata!F94,"med"),EXACT(Metadata!F94,"hi"))))</f>
        <v>0</v>
      </c>
    </row>
    <row r="95" spans="1:21" x14ac:dyDescent="0.2">
      <c r="A95" s="4" t="str">
        <f ca="1">IF(B95=" "," ",HYPERLINK(CONCATENATE("#metadata!",ADDRESS(INDEX($L$2:$L$1001,MATCH(ROWS($J$2:J95),$J$2:$J$1001,0),0),1)),INDEX($O$2:$O$1001,MATCH(ROWS($J$2:J95),$J$2:$J$1001,0),0)))</f>
        <v xml:space="preserve"> </v>
      </c>
      <c r="B95" s="3" t="str">
        <f ca="1">IF(OR(INDEX($K$2:$K$1001,MATCH(ROWS($J$2:J95),$J$2:$J$1001,0),1)&gt;=100000,INDEX($Q$1005:$U$1005,1,MATCH(COLUMNS($Q$1006:Q1006),$Q$1006:$U$1006,0))&gt;=100000), " ",IF(INDEX($Q$2:$U$1001,MATCH(ROWS($J$2:J95),$J$2:$J$1001,0),MATCH(COLUMNS($Q$1006:Q1006),$Q$1006:$U$1006,0)), HYPERLINK("#",""), HYPERLINK(CONCATENATE("#Metadata!", ADDRESS(INDEX($L$2:$L$1001,MATCH(ROWS($J$2:J95),$J$2:$J$1001,0),0), INDEX($Q$1004:$U$1004,1,MATCH(COLUMNS($Q$1006:Q1006),$Q$1006:$U$1006,0)))),"Fix")))</f>
        <v xml:space="preserve"> </v>
      </c>
      <c r="C95" s="3" t="str">
        <f ca="1">IF(OR(INDEX($K$2:$K$1001,MATCH(ROWS($J$2:J95),$J$2:$J$1001,0),1)&gt;=100000,INDEX($Q$1005:$U$1005,1,MATCH(COLUMNS($Q$1006:R1006),$Q$1006:$U$1006,0))&gt;=100000), " ",IF(INDEX($Q$2:$U$1001,MATCH(ROWS($J$2:J95),$J$2:$J$1001,0),MATCH(COLUMNS($Q$1006:R1006),$Q$1006:$U$1006,0)), HYPERLINK("#",""), HYPERLINK(CONCATENATE("#Metadata!", ADDRESS(INDEX($L$2:$L$1001,MATCH(ROWS($J$2:J95),$J$2:$J$1001,0),0), INDEX($Q$1004:$U$1004,1,MATCH(COLUMNS($Q$1006:R1006),$Q$1006:$U$1006,0)))),"Fix")))</f>
        <v xml:space="preserve"> </v>
      </c>
      <c r="D95" s="3" t="str">
        <f ca="1">IF(OR(INDEX($K$2:$K$1001,MATCH(ROWS($J$2:J95),$J$2:$J$1001,0),1)&gt;=100000,INDEX($Q$1005:$U$1005,1,MATCH(COLUMNS($Q$1006:S1006),$Q$1006:$U$1006,0))&gt;=100000), " ",IF(INDEX($Q$2:$U$1001,MATCH(ROWS($J$2:J95),$J$2:$J$1001,0),MATCH(COLUMNS($Q$1006:S1006),$Q$1006:$U$1006,0)), HYPERLINK("#",""), HYPERLINK(CONCATENATE("#Metadata!", ADDRESS(INDEX($L$2:$L$1001,MATCH(ROWS($J$2:J95),$J$2:$J$1001,0),0), INDEX($Q$1004:$U$1004,1,MATCH(COLUMNS($Q$1006:S1006),$Q$1006:$U$1006,0)))),"Fix")))</f>
        <v xml:space="preserve"> </v>
      </c>
      <c r="E95" s="3" t="str">
        <f ca="1">IF(OR(INDEX($K$2:$K$1001,MATCH(ROWS($J$2:J95),$J$2:$J$1001,0),1)&gt;=100000,INDEX($Q$1005:$U$1005,1,MATCH(COLUMNS($Q$1006:T1006),$Q$1006:$U$1006,0))&gt;=100000), " ",IF(INDEX($Q$2:$U$1001,MATCH(ROWS($J$2:J95),$J$2:$J$1001,0),MATCH(COLUMNS($Q$1006:T1006),$Q$1006:$U$1006,0)), HYPERLINK("#",""), HYPERLINK(CONCATENATE("#Metadata!", ADDRESS(INDEX($L$2:$L$1001,MATCH(ROWS($J$2:J95),$J$2:$J$1001,0),0), INDEX($Q$1004:$U$1004,1,MATCH(COLUMNS($Q$1006:T1006),$Q$1006:$U$1006,0)))),"Fix")))</f>
        <v xml:space="preserve"> </v>
      </c>
      <c r="F95" s="3" t="str">
        <f ca="1">IF(OR(INDEX($K$2:$K$1001,MATCH(ROWS($J$2:J95),$J$2:$J$1001,0),1)&gt;=100000,INDEX($Q$1005:$U$1005,1,MATCH(COLUMNS($Q$1006:U1006),$Q$1006:$U$1006,0))&gt;=100000), " ",IF(INDEX($Q$2:$U$1001,MATCH(ROWS($J$2:J95),$J$2:$J$1001,0),MATCH(COLUMNS($Q$1006:U1006),$Q$1006:$U$1006,0)), HYPERLINK("#",""), HYPERLINK(CONCATENATE("#Metadata!", ADDRESS(INDEX($L$2:$L$1001,MATCH(ROWS($J$2:J95),$J$2:$J$1001,0),0), INDEX($Q$1004:$U$1004,1,MATCH(COLUMNS($Q$1006:U1006),$Q$1006:$U$1006,0)))),"Fix")))</f>
        <v xml:space="preserve"> </v>
      </c>
      <c r="J95">
        <f ca="1"/>
        <v>94</v>
      </c>
      <c r="K95">
        <v>100095</v>
      </c>
      <c r="L95">
        <v>95</v>
      </c>
      <c r="M95" t="b">
        <f t="shared" si="1"/>
        <v>1</v>
      </c>
      <c r="N95" t="b">
        <f>COUNTBLANK(Metadata!B95:F95)=COLUMNS(Metadata!B95:F95)</f>
        <v>1</v>
      </c>
      <c r="O95" t="str">
        <v/>
      </c>
      <c r="Q95" t="b">
        <f ca="1"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R95" t="b">
        <f>IF(Metadata!C95="",FALSE,TRUE)</f>
        <v>0</v>
      </c>
      <c r="S95" t="b">
        <f>OR(AND(IF(Metadata!D95="",FALSE,TRUE),EXACT(Metadata!D95,"missing: not collected")),AND(IF(Metadata!D95="",FALSE,TRUE),OR(EXACT(Metadata!D95,"t"),EXACT(Metadata!D95,"f"))))</f>
        <v>0</v>
      </c>
      <c r="T95" t="b">
        <f>AND(IF(Metadata!E95="",FALSE,TRUE),OR(EXACT(Metadata!E95,"a"),EXACT(Metadata!E95,"b")))</f>
        <v>0</v>
      </c>
      <c r="U95" t="b">
        <f>OR(AND(IF(Metadata!F95="",FALSE,TRUE),OR(EXACT(Metadata!F95,"missing: not collected"),EXACT(Metadata!F95,"missing: not provided"))),AND(IF(Metadata!F95="",FALSE,TRUE),OR(EXACT(Metadata!F95,"lo"),EXACT(Metadata!F95,"med"),EXACT(Metadata!F95,"hi"))))</f>
        <v>0</v>
      </c>
    </row>
    <row r="96" spans="1:21" x14ac:dyDescent="0.2">
      <c r="A96" s="4" t="str">
        <f ca="1">IF(B96=" "," ",HYPERLINK(CONCATENATE("#metadata!",ADDRESS(INDEX($L$2:$L$1001,MATCH(ROWS($J$2:J96),$J$2:$J$1001,0),0),1)),INDEX($O$2:$O$1001,MATCH(ROWS($J$2:J96),$J$2:$J$1001,0),0)))</f>
        <v xml:space="preserve"> </v>
      </c>
      <c r="B96" s="3" t="str">
        <f ca="1">IF(OR(INDEX($K$2:$K$1001,MATCH(ROWS($J$2:J96),$J$2:$J$1001,0),1)&gt;=100000,INDEX($Q$1005:$U$1005,1,MATCH(COLUMNS($Q$1006:Q1006),$Q$1006:$U$1006,0))&gt;=100000), " ",IF(INDEX($Q$2:$U$1001,MATCH(ROWS($J$2:J96),$J$2:$J$1001,0),MATCH(COLUMNS($Q$1006:Q1006),$Q$1006:$U$1006,0)), HYPERLINK("#",""), HYPERLINK(CONCATENATE("#Metadata!", ADDRESS(INDEX($L$2:$L$1001,MATCH(ROWS($J$2:J96),$J$2:$J$1001,0),0), INDEX($Q$1004:$U$1004,1,MATCH(COLUMNS($Q$1006:Q1006),$Q$1006:$U$1006,0)))),"Fix")))</f>
        <v xml:space="preserve"> </v>
      </c>
      <c r="C96" s="3" t="str">
        <f ca="1">IF(OR(INDEX($K$2:$K$1001,MATCH(ROWS($J$2:J96),$J$2:$J$1001,0),1)&gt;=100000,INDEX($Q$1005:$U$1005,1,MATCH(COLUMNS($Q$1006:R1006),$Q$1006:$U$1006,0))&gt;=100000), " ",IF(INDEX($Q$2:$U$1001,MATCH(ROWS($J$2:J96),$J$2:$J$1001,0),MATCH(COLUMNS($Q$1006:R1006),$Q$1006:$U$1006,0)), HYPERLINK("#",""), HYPERLINK(CONCATENATE("#Metadata!", ADDRESS(INDEX($L$2:$L$1001,MATCH(ROWS($J$2:J96),$J$2:$J$1001,0),0), INDEX($Q$1004:$U$1004,1,MATCH(COLUMNS($Q$1006:R1006),$Q$1006:$U$1006,0)))),"Fix")))</f>
        <v xml:space="preserve"> </v>
      </c>
      <c r="D96" s="3" t="str">
        <f ca="1">IF(OR(INDEX($K$2:$K$1001,MATCH(ROWS($J$2:J96),$J$2:$J$1001,0),1)&gt;=100000,INDEX($Q$1005:$U$1005,1,MATCH(COLUMNS($Q$1006:S1006),$Q$1006:$U$1006,0))&gt;=100000), " ",IF(INDEX($Q$2:$U$1001,MATCH(ROWS($J$2:J96),$J$2:$J$1001,0),MATCH(COLUMNS($Q$1006:S1006),$Q$1006:$U$1006,0)), HYPERLINK("#",""), HYPERLINK(CONCATENATE("#Metadata!", ADDRESS(INDEX($L$2:$L$1001,MATCH(ROWS($J$2:J96),$J$2:$J$1001,0),0), INDEX($Q$1004:$U$1004,1,MATCH(COLUMNS($Q$1006:S1006),$Q$1006:$U$1006,0)))),"Fix")))</f>
        <v xml:space="preserve"> </v>
      </c>
      <c r="E96" s="3" t="str">
        <f ca="1">IF(OR(INDEX($K$2:$K$1001,MATCH(ROWS($J$2:J96),$J$2:$J$1001,0),1)&gt;=100000,INDEX($Q$1005:$U$1005,1,MATCH(COLUMNS($Q$1006:T1006),$Q$1006:$U$1006,0))&gt;=100000), " ",IF(INDEX($Q$2:$U$1001,MATCH(ROWS($J$2:J96),$J$2:$J$1001,0),MATCH(COLUMNS($Q$1006:T1006),$Q$1006:$U$1006,0)), HYPERLINK("#",""), HYPERLINK(CONCATENATE("#Metadata!", ADDRESS(INDEX($L$2:$L$1001,MATCH(ROWS($J$2:J96),$J$2:$J$1001,0),0), INDEX($Q$1004:$U$1004,1,MATCH(COLUMNS($Q$1006:T1006),$Q$1006:$U$1006,0)))),"Fix")))</f>
        <v xml:space="preserve"> </v>
      </c>
      <c r="F96" s="3" t="str">
        <f ca="1">IF(OR(INDEX($K$2:$K$1001,MATCH(ROWS($J$2:J96),$J$2:$J$1001,0),1)&gt;=100000,INDEX($Q$1005:$U$1005,1,MATCH(COLUMNS($Q$1006:U1006),$Q$1006:$U$1006,0))&gt;=100000), " ",IF(INDEX($Q$2:$U$1001,MATCH(ROWS($J$2:J96),$J$2:$J$1001,0),MATCH(COLUMNS($Q$1006:U1006),$Q$1006:$U$1006,0)), HYPERLINK("#",""), HYPERLINK(CONCATENATE("#Metadata!", ADDRESS(INDEX($L$2:$L$1001,MATCH(ROWS($J$2:J96),$J$2:$J$1001,0),0), INDEX($Q$1004:$U$1004,1,MATCH(COLUMNS($Q$1006:U1006),$Q$1006:$U$1006,0)))),"Fix")))</f>
        <v xml:space="preserve"> </v>
      </c>
      <c r="J96">
        <f ca="1"/>
        <v>95</v>
      </c>
      <c r="K96">
        <v>100096</v>
      </c>
      <c r="L96">
        <v>96</v>
      </c>
      <c r="M96" t="b">
        <f t="shared" si="1"/>
        <v>1</v>
      </c>
      <c r="N96" t="b">
        <f>COUNTBLANK(Metadata!B96:F96)=COLUMNS(Metadata!B96:F96)</f>
        <v>1</v>
      </c>
      <c r="O96" t="str">
        <v/>
      </c>
      <c r="Q96" t="b">
        <f ca="1"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R96" t="b">
        <f>IF(Metadata!C96="",FALSE,TRUE)</f>
        <v>0</v>
      </c>
      <c r="S96" t="b">
        <f>OR(AND(IF(Metadata!D96="",FALSE,TRUE),EXACT(Metadata!D96,"missing: not collected")),AND(IF(Metadata!D96="",FALSE,TRUE),OR(EXACT(Metadata!D96,"t"),EXACT(Metadata!D96,"f"))))</f>
        <v>0</v>
      </c>
      <c r="T96" t="b">
        <f>AND(IF(Metadata!E96="",FALSE,TRUE),OR(EXACT(Metadata!E96,"a"),EXACT(Metadata!E96,"b")))</f>
        <v>0</v>
      </c>
      <c r="U96" t="b">
        <f>OR(AND(IF(Metadata!F96="",FALSE,TRUE),OR(EXACT(Metadata!F96,"missing: not collected"),EXACT(Metadata!F96,"missing: not provided"))),AND(IF(Metadata!F96="",FALSE,TRUE),OR(EXACT(Metadata!F96,"lo"),EXACT(Metadata!F96,"med"),EXACT(Metadata!F96,"hi"))))</f>
        <v>0</v>
      </c>
    </row>
    <row r="97" spans="1:21" x14ac:dyDescent="0.2">
      <c r="A97" s="4" t="str">
        <f ca="1">IF(B97=" "," ",HYPERLINK(CONCATENATE("#metadata!",ADDRESS(INDEX($L$2:$L$1001,MATCH(ROWS($J$2:J97),$J$2:$J$1001,0),0),1)),INDEX($O$2:$O$1001,MATCH(ROWS($J$2:J97),$J$2:$J$1001,0),0)))</f>
        <v xml:space="preserve"> </v>
      </c>
      <c r="B97" s="3" t="str">
        <f ca="1">IF(OR(INDEX($K$2:$K$1001,MATCH(ROWS($J$2:J97),$J$2:$J$1001,0),1)&gt;=100000,INDEX($Q$1005:$U$1005,1,MATCH(COLUMNS($Q$1006:Q1006),$Q$1006:$U$1006,0))&gt;=100000), " ",IF(INDEX($Q$2:$U$1001,MATCH(ROWS($J$2:J97),$J$2:$J$1001,0),MATCH(COLUMNS($Q$1006:Q1006),$Q$1006:$U$1006,0)), HYPERLINK("#",""), HYPERLINK(CONCATENATE("#Metadata!", ADDRESS(INDEX($L$2:$L$1001,MATCH(ROWS($J$2:J97),$J$2:$J$1001,0),0), INDEX($Q$1004:$U$1004,1,MATCH(COLUMNS($Q$1006:Q1006),$Q$1006:$U$1006,0)))),"Fix")))</f>
        <v xml:space="preserve"> </v>
      </c>
      <c r="C97" s="3" t="str">
        <f ca="1">IF(OR(INDEX($K$2:$K$1001,MATCH(ROWS($J$2:J97),$J$2:$J$1001,0),1)&gt;=100000,INDEX($Q$1005:$U$1005,1,MATCH(COLUMNS($Q$1006:R1006),$Q$1006:$U$1006,0))&gt;=100000), " ",IF(INDEX($Q$2:$U$1001,MATCH(ROWS($J$2:J97),$J$2:$J$1001,0),MATCH(COLUMNS($Q$1006:R1006),$Q$1006:$U$1006,0)), HYPERLINK("#",""), HYPERLINK(CONCATENATE("#Metadata!", ADDRESS(INDEX($L$2:$L$1001,MATCH(ROWS($J$2:J97),$J$2:$J$1001,0),0), INDEX($Q$1004:$U$1004,1,MATCH(COLUMNS($Q$1006:R1006),$Q$1006:$U$1006,0)))),"Fix")))</f>
        <v xml:space="preserve"> </v>
      </c>
      <c r="D97" s="3" t="str">
        <f ca="1">IF(OR(INDEX($K$2:$K$1001,MATCH(ROWS($J$2:J97),$J$2:$J$1001,0),1)&gt;=100000,INDEX($Q$1005:$U$1005,1,MATCH(COLUMNS($Q$1006:S1006),$Q$1006:$U$1006,0))&gt;=100000), " ",IF(INDEX($Q$2:$U$1001,MATCH(ROWS($J$2:J97),$J$2:$J$1001,0),MATCH(COLUMNS($Q$1006:S1006),$Q$1006:$U$1006,0)), HYPERLINK("#",""), HYPERLINK(CONCATENATE("#Metadata!", ADDRESS(INDEX($L$2:$L$1001,MATCH(ROWS($J$2:J97),$J$2:$J$1001,0),0), INDEX($Q$1004:$U$1004,1,MATCH(COLUMNS($Q$1006:S1006),$Q$1006:$U$1006,0)))),"Fix")))</f>
        <v xml:space="preserve"> </v>
      </c>
      <c r="E97" s="3" t="str">
        <f ca="1">IF(OR(INDEX($K$2:$K$1001,MATCH(ROWS($J$2:J97),$J$2:$J$1001,0),1)&gt;=100000,INDEX($Q$1005:$U$1005,1,MATCH(COLUMNS($Q$1006:T1006),$Q$1006:$U$1006,0))&gt;=100000), " ",IF(INDEX($Q$2:$U$1001,MATCH(ROWS($J$2:J97),$J$2:$J$1001,0),MATCH(COLUMNS($Q$1006:T1006),$Q$1006:$U$1006,0)), HYPERLINK("#",""), HYPERLINK(CONCATENATE("#Metadata!", ADDRESS(INDEX($L$2:$L$1001,MATCH(ROWS($J$2:J97),$J$2:$J$1001,0),0), INDEX($Q$1004:$U$1004,1,MATCH(COLUMNS($Q$1006:T1006),$Q$1006:$U$1006,0)))),"Fix")))</f>
        <v xml:space="preserve"> </v>
      </c>
      <c r="F97" s="3" t="str">
        <f ca="1">IF(OR(INDEX($K$2:$K$1001,MATCH(ROWS($J$2:J97),$J$2:$J$1001,0),1)&gt;=100000,INDEX($Q$1005:$U$1005,1,MATCH(COLUMNS($Q$1006:U1006),$Q$1006:$U$1006,0))&gt;=100000), " ",IF(INDEX($Q$2:$U$1001,MATCH(ROWS($J$2:J97),$J$2:$J$1001,0),MATCH(COLUMNS($Q$1006:U1006),$Q$1006:$U$1006,0)), HYPERLINK("#",""), HYPERLINK(CONCATENATE("#Metadata!", ADDRESS(INDEX($L$2:$L$1001,MATCH(ROWS($J$2:J97),$J$2:$J$1001,0),0), INDEX($Q$1004:$U$1004,1,MATCH(COLUMNS($Q$1006:U1006),$Q$1006:$U$1006,0)))),"Fix")))</f>
        <v xml:space="preserve"> </v>
      </c>
      <c r="J97">
        <f ca="1"/>
        <v>96</v>
      </c>
      <c r="K97">
        <v>100097</v>
      </c>
      <c r="L97">
        <v>97</v>
      </c>
      <c r="M97" t="b">
        <f t="shared" si="1"/>
        <v>1</v>
      </c>
      <c r="N97" t="b">
        <f>COUNTBLANK(Metadata!B97:F97)=COLUMNS(Metadata!B97:F97)</f>
        <v>1</v>
      </c>
      <c r="O97" t="str">
        <v/>
      </c>
      <c r="Q97" t="b">
        <f ca="1"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R97" t="b">
        <f>IF(Metadata!C97="",FALSE,TRUE)</f>
        <v>0</v>
      </c>
      <c r="S97" t="b">
        <f>OR(AND(IF(Metadata!D97="",FALSE,TRUE),EXACT(Metadata!D97,"missing: not collected")),AND(IF(Metadata!D97="",FALSE,TRUE),OR(EXACT(Metadata!D97,"t"),EXACT(Metadata!D97,"f"))))</f>
        <v>0</v>
      </c>
      <c r="T97" t="b">
        <f>AND(IF(Metadata!E97="",FALSE,TRUE),OR(EXACT(Metadata!E97,"a"),EXACT(Metadata!E97,"b")))</f>
        <v>0</v>
      </c>
      <c r="U97" t="b">
        <f>OR(AND(IF(Metadata!F97="",FALSE,TRUE),OR(EXACT(Metadata!F97,"missing: not collected"),EXACT(Metadata!F97,"missing: not provided"))),AND(IF(Metadata!F97="",FALSE,TRUE),OR(EXACT(Metadata!F97,"lo"),EXACT(Metadata!F97,"med"),EXACT(Metadata!F97,"hi"))))</f>
        <v>0</v>
      </c>
    </row>
    <row r="98" spans="1:21" x14ac:dyDescent="0.2">
      <c r="A98" s="4" t="str">
        <f ca="1">IF(B98=" "," ",HYPERLINK(CONCATENATE("#metadata!",ADDRESS(INDEX($L$2:$L$1001,MATCH(ROWS($J$2:J98),$J$2:$J$1001,0),0),1)),INDEX($O$2:$O$1001,MATCH(ROWS($J$2:J98),$J$2:$J$1001,0),0)))</f>
        <v xml:space="preserve"> </v>
      </c>
      <c r="B98" s="3" t="str">
        <f ca="1">IF(OR(INDEX($K$2:$K$1001,MATCH(ROWS($J$2:J98),$J$2:$J$1001,0),1)&gt;=100000,INDEX($Q$1005:$U$1005,1,MATCH(COLUMNS($Q$1006:Q1006),$Q$1006:$U$1006,0))&gt;=100000), " ",IF(INDEX($Q$2:$U$1001,MATCH(ROWS($J$2:J98),$J$2:$J$1001,0),MATCH(COLUMNS($Q$1006:Q1006),$Q$1006:$U$1006,0)), HYPERLINK("#",""), HYPERLINK(CONCATENATE("#Metadata!", ADDRESS(INDEX($L$2:$L$1001,MATCH(ROWS($J$2:J98),$J$2:$J$1001,0),0), INDEX($Q$1004:$U$1004,1,MATCH(COLUMNS($Q$1006:Q1006),$Q$1006:$U$1006,0)))),"Fix")))</f>
        <v xml:space="preserve"> </v>
      </c>
      <c r="C98" s="3" t="str">
        <f ca="1">IF(OR(INDEX($K$2:$K$1001,MATCH(ROWS($J$2:J98),$J$2:$J$1001,0),1)&gt;=100000,INDEX($Q$1005:$U$1005,1,MATCH(COLUMNS($Q$1006:R1006),$Q$1006:$U$1006,0))&gt;=100000), " ",IF(INDEX($Q$2:$U$1001,MATCH(ROWS($J$2:J98),$J$2:$J$1001,0),MATCH(COLUMNS($Q$1006:R1006),$Q$1006:$U$1006,0)), HYPERLINK("#",""), HYPERLINK(CONCATENATE("#Metadata!", ADDRESS(INDEX($L$2:$L$1001,MATCH(ROWS($J$2:J98),$J$2:$J$1001,0),0), INDEX($Q$1004:$U$1004,1,MATCH(COLUMNS($Q$1006:R1006),$Q$1006:$U$1006,0)))),"Fix")))</f>
        <v xml:space="preserve"> </v>
      </c>
      <c r="D98" s="3" t="str">
        <f ca="1">IF(OR(INDEX($K$2:$K$1001,MATCH(ROWS($J$2:J98),$J$2:$J$1001,0),1)&gt;=100000,INDEX($Q$1005:$U$1005,1,MATCH(COLUMNS($Q$1006:S1006),$Q$1006:$U$1006,0))&gt;=100000), " ",IF(INDEX($Q$2:$U$1001,MATCH(ROWS($J$2:J98),$J$2:$J$1001,0),MATCH(COLUMNS($Q$1006:S1006),$Q$1006:$U$1006,0)), HYPERLINK("#",""), HYPERLINK(CONCATENATE("#Metadata!", ADDRESS(INDEX($L$2:$L$1001,MATCH(ROWS($J$2:J98),$J$2:$J$1001,0),0), INDEX($Q$1004:$U$1004,1,MATCH(COLUMNS($Q$1006:S1006),$Q$1006:$U$1006,0)))),"Fix")))</f>
        <v xml:space="preserve"> </v>
      </c>
      <c r="E98" s="3" t="str">
        <f ca="1">IF(OR(INDEX($K$2:$K$1001,MATCH(ROWS($J$2:J98),$J$2:$J$1001,0),1)&gt;=100000,INDEX($Q$1005:$U$1005,1,MATCH(COLUMNS($Q$1006:T1006),$Q$1006:$U$1006,0))&gt;=100000), " ",IF(INDEX($Q$2:$U$1001,MATCH(ROWS($J$2:J98),$J$2:$J$1001,0),MATCH(COLUMNS($Q$1006:T1006),$Q$1006:$U$1006,0)), HYPERLINK("#",""), HYPERLINK(CONCATENATE("#Metadata!", ADDRESS(INDEX($L$2:$L$1001,MATCH(ROWS($J$2:J98),$J$2:$J$1001,0),0), INDEX($Q$1004:$U$1004,1,MATCH(COLUMNS($Q$1006:T1006),$Q$1006:$U$1006,0)))),"Fix")))</f>
        <v xml:space="preserve"> </v>
      </c>
      <c r="F98" s="3" t="str">
        <f ca="1">IF(OR(INDEX($K$2:$K$1001,MATCH(ROWS($J$2:J98),$J$2:$J$1001,0),1)&gt;=100000,INDEX($Q$1005:$U$1005,1,MATCH(COLUMNS($Q$1006:U1006),$Q$1006:$U$1006,0))&gt;=100000), " ",IF(INDEX($Q$2:$U$1001,MATCH(ROWS($J$2:J98),$J$2:$J$1001,0),MATCH(COLUMNS($Q$1006:U1006),$Q$1006:$U$1006,0)), HYPERLINK("#",""), HYPERLINK(CONCATENATE("#Metadata!", ADDRESS(INDEX($L$2:$L$1001,MATCH(ROWS($J$2:J98),$J$2:$J$1001,0),0), INDEX($Q$1004:$U$1004,1,MATCH(COLUMNS($Q$1006:U1006),$Q$1006:$U$1006,0)))),"Fix")))</f>
        <v xml:space="preserve"> </v>
      </c>
      <c r="J98">
        <f ca="1"/>
        <v>97</v>
      </c>
      <c r="K98">
        <v>100098</v>
      </c>
      <c r="L98">
        <v>98</v>
      </c>
      <c r="M98" t="b">
        <f t="shared" si="1"/>
        <v>1</v>
      </c>
      <c r="N98" t="b">
        <f>COUNTBLANK(Metadata!B98:F98)=COLUMNS(Metadata!B98:F98)</f>
        <v>1</v>
      </c>
      <c r="O98" t="str">
        <v/>
      </c>
      <c r="Q98" t="b">
        <f ca="1"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R98" t="b">
        <f>IF(Metadata!C98="",FALSE,TRUE)</f>
        <v>0</v>
      </c>
      <c r="S98" t="b">
        <f>OR(AND(IF(Metadata!D98="",FALSE,TRUE),EXACT(Metadata!D98,"missing: not collected")),AND(IF(Metadata!D98="",FALSE,TRUE),OR(EXACT(Metadata!D98,"t"),EXACT(Metadata!D98,"f"))))</f>
        <v>0</v>
      </c>
      <c r="T98" t="b">
        <f>AND(IF(Metadata!E98="",FALSE,TRUE),OR(EXACT(Metadata!E98,"a"),EXACT(Metadata!E98,"b")))</f>
        <v>0</v>
      </c>
      <c r="U98" t="b">
        <f>OR(AND(IF(Metadata!F98="",FALSE,TRUE),OR(EXACT(Metadata!F98,"missing: not collected"),EXACT(Metadata!F98,"missing: not provided"))),AND(IF(Metadata!F98="",FALSE,TRUE),OR(EXACT(Metadata!F98,"lo"),EXACT(Metadata!F98,"med"),EXACT(Metadata!F98,"hi"))))</f>
        <v>0</v>
      </c>
    </row>
    <row r="99" spans="1:21" x14ac:dyDescent="0.2">
      <c r="A99" s="4" t="str">
        <f ca="1">IF(B99=" "," ",HYPERLINK(CONCATENATE("#metadata!",ADDRESS(INDEX($L$2:$L$1001,MATCH(ROWS($J$2:J99),$J$2:$J$1001,0),0),1)),INDEX($O$2:$O$1001,MATCH(ROWS($J$2:J99),$J$2:$J$1001,0),0)))</f>
        <v xml:space="preserve"> </v>
      </c>
      <c r="B99" s="3" t="str">
        <f ca="1">IF(OR(INDEX($K$2:$K$1001,MATCH(ROWS($J$2:J99),$J$2:$J$1001,0),1)&gt;=100000,INDEX($Q$1005:$U$1005,1,MATCH(COLUMNS($Q$1006:Q1006),$Q$1006:$U$1006,0))&gt;=100000), " ",IF(INDEX($Q$2:$U$1001,MATCH(ROWS($J$2:J99),$J$2:$J$1001,0),MATCH(COLUMNS($Q$1006:Q1006),$Q$1006:$U$1006,0)), HYPERLINK("#",""), HYPERLINK(CONCATENATE("#Metadata!", ADDRESS(INDEX($L$2:$L$1001,MATCH(ROWS($J$2:J99),$J$2:$J$1001,0),0), INDEX($Q$1004:$U$1004,1,MATCH(COLUMNS($Q$1006:Q1006),$Q$1006:$U$1006,0)))),"Fix")))</f>
        <v xml:space="preserve"> </v>
      </c>
      <c r="C99" s="3" t="str">
        <f ca="1">IF(OR(INDEX($K$2:$K$1001,MATCH(ROWS($J$2:J99),$J$2:$J$1001,0),1)&gt;=100000,INDEX($Q$1005:$U$1005,1,MATCH(COLUMNS($Q$1006:R1006),$Q$1006:$U$1006,0))&gt;=100000), " ",IF(INDEX($Q$2:$U$1001,MATCH(ROWS($J$2:J99),$J$2:$J$1001,0),MATCH(COLUMNS($Q$1006:R1006),$Q$1006:$U$1006,0)), HYPERLINK("#",""), HYPERLINK(CONCATENATE("#Metadata!", ADDRESS(INDEX($L$2:$L$1001,MATCH(ROWS($J$2:J99),$J$2:$J$1001,0),0), INDEX($Q$1004:$U$1004,1,MATCH(COLUMNS($Q$1006:R1006),$Q$1006:$U$1006,0)))),"Fix")))</f>
        <v xml:space="preserve"> </v>
      </c>
      <c r="D99" s="3" t="str">
        <f ca="1">IF(OR(INDEX($K$2:$K$1001,MATCH(ROWS($J$2:J99),$J$2:$J$1001,0),1)&gt;=100000,INDEX($Q$1005:$U$1005,1,MATCH(COLUMNS($Q$1006:S1006),$Q$1006:$U$1006,0))&gt;=100000), " ",IF(INDEX($Q$2:$U$1001,MATCH(ROWS($J$2:J99),$J$2:$J$1001,0),MATCH(COLUMNS($Q$1006:S1006),$Q$1006:$U$1006,0)), HYPERLINK("#",""), HYPERLINK(CONCATENATE("#Metadata!", ADDRESS(INDEX($L$2:$L$1001,MATCH(ROWS($J$2:J99),$J$2:$J$1001,0),0), INDEX($Q$1004:$U$1004,1,MATCH(COLUMNS($Q$1006:S1006),$Q$1006:$U$1006,0)))),"Fix")))</f>
        <v xml:space="preserve"> </v>
      </c>
      <c r="E99" s="3" t="str">
        <f ca="1">IF(OR(INDEX($K$2:$K$1001,MATCH(ROWS($J$2:J99),$J$2:$J$1001,0),1)&gt;=100000,INDEX($Q$1005:$U$1005,1,MATCH(COLUMNS($Q$1006:T1006),$Q$1006:$U$1006,0))&gt;=100000), " ",IF(INDEX($Q$2:$U$1001,MATCH(ROWS($J$2:J99),$J$2:$J$1001,0),MATCH(COLUMNS($Q$1006:T1006),$Q$1006:$U$1006,0)), HYPERLINK("#",""), HYPERLINK(CONCATENATE("#Metadata!", ADDRESS(INDEX($L$2:$L$1001,MATCH(ROWS($J$2:J99),$J$2:$J$1001,0),0), INDEX($Q$1004:$U$1004,1,MATCH(COLUMNS($Q$1006:T1006),$Q$1006:$U$1006,0)))),"Fix")))</f>
        <v xml:space="preserve"> </v>
      </c>
      <c r="F99" s="3" t="str">
        <f ca="1">IF(OR(INDEX($K$2:$K$1001,MATCH(ROWS($J$2:J99),$J$2:$J$1001,0),1)&gt;=100000,INDEX($Q$1005:$U$1005,1,MATCH(COLUMNS($Q$1006:U1006),$Q$1006:$U$1006,0))&gt;=100000), " ",IF(INDEX($Q$2:$U$1001,MATCH(ROWS($J$2:J99),$J$2:$J$1001,0),MATCH(COLUMNS($Q$1006:U1006),$Q$1006:$U$1006,0)), HYPERLINK("#",""), HYPERLINK(CONCATENATE("#Metadata!", ADDRESS(INDEX($L$2:$L$1001,MATCH(ROWS($J$2:J99),$J$2:$J$1001,0),0), INDEX($Q$1004:$U$1004,1,MATCH(COLUMNS($Q$1006:U1006),$Q$1006:$U$1006,0)))),"Fix")))</f>
        <v xml:space="preserve"> </v>
      </c>
      <c r="J99">
        <f ca="1"/>
        <v>98</v>
      </c>
      <c r="K99">
        <v>100099</v>
      </c>
      <c r="L99">
        <v>99</v>
      </c>
      <c r="M99" t="b">
        <f t="shared" si="1"/>
        <v>1</v>
      </c>
      <c r="N99" t="b">
        <f>COUNTBLANK(Metadata!B99:F99)=COLUMNS(Metadata!B99:F99)</f>
        <v>1</v>
      </c>
      <c r="O99" t="str">
        <v/>
      </c>
      <c r="Q99" t="b">
        <f ca="1"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R99" t="b">
        <f>IF(Metadata!C99="",FALSE,TRUE)</f>
        <v>0</v>
      </c>
      <c r="S99" t="b">
        <f>OR(AND(IF(Metadata!D99="",FALSE,TRUE),EXACT(Metadata!D99,"missing: not collected")),AND(IF(Metadata!D99="",FALSE,TRUE),OR(EXACT(Metadata!D99,"t"),EXACT(Metadata!D99,"f"))))</f>
        <v>0</v>
      </c>
      <c r="T99" t="b">
        <f>AND(IF(Metadata!E99="",FALSE,TRUE),OR(EXACT(Metadata!E99,"a"),EXACT(Metadata!E99,"b")))</f>
        <v>0</v>
      </c>
      <c r="U99" t="b">
        <f>OR(AND(IF(Metadata!F99="",FALSE,TRUE),OR(EXACT(Metadata!F99,"missing: not collected"),EXACT(Metadata!F99,"missing: not provided"))),AND(IF(Metadata!F99="",FALSE,TRUE),OR(EXACT(Metadata!F99,"lo"),EXACT(Metadata!F99,"med"),EXACT(Metadata!F99,"hi"))))</f>
        <v>0</v>
      </c>
    </row>
    <row r="100" spans="1:21" x14ac:dyDescent="0.2">
      <c r="A100" s="4" t="str">
        <f ca="1">IF(B100=" "," ",HYPERLINK(CONCATENATE("#metadata!",ADDRESS(INDEX($L$2:$L$1001,MATCH(ROWS($J$2:J100),$J$2:$J$1001,0),0),1)),INDEX($O$2:$O$1001,MATCH(ROWS($J$2:J100),$J$2:$J$1001,0),0)))</f>
        <v xml:space="preserve"> </v>
      </c>
      <c r="B100" s="3" t="str">
        <f ca="1">IF(OR(INDEX($K$2:$K$1001,MATCH(ROWS($J$2:J100),$J$2:$J$1001,0),1)&gt;=100000,INDEX($Q$1005:$U$1005,1,MATCH(COLUMNS($Q$1006:Q1006),$Q$1006:$U$1006,0))&gt;=100000), " ",IF(INDEX($Q$2:$U$1001,MATCH(ROWS($J$2:J100),$J$2:$J$1001,0),MATCH(COLUMNS($Q$1006:Q1006),$Q$1006:$U$1006,0)), HYPERLINK("#",""), HYPERLINK(CONCATENATE("#Metadata!", ADDRESS(INDEX($L$2:$L$1001,MATCH(ROWS($J$2:J100),$J$2:$J$1001,0),0), INDEX($Q$1004:$U$1004,1,MATCH(COLUMNS($Q$1006:Q1006),$Q$1006:$U$1006,0)))),"Fix")))</f>
        <v xml:space="preserve"> </v>
      </c>
      <c r="C100" s="3" t="str">
        <f ca="1">IF(OR(INDEX($K$2:$K$1001,MATCH(ROWS($J$2:J100),$J$2:$J$1001,0),1)&gt;=100000,INDEX($Q$1005:$U$1005,1,MATCH(COLUMNS($Q$1006:R1006),$Q$1006:$U$1006,0))&gt;=100000), " ",IF(INDEX($Q$2:$U$1001,MATCH(ROWS($J$2:J100),$J$2:$J$1001,0),MATCH(COLUMNS($Q$1006:R1006),$Q$1006:$U$1006,0)), HYPERLINK("#",""), HYPERLINK(CONCATENATE("#Metadata!", ADDRESS(INDEX($L$2:$L$1001,MATCH(ROWS($J$2:J100),$J$2:$J$1001,0),0), INDEX($Q$1004:$U$1004,1,MATCH(COLUMNS($Q$1006:R1006),$Q$1006:$U$1006,0)))),"Fix")))</f>
        <v xml:space="preserve"> </v>
      </c>
      <c r="D100" s="3" t="str">
        <f ca="1">IF(OR(INDEX($K$2:$K$1001,MATCH(ROWS($J$2:J100),$J$2:$J$1001,0),1)&gt;=100000,INDEX($Q$1005:$U$1005,1,MATCH(COLUMNS($Q$1006:S1006),$Q$1006:$U$1006,0))&gt;=100000), " ",IF(INDEX($Q$2:$U$1001,MATCH(ROWS($J$2:J100),$J$2:$J$1001,0),MATCH(COLUMNS($Q$1006:S1006),$Q$1006:$U$1006,0)), HYPERLINK("#",""), HYPERLINK(CONCATENATE("#Metadata!", ADDRESS(INDEX($L$2:$L$1001,MATCH(ROWS($J$2:J100),$J$2:$J$1001,0),0), INDEX($Q$1004:$U$1004,1,MATCH(COLUMNS($Q$1006:S1006),$Q$1006:$U$1006,0)))),"Fix")))</f>
        <v xml:space="preserve"> </v>
      </c>
      <c r="E100" s="3" t="str">
        <f ca="1">IF(OR(INDEX($K$2:$K$1001,MATCH(ROWS($J$2:J100),$J$2:$J$1001,0),1)&gt;=100000,INDEX($Q$1005:$U$1005,1,MATCH(COLUMNS($Q$1006:T1006),$Q$1006:$U$1006,0))&gt;=100000), " ",IF(INDEX($Q$2:$U$1001,MATCH(ROWS($J$2:J100),$J$2:$J$1001,0),MATCH(COLUMNS($Q$1006:T1006),$Q$1006:$U$1006,0)), HYPERLINK("#",""), HYPERLINK(CONCATENATE("#Metadata!", ADDRESS(INDEX($L$2:$L$1001,MATCH(ROWS($J$2:J100),$J$2:$J$1001,0),0), INDEX($Q$1004:$U$1004,1,MATCH(COLUMNS($Q$1006:T1006),$Q$1006:$U$1006,0)))),"Fix")))</f>
        <v xml:space="preserve"> </v>
      </c>
      <c r="F100" s="3" t="str">
        <f ca="1">IF(OR(INDEX($K$2:$K$1001,MATCH(ROWS($J$2:J100),$J$2:$J$1001,0),1)&gt;=100000,INDEX($Q$1005:$U$1005,1,MATCH(COLUMNS($Q$1006:U1006),$Q$1006:$U$1006,0))&gt;=100000), " ",IF(INDEX($Q$2:$U$1001,MATCH(ROWS($J$2:J100),$J$2:$J$1001,0),MATCH(COLUMNS($Q$1006:U1006),$Q$1006:$U$1006,0)), HYPERLINK("#",""), HYPERLINK(CONCATENATE("#Metadata!", ADDRESS(INDEX($L$2:$L$1001,MATCH(ROWS($J$2:J100),$J$2:$J$1001,0),0), INDEX($Q$1004:$U$1004,1,MATCH(COLUMNS($Q$1006:U1006),$Q$1006:$U$1006,0)))),"Fix")))</f>
        <v xml:space="preserve"> </v>
      </c>
      <c r="J100">
        <f ca="1"/>
        <v>99</v>
      </c>
      <c r="K100">
        <v>100100</v>
      </c>
      <c r="L100">
        <v>100</v>
      </c>
      <c r="M100" t="b">
        <f t="shared" si="1"/>
        <v>1</v>
      </c>
      <c r="N100" t="b">
        <f>COUNTBLANK(Metadata!B100:F100)=COLUMNS(Metadata!B100:F100)</f>
        <v>1</v>
      </c>
      <c r="O100" t="str">
        <v/>
      </c>
      <c r="Q100" t="b">
        <f ca="1"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R100" t="b">
        <f>IF(Metadata!C100="",FALSE,TRUE)</f>
        <v>0</v>
      </c>
      <c r="S100" t="b">
        <f>OR(AND(IF(Metadata!D100="",FALSE,TRUE),EXACT(Metadata!D100,"missing: not collected")),AND(IF(Metadata!D100="",FALSE,TRUE),OR(EXACT(Metadata!D100,"t"),EXACT(Metadata!D100,"f"))))</f>
        <v>0</v>
      </c>
      <c r="T100" t="b">
        <f>AND(IF(Metadata!E100="",FALSE,TRUE),OR(EXACT(Metadata!E100,"a"),EXACT(Metadata!E100,"b")))</f>
        <v>0</v>
      </c>
      <c r="U100" t="b">
        <f>OR(AND(IF(Metadata!F100="",FALSE,TRUE),OR(EXACT(Metadata!F100,"missing: not collected"),EXACT(Metadata!F100,"missing: not provided"))),AND(IF(Metadata!F100="",FALSE,TRUE),OR(EXACT(Metadata!F100,"lo"),EXACT(Metadata!F100,"med"),EXACT(Metadata!F100,"hi"))))</f>
        <v>0</v>
      </c>
    </row>
    <row r="101" spans="1:21" x14ac:dyDescent="0.2">
      <c r="A101" s="4" t="str">
        <f ca="1">IF(B101=" "," ",HYPERLINK(CONCATENATE("#metadata!",ADDRESS(INDEX($L$2:$L$1001,MATCH(ROWS($J$2:J101),$J$2:$J$1001,0),0),1)),INDEX($O$2:$O$1001,MATCH(ROWS($J$2:J101),$J$2:$J$1001,0),0)))</f>
        <v xml:space="preserve"> </v>
      </c>
      <c r="B101" s="3" t="str">
        <f ca="1">IF(OR(INDEX($K$2:$K$1001,MATCH(ROWS($J$2:J101),$J$2:$J$1001,0),1)&gt;=100000,INDEX($Q$1005:$U$1005,1,MATCH(COLUMNS($Q$1006:Q1006),$Q$1006:$U$1006,0))&gt;=100000), " ",IF(INDEX($Q$2:$U$1001,MATCH(ROWS($J$2:J101),$J$2:$J$1001,0),MATCH(COLUMNS($Q$1006:Q1006),$Q$1006:$U$1006,0)), HYPERLINK("#",""), HYPERLINK(CONCATENATE("#Metadata!", ADDRESS(INDEX($L$2:$L$1001,MATCH(ROWS($J$2:J101),$J$2:$J$1001,0),0), INDEX($Q$1004:$U$1004,1,MATCH(COLUMNS($Q$1006:Q1006),$Q$1006:$U$1006,0)))),"Fix")))</f>
        <v xml:space="preserve"> </v>
      </c>
      <c r="C101" s="3" t="str">
        <f ca="1">IF(OR(INDEX($K$2:$K$1001,MATCH(ROWS($J$2:J101),$J$2:$J$1001,0),1)&gt;=100000,INDEX($Q$1005:$U$1005,1,MATCH(COLUMNS($Q$1006:R1006),$Q$1006:$U$1006,0))&gt;=100000), " ",IF(INDEX($Q$2:$U$1001,MATCH(ROWS($J$2:J101),$J$2:$J$1001,0),MATCH(COLUMNS($Q$1006:R1006),$Q$1006:$U$1006,0)), HYPERLINK("#",""), HYPERLINK(CONCATENATE("#Metadata!", ADDRESS(INDEX($L$2:$L$1001,MATCH(ROWS($J$2:J101),$J$2:$J$1001,0),0), INDEX($Q$1004:$U$1004,1,MATCH(COLUMNS($Q$1006:R1006),$Q$1006:$U$1006,0)))),"Fix")))</f>
        <v xml:space="preserve"> </v>
      </c>
      <c r="D101" s="3" t="str">
        <f ca="1">IF(OR(INDEX($K$2:$K$1001,MATCH(ROWS($J$2:J101),$J$2:$J$1001,0),1)&gt;=100000,INDEX($Q$1005:$U$1005,1,MATCH(COLUMNS($Q$1006:S1006),$Q$1006:$U$1006,0))&gt;=100000), " ",IF(INDEX($Q$2:$U$1001,MATCH(ROWS($J$2:J101),$J$2:$J$1001,0),MATCH(COLUMNS($Q$1006:S1006),$Q$1006:$U$1006,0)), HYPERLINK("#",""), HYPERLINK(CONCATENATE("#Metadata!", ADDRESS(INDEX($L$2:$L$1001,MATCH(ROWS($J$2:J101),$J$2:$J$1001,0),0), INDEX($Q$1004:$U$1004,1,MATCH(COLUMNS($Q$1006:S1006),$Q$1006:$U$1006,0)))),"Fix")))</f>
        <v xml:space="preserve"> </v>
      </c>
      <c r="E101" s="3" t="str">
        <f ca="1">IF(OR(INDEX($K$2:$K$1001,MATCH(ROWS($J$2:J101),$J$2:$J$1001,0),1)&gt;=100000,INDEX($Q$1005:$U$1005,1,MATCH(COLUMNS($Q$1006:T1006),$Q$1006:$U$1006,0))&gt;=100000), " ",IF(INDEX($Q$2:$U$1001,MATCH(ROWS($J$2:J101),$J$2:$J$1001,0),MATCH(COLUMNS($Q$1006:T1006),$Q$1006:$U$1006,0)), HYPERLINK("#",""), HYPERLINK(CONCATENATE("#Metadata!", ADDRESS(INDEX($L$2:$L$1001,MATCH(ROWS($J$2:J101),$J$2:$J$1001,0),0), INDEX($Q$1004:$U$1004,1,MATCH(COLUMNS($Q$1006:T1006),$Q$1006:$U$1006,0)))),"Fix")))</f>
        <v xml:space="preserve"> </v>
      </c>
      <c r="F101" s="3" t="str">
        <f ca="1">IF(OR(INDEX($K$2:$K$1001,MATCH(ROWS($J$2:J101),$J$2:$J$1001,0),1)&gt;=100000,INDEX($Q$1005:$U$1005,1,MATCH(COLUMNS($Q$1006:U1006),$Q$1006:$U$1006,0))&gt;=100000), " ",IF(INDEX($Q$2:$U$1001,MATCH(ROWS($J$2:J101),$J$2:$J$1001,0),MATCH(COLUMNS($Q$1006:U1006),$Q$1006:$U$1006,0)), HYPERLINK("#",""), HYPERLINK(CONCATENATE("#Metadata!", ADDRESS(INDEX($L$2:$L$1001,MATCH(ROWS($J$2:J101),$J$2:$J$1001,0),0), INDEX($Q$1004:$U$1004,1,MATCH(COLUMNS($Q$1006:U1006),$Q$1006:$U$1006,0)))),"Fix")))</f>
        <v xml:space="preserve"> </v>
      </c>
      <c r="J101">
        <f ca="1"/>
        <v>100</v>
      </c>
      <c r="K101">
        <v>100101</v>
      </c>
      <c r="L101">
        <v>101</v>
      </c>
      <c r="M101" t="b">
        <f t="shared" si="1"/>
        <v>1</v>
      </c>
      <c r="N101" t="b">
        <f>COUNTBLANK(Metadata!B101:F101)=COLUMNS(Metadata!B101:F101)</f>
        <v>1</v>
      </c>
      <c r="O101" t="str">
        <v/>
      </c>
      <c r="Q101" t="b">
        <f ca="1"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R101" t="b">
        <f>IF(Metadata!C101="",FALSE,TRUE)</f>
        <v>0</v>
      </c>
      <c r="S101" t="b">
        <f>OR(AND(IF(Metadata!D101="",FALSE,TRUE),EXACT(Metadata!D101,"missing: not collected")),AND(IF(Metadata!D101="",FALSE,TRUE),OR(EXACT(Metadata!D101,"t"),EXACT(Metadata!D101,"f"))))</f>
        <v>0</v>
      </c>
      <c r="T101" t="b">
        <f>AND(IF(Metadata!E101="",FALSE,TRUE),OR(EXACT(Metadata!E101,"a"),EXACT(Metadata!E101,"b")))</f>
        <v>0</v>
      </c>
      <c r="U101" t="b">
        <f>OR(AND(IF(Metadata!F101="",FALSE,TRUE),OR(EXACT(Metadata!F101,"missing: not collected"),EXACT(Metadata!F101,"missing: not provided"))),AND(IF(Metadata!F101="",FALSE,TRUE),OR(EXACT(Metadata!F101,"lo"),EXACT(Metadata!F101,"med"),EXACT(Metadata!F101,"hi"))))</f>
        <v>0</v>
      </c>
    </row>
    <row r="102" spans="1:21" x14ac:dyDescent="0.2">
      <c r="A102" s="4" t="str">
        <f ca="1">IF(B102=" "," ",HYPERLINK(CONCATENATE("#metadata!",ADDRESS(INDEX($L$2:$L$1001,MATCH(ROWS($J$2:J102),$J$2:$J$1001,0),0),1)),INDEX($O$2:$O$1001,MATCH(ROWS($J$2:J102),$J$2:$J$1001,0),0)))</f>
        <v xml:space="preserve"> </v>
      </c>
      <c r="B102" s="3" t="str">
        <f ca="1">IF(OR(INDEX($K$2:$K$1001,MATCH(ROWS($J$2:J102),$J$2:$J$1001,0),1)&gt;=100000,INDEX($Q$1005:$U$1005,1,MATCH(COLUMNS($Q$1006:Q1006),$Q$1006:$U$1006,0))&gt;=100000), " ",IF(INDEX($Q$2:$U$1001,MATCH(ROWS($J$2:J102),$J$2:$J$1001,0),MATCH(COLUMNS($Q$1006:Q1006),$Q$1006:$U$1006,0)), HYPERLINK("#",""), HYPERLINK(CONCATENATE("#Metadata!", ADDRESS(INDEX($L$2:$L$1001,MATCH(ROWS($J$2:J102),$J$2:$J$1001,0),0), INDEX($Q$1004:$U$1004,1,MATCH(COLUMNS($Q$1006:Q1006),$Q$1006:$U$1006,0)))),"Fix")))</f>
        <v xml:space="preserve"> </v>
      </c>
      <c r="C102" s="3" t="str">
        <f ca="1">IF(OR(INDEX($K$2:$K$1001,MATCH(ROWS($J$2:J102),$J$2:$J$1001,0),1)&gt;=100000,INDEX($Q$1005:$U$1005,1,MATCH(COLUMNS($Q$1006:R1006),$Q$1006:$U$1006,0))&gt;=100000), " ",IF(INDEX($Q$2:$U$1001,MATCH(ROWS($J$2:J102),$J$2:$J$1001,0),MATCH(COLUMNS($Q$1006:R1006),$Q$1006:$U$1006,0)), HYPERLINK("#",""), HYPERLINK(CONCATENATE("#Metadata!", ADDRESS(INDEX($L$2:$L$1001,MATCH(ROWS($J$2:J102),$J$2:$J$1001,0),0), INDEX($Q$1004:$U$1004,1,MATCH(COLUMNS($Q$1006:R1006),$Q$1006:$U$1006,0)))),"Fix")))</f>
        <v xml:space="preserve"> </v>
      </c>
      <c r="D102" s="3" t="str">
        <f ca="1">IF(OR(INDEX($K$2:$K$1001,MATCH(ROWS($J$2:J102),$J$2:$J$1001,0),1)&gt;=100000,INDEX($Q$1005:$U$1005,1,MATCH(COLUMNS($Q$1006:S1006),$Q$1006:$U$1006,0))&gt;=100000), " ",IF(INDEX($Q$2:$U$1001,MATCH(ROWS($J$2:J102),$J$2:$J$1001,0),MATCH(COLUMNS($Q$1006:S1006),$Q$1006:$U$1006,0)), HYPERLINK("#",""), HYPERLINK(CONCATENATE("#Metadata!", ADDRESS(INDEX($L$2:$L$1001,MATCH(ROWS($J$2:J102),$J$2:$J$1001,0),0), INDEX($Q$1004:$U$1004,1,MATCH(COLUMNS($Q$1006:S1006),$Q$1006:$U$1006,0)))),"Fix")))</f>
        <v xml:space="preserve"> </v>
      </c>
      <c r="E102" s="3" t="str">
        <f ca="1">IF(OR(INDEX($K$2:$K$1001,MATCH(ROWS($J$2:J102),$J$2:$J$1001,0),1)&gt;=100000,INDEX($Q$1005:$U$1005,1,MATCH(COLUMNS($Q$1006:T1006),$Q$1006:$U$1006,0))&gt;=100000), " ",IF(INDEX($Q$2:$U$1001,MATCH(ROWS($J$2:J102),$J$2:$J$1001,0),MATCH(COLUMNS($Q$1006:T1006),$Q$1006:$U$1006,0)), HYPERLINK("#",""), HYPERLINK(CONCATENATE("#Metadata!", ADDRESS(INDEX($L$2:$L$1001,MATCH(ROWS($J$2:J102),$J$2:$J$1001,0),0), INDEX($Q$1004:$U$1004,1,MATCH(COLUMNS($Q$1006:T1006),$Q$1006:$U$1006,0)))),"Fix")))</f>
        <v xml:space="preserve"> </v>
      </c>
      <c r="F102" s="3" t="str">
        <f ca="1">IF(OR(INDEX($K$2:$K$1001,MATCH(ROWS($J$2:J102),$J$2:$J$1001,0),1)&gt;=100000,INDEX($Q$1005:$U$1005,1,MATCH(COLUMNS($Q$1006:U1006),$Q$1006:$U$1006,0))&gt;=100000), " ",IF(INDEX($Q$2:$U$1001,MATCH(ROWS($J$2:J102),$J$2:$J$1001,0),MATCH(COLUMNS($Q$1006:U1006),$Q$1006:$U$1006,0)), HYPERLINK("#",""), HYPERLINK(CONCATENATE("#Metadata!", ADDRESS(INDEX($L$2:$L$1001,MATCH(ROWS($J$2:J102),$J$2:$J$1001,0),0), INDEX($Q$1004:$U$1004,1,MATCH(COLUMNS($Q$1006:U1006),$Q$1006:$U$1006,0)))),"Fix")))</f>
        <v xml:space="preserve"> </v>
      </c>
      <c r="J102">
        <f ca="1"/>
        <v>101</v>
      </c>
      <c r="K102">
        <v>100102</v>
      </c>
      <c r="L102">
        <v>102</v>
      </c>
      <c r="M102" t="b">
        <f t="shared" si="1"/>
        <v>1</v>
      </c>
      <c r="N102" t="b">
        <f>COUNTBLANK(Metadata!B102:F102)=COLUMNS(Metadata!B102:F102)</f>
        <v>1</v>
      </c>
      <c r="O102" t="str">
        <v/>
      </c>
      <c r="Q102" t="b">
        <f ca="1"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R102" t="b">
        <f>IF(Metadata!C102="",FALSE,TRUE)</f>
        <v>0</v>
      </c>
      <c r="S102" t="b">
        <f>OR(AND(IF(Metadata!D102="",FALSE,TRUE),EXACT(Metadata!D102,"missing: not collected")),AND(IF(Metadata!D102="",FALSE,TRUE),OR(EXACT(Metadata!D102,"t"),EXACT(Metadata!D102,"f"))))</f>
        <v>0</v>
      </c>
      <c r="T102" t="b">
        <f>AND(IF(Metadata!E102="",FALSE,TRUE),OR(EXACT(Metadata!E102,"a"),EXACT(Metadata!E102,"b")))</f>
        <v>0</v>
      </c>
      <c r="U102" t="b">
        <f>OR(AND(IF(Metadata!F102="",FALSE,TRUE),OR(EXACT(Metadata!F102,"missing: not collected"),EXACT(Metadata!F102,"missing: not provided"))),AND(IF(Metadata!F102="",FALSE,TRUE),OR(EXACT(Metadata!F102,"lo"),EXACT(Metadata!F102,"med"),EXACT(Metadata!F102,"hi"))))</f>
        <v>0</v>
      </c>
    </row>
    <row r="103" spans="1:21" x14ac:dyDescent="0.2">
      <c r="A103" s="4" t="str">
        <f ca="1">IF(B103=" "," ",HYPERLINK(CONCATENATE("#metadata!",ADDRESS(INDEX($L$2:$L$1001,MATCH(ROWS($J$2:J103),$J$2:$J$1001,0),0),1)),INDEX($O$2:$O$1001,MATCH(ROWS($J$2:J103),$J$2:$J$1001,0),0)))</f>
        <v xml:space="preserve"> </v>
      </c>
      <c r="B103" s="3" t="str">
        <f ca="1">IF(OR(INDEX($K$2:$K$1001,MATCH(ROWS($J$2:J103),$J$2:$J$1001,0),1)&gt;=100000,INDEX($Q$1005:$U$1005,1,MATCH(COLUMNS($Q$1006:Q1006),$Q$1006:$U$1006,0))&gt;=100000), " ",IF(INDEX($Q$2:$U$1001,MATCH(ROWS($J$2:J103),$J$2:$J$1001,0),MATCH(COLUMNS($Q$1006:Q1006),$Q$1006:$U$1006,0)), HYPERLINK("#",""), HYPERLINK(CONCATENATE("#Metadata!", ADDRESS(INDEX($L$2:$L$1001,MATCH(ROWS($J$2:J103),$J$2:$J$1001,0),0), INDEX($Q$1004:$U$1004,1,MATCH(COLUMNS($Q$1006:Q1006),$Q$1006:$U$1006,0)))),"Fix")))</f>
        <v xml:space="preserve"> </v>
      </c>
      <c r="C103" s="3" t="str">
        <f ca="1">IF(OR(INDEX($K$2:$K$1001,MATCH(ROWS($J$2:J103),$J$2:$J$1001,0),1)&gt;=100000,INDEX($Q$1005:$U$1005,1,MATCH(COLUMNS($Q$1006:R1006),$Q$1006:$U$1006,0))&gt;=100000), " ",IF(INDEX($Q$2:$U$1001,MATCH(ROWS($J$2:J103),$J$2:$J$1001,0),MATCH(COLUMNS($Q$1006:R1006),$Q$1006:$U$1006,0)), HYPERLINK("#",""), HYPERLINK(CONCATENATE("#Metadata!", ADDRESS(INDEX($L$2:$L$1001,MATCH(ROWS($J$2:J103),$J$2:$J$1001,0),0), INDEX($Q$1004:$U$1004,1,MATCH(COLUMNS($Q$1006:R1006),$Q$1006:$U$1006,0)))),"Fix")))</f>
        <v xml:space="preserve"> </v>
      </c>
      <c r="D103" s="3" t="str">
        <f ca="1">IF(OR(INDEX($K$2:$K$1001,MATCH(ROWS($J$2:J103),$J$2:$J$1001,0),1)&gt;=100000,INDEX($Q$1005:$U$1005,1,MATCH(COLUMNS($Q$1006:S1006),$Q$1006:$U$1006,0))&gt;=100000), " ",IF(INDEX($Q$2:$U$1001,MATCH(ROWS($J$2:J103),$J$2:$J$1001,0),MATCH(COLUMNS($Q$1006:S1006),$Q$1006:$U$1006,0)), HYPERLINK("#",""), HYPERLINK(CONCATENATE("#Metadata!", ADDRESS(INDEX($L$2:$L$1001,MATCH(ROWS($J$2:J103),$J$2:$J$1001,0),0), INDEX($Q$1004:$U$1004,1,MATCH(COLUMNS($Q$1006:S1006),$Q$1006:$U$1006,0)))),"Fix")))</f>
        <v xml:space="preserve"> </v>
      </c>
      <c r="E103" s="3" t="str">
        <f ca="1">IF(OR(INDEX($K$2:$K$1001,MATCH(ROWS($J$2:J103),$J$2:$J$1001,0),1)&gt;=100000,INDEX($Q$1005:$U$1005,1,MATCH(COLUMNS($Q$1006:T1006),$Q$1006:$U$1006,0))&gt;=100000), " ",IF(INDEX($Q$2:$U$1001,MATCH(ROWS($J$2:J103),$J$2:$J$1001,0),MATCH(COLUMNS($Q$1006:T1006),$Q$1006:$U$1006,0)), HYPERLINK("#",""), HYPERLINK(CONCATENATE("#Metadata!", ADDRESS(INDEX($L$2:$L$1001,MATCH(ROWS($J$2:J103),$J$2:$J$1001,0),0), INDEX($Q$1004:$U$1004,1,MATCH(COLUMNS($Q$1006:T1006),$Q$1006:$U$1006,0)))),"Fix")))</f>
        <v xml:space="preserve"> </v>
      </c>
      <c r="F103" s="3" t="str">
        <f ca="1">IF(OR(INDEX($K$2:$K$1001,MATCH(ROWS($J$2:J103),$J$2:$J$1001,0),1)&gt;=100000,INDEX($Q$1005:$U$1005,1,MATCH(COLUMNS($Q$1006:U1006),$Q$1006:$U$1006,0))&gt;=100000), " ",IF(INDEX($Q$2:$U$1001,MATCH(ROWS($J$2:J103),$J$2:$J$1001,0),MATCH(COLUMNS($Q$1006:U1006),$Q$1006:$U$1006,0)), HYPERLINK("#",""), HYPERLINK(CONCATENATE("#Metadata!", ADDRESS(INDEX($L$2:$L$1001,MATCH(ROWS($J$2:J103),$J$2:$J$1001,0),0), INDEX($Q$1004:$U$1004,1,MATCH(COLUMNS($Q$1006:U1006),$Q$1006:$U$1006,0)))),"Fix")))</f>
        <v xml:space="preserve"> </v>
      </c>
      <c r="J103">
        <f ca="1"/>
        <v>102</v>
      </c>
      <c r="K103">
        <v>100103</v>
      </c>
      <c r="L103">
        <v>103</v>
      </c>
      <c r="M103" t="b">
        <f t="shared" si="1"/>
        <v>1</v>
      </c>
      <c r="N103" t="b">
        <f>COUNTBLANK(Metadata!B103:F103)=COLUMNS(Metadata!B103:F103)</f>
        <v>1</v>
      </c>
      <c r="O103" t="str">
        <v/>
      </c>
      <c r="Q103" t="b">
        <f ca="1"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R103" t="b">
        <f>IF(Metadata!C103="",FALSE,TRUE)</f>
        <v>0</v>
      </c>
      <c r="S103" t="b">
        <f>OR(AND(IF(Metadata!D103="",FALSE,TRUE),EXACT(Metadata!D103,"missing: not collected")),AND(IF(Metadata!D103="",FALSE,TRUE),OR(EXACT(Metadata!D103,"t"),EXACT(Metadata!D103,"f"))))</f>
        <v>0</v>
      </c>
      <c r="T103" t="b">
        <f>AND(IF(Metadata!E103="",FALSE,TRUE),OR(EXACT(Metadata!E103,"a"),EXACT(Metadata!E103,"b")))</f>
        <v>0</v>
      </c>
      <c r="U103" t="b">
        <f>OR(AND(IF(Metadata!F103="",FALSE,TRUE),OR(EXACT(Metadata!F103,"missing: not collected"),EXACT(Metadata!F103,"missing: not provided"))),AND(IF(Metadata!F103="",FALSE,TRUE),OR(EXACT(Metadata!F103,"lo"),EXACT(Metadata!F103,"med"),EXACT(Metadata!F103,"hi"))))</f>
        <v>0</v>
      </c>
    </row>
    <row r="104" spans="1:21" x14ac:dyDescent="0.2">
      <c r="A104" s="4" t="str">
        <f ca="1">IF(B104=" "," ",HYPERLINK(CONCATENATE("#metadata!",ADDRESS(INDEX($L$2:$L$1001,MATCH(ROWS($J$2:J104),$J$2:$J$1001,0),0),1)),INDEX($O$2:$O$1001,MATCH(ROWS($J$2:J104),$J$2:$J$1001,0),0)))</f>
        <v xml:space="preserve"> </v>
      </c>
      <c r="B104" s="3" t="str">
        <f ca="1">IF(OR(INDEX($K$2:$K$1001,MATCH(ROWS($J$2:J104),$J$2:$J$1001,0),1)&gt;=100000,INDEX($Q$1005:$U$1005,1,MATCH(COLUMNS($Q$1006:Q1006),$Q$1006:$U$1006,0))&gt;=100000), " ",IF(INDEX($Q$2:$U$1001,MATCH(ROWS($J$2:J104),$J$2:$J$1001,0),MATCH(COLUMNS($Q$1006:Q1006),$Q$1006:$U$1006,0)), HYPERLINK("#",""), HYPERLINK(CONCATENATE("#Metadata!", ADDRESS(INDEX($L$2:$L$1001,MATCH(ROWS($J$2:J104),$J$2:$J$1001,0),0), INDEX($Q$1004:$U$1004,1,MATCH(COLUMNS($Q$1006:Q1006),$Q$1006:$U$1006,0)))),"Fix")))</f>
        <v xml:space="preserve"> </v>
      </c>
      <c r="C104" s="3" t="str">
        <f ca="1">IF(OR(INDEX($K$2:$K$1001,MATCH(ROWS($J$2:J104),$J$2:$J$1001,0),1)&gt;=100000,INDEX($Q$1005:$U$1005,1,MATCH(COLUMNS($Q$1006:R1006),$Q$1006:$U$1006,0))&gt;=100000), " ",IF(INDEX($Q$2:$U$1001,MATCH(ROWS($J$2:J104),$J$2:$J$1001,0),MATCH(COLUMNS($Q$1006:R1006),$Q$1006:$U$1006,0)), HYPERLINK("#",""), HYPERLINK(CONCATENATE("#Metadata!", ADDRESS(INDEX($L$2:$L$1001,MATCH(ROWS($J$2:J104),$J$2:$J$1001,0),0), INDEX($Q$1004:$U$1004,1,MATCH(COLUMNS($Q$1006:R1006),$Q$1006:$U$1006,0)))),"Fix")))</f>
        <v xml:space="preserve"> </v>
      </c>
      <c r="D104" s="3" t="str">
        <f ca="1">IF(OR(INDEX($K$2:$K$1001,MATCH(ROWS($J$2:J104),$J$2:$J$1001,0),1)&gt;=100000,INDEX($Q$1005:$U$1005,1,MATCH(COLUMNS($Q$1006:S1006),$Q$1006:$U$1006,0))&gt;=100000), " ",IF(INDEX($Q$2:$U$1001,MATCH(ROWS($J$2:J104),$J$2:$J$1001,0),MATCH(COLUMNS($Q$1006:S1006),$Q$1006:$U$1006,0)), HYPERLINK("#",""), HYPERLINK(CONCATENATE("#Metadata!", ADDRESS(INDEX($L$2:$L$1001,MATCH(ROWS($J$2:J104),$J$2:$J$1001,0),0), INDEX($Q$1004:$U$1004,1,MATCH(COLUMNS($Q$1006:S1006),$Q$1006:$U$1006,0)))),"Fix")))</f>
        <v xml:space="preserve"> </v>
      </c>
      <c r="E104" s="3" t="str">
        <f ca="1">IF(OR(INDEX($K$2:$K$1001,MATCH(ROWS($J$2:J104),$J$2:$J$1001,0),1)&gt;=100000,INDEX($Q$1005:$U$1005,1,MATCH(COLUMNS($Q$1006:T1006),$Q$1006:$U$1006,0))&gt;=100000), " ",IF(INDEX($Q$2:$U$1001,MATCH(ROWS($J$2:J104),$J$2:$J$1001,0),MATCH(COLUMNS($Q$1006:T1006),$Q$1006:$U$1006,0)), HYPERLINK("#",""), HYPERLINK(CONCATENATE("#Metadata!", ADDRESS(INDEX($L$2:$L$1001,MATCH(ROWS($J$2:J104),$J$2:$J$1001,0),0), INDEX($Q$1004:$U$1004,1,MATCH(COLUMNS($Q$1006:T1006),$Q$1006:$U$1006,0)))),"Fix")))</f>
        <v xml:space="preserve"> </v>
      </c>
      <c r="F104" s="3" t="str">
        <f ca="1">IF(OR(INDEX($K$2:$K$1001,MATCH(ROWS($J$2:J104),$J$2:$J$1001,0),1)&gt;=100000,INDEX($Q$1005:$U$1005,1,MATCH(COLUMNS($Q$1006:U1006),$Q$1006:$U$1006,0))&gt;=100000), " ",IF(INDEX($Q$2:$U$1001,MATCH(ROWS($J$2:J104),$J$2:$J$1001,0),MATCH(COLUMNS($Q$1006:U1006),$Q$1006:$U$1006,0)), HYPERLINK("#",""), HYPERLINK(CONCATENATE("#Metadata!", ADDRESS(INDEX($L$2:$L$1001,MATCH(ROWS($J$2:J104),$J$2:$J$1001,0),0), INDEX($Q$1004:$U$1004,1,MATCH(COLUMNS($Q$1006:U1006),$Q$1006:$U$1006,0)))),"Fix")))</f>
        <v xml:space="preserve"> </v>
      </c>
      <c r="J104">
        <f ca="1"/>
        <v>103</v>
      </c>
      <c r="K104">
        <v>100104</v>
      </c>
      <c r="L104">
        <v>104</v>
      </c>
      <c r="M104" t="b">
        <f t="shared" si="1"/>
        <v>1</v>
      </c>
      <c r="N104" t="b">
        <f>COUNTBLANK(Metadata!B104:F104)=COLUMNS(Metadata!B104:F104)</f>
        <v>1</v>
      </c>
      <c r="O104" t="str">
        <v/>
      </c>
      <c r="Q104" t="b">
        <f ca="1"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R104" t="b">
        <f>IF(Metadata!C104="",FALSE,TRUE)</f>
        <v>0</v>
      </c>
      <c r="S104" t="b">
        <f>OR(AND(IF(Metadata!D104="",FALSE,TRUE),EXACT(Metadata!D104,"missing: not collected")),AND(IF(Metadata!D104="",FALSE,TRUE),OR(EXACT(Metadata!D104,"t"),EXACT(Metadata!D104,"f"))))</f>
        <v>0</v>
      </c>
      <c r="T104" t="b">
        <f>AND(IF(Metadata!E104="",FALSE,TRUE),OR(EXACT(Metadata!E104,"a"),EXACT(Metadata!E104,"b")))</f>
        <v>0</v>
      </c>
      <c r="U104" t="b">
        <f>OR(AND(IF(Metadata!F104="",FALSE,TRUE),OR(EXACT(Metadata!F104,"missing: not collected"),EXACT(Metadata!F104,"missing: not provided"))),AND(IF(Metadata!F104="",FALSE,TRUE),OR(EXACT(Metadata!F104,"lo"),EXACT(Metadata!F104,"med"),EXACT(Metadata!F104,"hi"))))</f>
        <v>0</v>
      </c>
    </row>
    <row r="105" spans="1:21" x14ac:dyDescent="0.2">
      <c r="A105" s="4" t="str">
        <f ca="1">IF(B105=" "," ",HYPERLINK(CONCATENATE("#metadata!",ADDRESS(INDEX($L$2:$L$1001,MATCH(ROWS($J$2:J105),$J$2:$J$1001,0),0),1)),INDEX($O$2:$O$1001,MATCH(ROWS($J$2:J105),$J$2:$J$1001,0),0)))</f>
        <v xml:space="preserve"> </v>
      </c>
      <c r="B105" s="3" t="str">
        <f ca="1">IF(OR(INDEX($K$2:$K$1001,MATCH(ROWS($J$2:J105),$J$2:$J$1001,0),1)&gt;=100000,INDEX($Q$1005:$U$1005,1,MATCH(COLUMNS($Q$1006:Q1006),$Q$1006:$U$1006,0))&gt;=100000), " ",IF(INDEX($Q$2:$U$1001,MATCH(ROWS($J$2:J105),$J$2:$J$1001,0),MATCH(COLUMNS($Q$1006:Q1006),$Q$1006:$U$1006,0)), HYPERLINK("#",""), HYPERLINK(CONCATENATE("#Metadata!", ADDRESS(INDEX($L$2:$L$1001,MATCH(ROWS($J$2:J105),$J$2:$J$1001,0),0), INDEX($Q$1004:$U$1004,1,MATCH(COLUMNS($Q$1006:Q1006),$Q$1006:$U$1006,0)))),"Fix")))</f>
        <v xml:space="preserve"> </v>
      </c>
      <c r="C105" s="3" t="str">
        <f ca="1">IF(OR(INDEX($K$2:$K$1001,MATCH(ROWS($J$2:J105),$J$2:$J$1001,0),1)&gt;=100000,INDEX($Q$1005:$U$1005,1,MATCH(COLUMNS($Q$1006:R1006),$Q$1006:$U$1006,0))&gt;=100000), " ",IF(INDEX($Q$2:$U$1001,MATCH(ROWS($J$2:J105),$J$2:$J$1001,0),MATCH(COLUMNS($Q$1006:R1006),$Q$1006:$U$1006,0)), HYPERLINK("#",""), HYPERLINK(CONCATENATE("#Metadata!", ADDRESS(INDEX($L$2:$L$1001,MATCH(ROWS($J$2:J105),$J$2:$J$1001,0),0), INDEX($Q$1004:$U$1004,1,MATCH(COLUMNS($Q$1006:R1006),$Q$1006:$U$1006,0)))),"Fix")))</f>
        <v xml:space="preserve"> </v>
      </c>
      <c r="D105" s="3" t="str">
        <f ca="1">IF(OR(INDEX($K$2:$K$1001,MATCH(ROWS($J$2:J105),$J$2:$J$1001,0),1)&gt;=100000,INDEX($Q$1005:$U$1005,1,MATCH(COLUMNS($Q$1006:S1006),$Q$1006:$U$1006,0))&gt;=100000), " ",IF(INDEX($Q$2:$U$1001,MATCH(ROWS($J$2:J105),$J$2:$J$1001,0),MATCH(COLUMNS($Q$1006:S1006),$Q$1006:$U$1006,0)), HYPERLINK("#",""), HYPERLINK(CONCATENATE("#Metadata!", ADDRESS(INDEX($L$2:$L$1001,MATCH(ROWS($J$2:J105),$J$2:$J$1001,0),0), INDEX($Q$1004:$U$1004,1,MATCH(COLUMNS($Q$1006:S1006),$Q$1006:$U$1006,0)))),"Fix")))</f>
        <v xml:space="preserve"> </v>
      </c>
      <c r="E105" s="3" t="str">
        <f ca="1">IF(OR(INDEX($K$2:$K$1001,MATCH(ROWS($J$2:J105),$J$2:$J$1001,0),1)&gt;=100000,INDEX($Q$1005:$U$1005,1,MATCH(COLUMNS($Q$1006:T1006),$Q$1006:$U$1006,0))&gt;=100000), " ",IF(INDEX($Q$2:$U$1001,MATCH(ROWS($J$2:J105),$J$2:$J$1001,0),MATCH(COLUMNS($Q$1006:T1006),$Q$1006:$U$1006,0)), HYPERLINK("#",""), HYPERLINK(CONCATENATE("#Metadata!", ADDRESS(INDEX($L$2:$L$1001,MATCH(ROWS($J$2:J105),$J$2:$J$1001,0),0), INDEX($Q$1004:$U$1004,1,MATCH(COLUMNS($Q$1006:T1006),$Q$1006:$U$1006,0)))),"Fix")))</f>
        <v xml:space="preserve"> </v>
      </c>
      <c r="F105" s="3" t="str">
        <f ca="1">IF(OR(INDEX($K$2:$K$1001,MATCH(ROWS($J$2:J105),$J$2:$J$1001,0),1)&gt;=100000,INDEX($Q$1005:$U$1005,1,MATCH(COLUMNS($Q$1006:U1006),$Q$1006:$U$1006,0))&gt;=100000), " ",IF(INDEX($Q$2:$U$1001,MATCH(ROWS($J$2:J105),$J$2:$J$1001,0),MATCH(COLUMNS($Q$1006:U1006),$Q$1006:$U$1006,0)), HYPERLINK("#",""), HYPERLINK(CONCATENATE("#Metadata!", ADDRESS(INDEX($L$2:$L$1001,MATCH(ROWS($J$2:J105),$J$2:$J$1001,0),0), INDEX($Q$1004:$U$1004,1,MATCH(COLUMNS($Q$1006:U1006),$Q$1006:$U$1006,0)))),"Fix")))</f>
        <v xml:space="preserve"> </v>
      </c>
      <c r="J105">
        <f ca="1"/>
        <v>104</v>
      </c>
      <c r="K105">
        <v>100105</v>
      </c>
      <c r="L105">
        <v>105</v>
      </c>
      <c r="M105" t="b">
        <f t="shared" si="1"/>
        <v>1</v>
      </c>
      <c r="N105" t="b">
        <f>COUNTBLANK(Metadata!B105:F105)=COLUMNS(Metadata!B105:F105)</f>
        <v>1</v>
      </c>
      <c r="O105" t="str">
        <v/>
      </c>
      <c r="Q105" t="b">
        <f ca="1"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R105" t="b">
        <f>IF(Metadata!C105="",FALSE,TRUE)</f>
        <v>0</v>
      </c>
      <c r="S105" t="b">
        <f>OR(AND(IF(Metadata!D105="",FALSE,TRUE),EXACT(Metadata!D105,"missing: not collected")),AND(IF(Metadata!D105="",FALSE,TRUE),OR(EXACT(Metadata!D105,"t"),EXACT(Metadata!D105,"f"))))</f>
        <v>0</v>
      </c>
      <c r="T105" t="b">
        <f>AND(IF(Metadata!E105="",FALSE,TRUE),OR(EXACT(Metadata!E105,"a"),EXACT(Metadata!E105,"b")))</f>
        <v>0</v>
      </c>
      <c r="U105" t="b">
        <f>OR(AND(IF(Metadata!F105="",FALSE,TRUE),OR(EXACT(Metadata!F105,"missing: not collected"),EXACT(Metadata!F105,"missing: not provided"))),AND(IF(Metadata!F105="",FALSE,TRUE),OR(EXACT(Metadata!F105,"lo"),EXACT(Metadata!F105,"med"),EXACT(Metadata!F105,"hi"))))</f>
        <v>0</v>
      </c>
    </row>
    <row r="106" spans="1:21" x14ac:dyDescent="0.2">
      <c r="A106" s="4" t="str">
        <f ca="1">IF(B106=" "," ",HYPERLINK(CONCATENATE("#metadata!",ADDRESS(INDEX($L$2:$L$1001,MATCH(ROWS($J$2:J106),$J$2:$J$1001,0),0),1)),INDEX($O$2:$O$1001,MATCH(ROWS($J$2:J106),$J$2:$J$1001,0),0)))</f>
        <v xml:space="preserve"> </v>
      </c>
      <c r="B106" s="3" t="str">
        <f ca="1">IF(OR(INDEX($K$2:$K$1001,MATCH(ROWS($J$2:J106),$J$2:$J$1001,0),1)&gt;=100000,INDEX($Q$1005:$U$1005,1,MATCH(COLUMNS($Q$1006:Q1006),$Q$1006:$U$1006,0))&gt;=100000), " ",IF(INDEX($Q$2:$U$1001,MATCH(ROWS($J$2:J106),$J$2:$J$1001,0),MATCH(COLUMNS($Q$1006:Q1006),$Q$1006:$U$1006,0)), HYPERLINK("#",""), HYPERLINK(CONCATENATE("#Metadata!", ADDRESS(INDEX($L$2:$L$1001,MATCH(ROWS($J$2:J106),$J$2:$J$1001,0),0), INDEX($Q$1004:$U$1004,1,MATCH(COLUMNS($Q$1006:Q1006),$Q$1006:$U$1006,0)))),"Fix")))</f>
        <v xml:space="preserve"> </v>
      </c>
      <c r="C106" s="3" t="str">
        <f ca="1">IF(OR(INDEX($K$2:$K$1001,MATCH(ROWS($J$2:J106),$J$2:$J$1001,0),1)&gt;=100000,INDEX($Q$1005:$U$1005,1,MATCH(COLUMNS($Q$1006:R1006),$Q$1006:$U$1006,0))&gt;=100000), " ",IF(INDEX($Q$2:$U$1001,MATCH(ROWS($J$2:J106),$J$2:$J$1001,0),MATCH(COLUMNS($Q$1006:R1006),$Q$1006:$U$1006,0)), HYPERLINK("#",""), HYPERLINK(CONCATENATE("#Metadata!", ADDRESS(INDEX($L$2:$L$1001,MATCH(ROWS($J$2:J106),$J$2:$J$1001,0),0), INDEX($Q$1004:$U$1004,1,MATCH(COLUMNS($Q$1006:R1006),$Q$1006:$U$1006,0)))),"Fix")))</f>
        <v xml:space="preserve"> </v>
      </c>
      <c r="D106" s="3" t="str">
        <f ca="1">IF(OR(INDEX($K$2:$K$1001,MATCH(ROWS($J$2:J106),$J$2:$J$1001,0),1)&gt;=100000,INDEX($Q$1005:$U$1005,1,MATCH(COLUMNS($Q$1006:S1006),$Q$1006:$U$1006,0))&gt;=100000), " ",IF(INDEX($Q$2:$U$1001,MATCH(ROWS($J$2:J106),$J$2:$J$1001,0),MATCH(COLUMNS($Q$1006:S1006),$Q$1006:$U$1006,0)), HYPERLINK("#",""), HYPERLINK(CONCATENATE("#Metadata!", ADDRESS(INDEX($L$2:$L$1001,MATCH(ROWS($J$2:J106),$J$2:$J$1001,0),0), INDEX($Q$1004:$U$1004,1,MATCH(COLUMNS($Q$1006:S1006),$Q$1006:$U$1006,0)))),"Fix")))</f>
        <v xml:space="preserve"> </v>
      </c>
      <c r="E106" s="3" t="str">
        <f ca="1">IF(OR(INDEX($K$2:$K$1001,MATCH(ROWS($J$2:J106),$J$2:$J$1001,0),1)&gt;=100000,INDEX($Q$1005:$U$1005,1,MATCH(COLUMNS($Q$1006:T1006),$Q$1006:$U$1006,0))&gt;=100000), " ",IF(INDEX($Q$2:$U$1001,MATCH(ROWS($J$2:J106),$J$2:$J$1001,0),MATCH(COLUMNS($Q$1006:T1006),$Q$1006:$U$1006,0)), HYPERLINK("#",""), HYPERLINK(CONCATENATE("#Metadata!", ADDRESS(INDEX($L$2:$L$1001,MATCH(ROWS($J$2:J106),$J$2:$J$1001,0),0), INDEX($Q$1004:$U$1004,1,MATCH(COLUMNS($Q$1006:T1006),$Q$1006:$U$1006,0)))),"Fix")))</f>
        <v xml:space="preserve"> </v>
      </c>
      <c r="F106" s="3" t="str">
        <f ca="1">IF(OR(INDEX($K$2:$K$1001,MATCH(ROWS($J$2:J106),$J$2:$J$1001,0),1)&gt;=100000,INDEX($Q$1005:$U$1005,1,MATCH(COLUMNS($Q$1006:U1006),$Q$1006:$U$1006,0))&gt;=100000), " ",IF(INDEX($Q$2:$U$1001,MATCH(ROWS($J$2:J106),$J$2:$J$1001,0),MATCH(COLUMNS($Q$1006:U1006),$Q$1006:$U$1006,0)), HYPERLINK("#",""), HYPERLINK(CONCATENATE("#Metadata!", ADDRESS(INDEX($L$2:$L$1001,MATCH(ROWS($J$2:J106),$J$2:$J$1001,0),0), INDEX($Q$1004:$U$1004,1,MATCH(COLUMNS($Q$1006:U1006),$Q$1006:$U$1006,0)))),"Fix")))</f>
        <v xml:space="preserve"> </v>
      </c>
      <c r="J106">
        <f ca="1"/>
        <v>105</v>
      </c>
      <c r="K106">
        <v>100106</v>
      </c>
      <c r="L106">
        <v>106</v>
      </c>
      <c r="M106" t="b">
        <f t="shared" si="1"/>
        <v>1</v>
      </c>
      <c r="N106" t="b">
        <f>COUNTBLANK(Metadata!B106:F106)=COLUMNS(Metadata!B106:F106)</f>
        <v>1</v>
      </c>
      <c r="O106" t="str">
        <v/>
      </c>
      <c r="Q106" t="b">
        <f ca="1"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R106" t="b">
        <f>IF(Metadata!C106="",FALSE,TRUE)</f>
        <v>0</v>
      </c>
      <c r="S106" t="b">
        <f>OR(AND(IF(Metadata!D106="",FALSE,TRUE),EXACT(Metadata!D106,"missing: not collected")),AND(IF(Metadata!D106="",FALSE,TRUE),OR(EXACT(Metadata!D106,"t"),EXACT(Metadata!D106,"f"))))</f>
        <v>0</v>
      </c>
      <c r="T106" t="b">
        <f>AND(IF(Metadata!E106="",FALSE,TRUE),OR(EXACT(Metadata!E106,"a"),EXACT(Metadata!E106,"b")))</f>
        <v>0</v>
      </c>
      <c r="U106" t="b">
        <f>OR(AND(IF(Metadata!F106="",FALSE,TRUE),OR(EXACT(Metadata!F106,"missing: not collected"),EXACT(Metadata!F106,"missing: not provided"))),AND(IF(Metadata!F106="",FALSE,TRUE),OR(EXACT(Metadata!F106,"lo"),EXACT(Metadata!F106,"med"),EXACT(Metadata!F106,"hi"))))</f>
        <v>0</v>
      </c>
    </row>
    <row r="107" spans="1:21" x14ac:dyDescent="0.2">
      <c r="A107" s="4" t="str">
        <f ca="1">IF(B107=" "," ",HYPERLINK(CONCATENATE("#metadata!",ADDRESS(INDEX($L$2:$L$1001,MATCH(ROWS($J$2:J107),$J$2:$J$1001,0),0),1)),INDEX($O$2:$O$1001,MATCH(ROWS($J$2:J107),$J$2:$J$1001,0),0)))</f>
        <v xml:space="preserve"> </v>
      </c>
      <c r="B107" s="3" t="str">
        <f ca="1">IF(OR(INDEX($K$2:$K$1001,MATCH(ROWS($J$2:J107),$J$2:$J$1001,0),1)&gt;=100000,INDEX($Q$1005:$U$1005,1,MATCH(COLUMNS($Q$1006:Q1006),$Q$1006:$U$1006,0))&gt;=100000), " ",IF(INDEX($Q$2:$U$1001,MATCH(ROWS($J$2:J107),$J$2:$J$1001,0),MATCH(COLUMNS($Q$1006:Q1006),$Q$1006:$U$1006,0)), HYPERLINK("#",""), HYPERLINK(CONCATENATE("#Metadata!", ADDRESS(INDEX($L$2:$L$1001,MATCH(ROWS($J$2:J107),$J$2:$J$1001,0),0), INDEX($Q$1004:$U$1004,1,MATCH(COLUMNS($Q$1006:Q1006),$Q$1006:$U$1006,0)))),"Fix")))</f>
        <v xml:space="preserve"> </v>
      </c>
      <c r="C107" s="3" t="str">
        <f ca="1">IF(OR(INDEX($K$2:$K$1001,MATCH(ROWS($J$2:J107),$J$2:$J$1001,0),1)&gt;=100000,INDEX($Q$1005:$U$1005,1,MATCH(COLUMNS($Q$1006:R1006),$Q$1006:$U$1006,0))&gt;=100000), " ",IF(INDEX($Q$2:$U$1001,MATCH(ROWS($J$2:J107),$J$2:$J$1001,0),MATCH(COLUMNS($Q$1006:R1006),$Q$1006:$U$1006,0)), HYPERLINK("#",""), HYPERLINK(CONCATENATE("#Metadata!", ADDRESS(INDEX($L$2:$L$1001,MATCH(ROWS($J$2:J107),$J$2:$J$1001,0),0), INDEX($Q$1004:$U$1004,1,MATCH(COLUMNS($Q$1006:R1006),$Q$1006:$U$1006,0)))),"Fix")))</f>
        <v xml:space="preserve"> </v>
      </c>
      <c r="D107" s="3" t="str">
        <f ca="1">IF(OR(INDEX($K$2:$K$1001,MATCH(ROWS($J$2:J107),$J$2:$J$1001,0),1)&gt;=100000,INDEX($Q$1005:$U$1005,1,MATCH(COLUMNS($Q$1006:S1006),$Q$1006:$U$1006,0))&gt;=100000), " ",IF(INDEX($Q$2:$U$1001,MATCH(ROWS($J$2:J107),$J$2:$J$1001,0),MATCH(COLUMNS($Q$1006:S1006),$Q$1006:$U$1006,0)), HYPERLINK("#",""), HYPERLINK(CONCATENATE("#Metadata!", ADDRESS(INDEX($L$2:$L$1001,MATCH(ROWS($J$2:J107),$J$2:$J$1001,0),0), INDEX($Q$1004:$U$1004,1,MATCH(COLUMNS($Q$1006:S1006),$Q$1006:$U$1006,0)))),"Fix")))</f>
        <v xml:space="preserve"> </v>
      </c>
      <c r="E107" s="3" t="str">
        <f ca="1">IF(OR(INDEX($K$2:$K$1001,MATCH(ROWS($J$2:J107),$J$2:$J$1001,0),1)&gt;=100000,INDEX($Q$1005:$U$1005,1,MATCH(COLUMNS($Q$1006:T1006),$Q$1006:$U$1006,0))&gt;=100000), " ",IF(INDEX($Q$2:$U$1001,MATCH(ROWS($J$2:J107),$J$2:$J$1001,0),MATCH(COLUMNS($Q$1006:T1006),$Q$1006:$U$1006,0)), HYPERLINK("#",""), HYPERLINK(CONCATENATE("#Metadata!", ADDRESS(INDEX($L$2:$L$1001,MATCH(ROWS($J$2:J107),$J$2:$J$1001,0),0), INDEX($Q$1004:$U$1004,1,MATCH(COLUMNS($Q$1006:T1006),$Q$1006:$U$1006,0)))),"Fix")))</f>
        <v xml:space="preserve"> </v>
      </c>
      <c r="F107" s="3" t="str">
        <f ca="1">IF(OR(INDEX($K$2:$K$1001,MATCH(ROWS($J$2:J107),$J$2:$J$1001,0),1)&gt;=100000,INDEX($Q$1005:$U$1005,1,MATCH(COLUMNS($Q$1006:U1006),$Q$1006:$U$1006,0))&gt;=100000), " ",IF(INDEX($Q$2:$U$1001,MATCH(ROWS($J$2:J107),$J$2:$J$1001,0),MATCH(COLUMNS($Q$1006:U1006),$Q$1006:$U$1006,0)), HYPERLINK("#",""), HYPERLINK(CONCATENATE("#Metadata!", ADDRESS(INDEX($L$2:$L$1001,MATCH(ROWS($J$2:J107),$J$2:$J$1001,0),0), INDEX($Q$1004:$U$1004,1,MATCH(COLUMNS($Q$1006:U1006),$Q$1006:$U$1006,0)))),"Fix")))</f>
        <v xml:space="preserve"> </v>
      </c>
      <c r="J107">
        <f ca="1"/>
        <v>106</v>
      </c>
      <c r="K107">
        <v>100107</v>
      </c>
      <c r="L107">
        <v>107</v>
      </c>
      <c r="M107" t="b">
        <f t="shared" si="1"/>
        <v>1</v>
      </c>
      <c r="N107" t="b">
        <f>COUNTBLANK(Metadata!B107:F107)=COLUMNS(Metadata!B107:F107)</f>
        <v>1</v>
      </c>
      <c r="O107" t="str">
        <v/>
      </c>
      <c r="Q107" t="b">
        <f ca="1"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R107" t="b">
        <f>IF(Metadata!C107="",FALSE,TRUE)</f>
        <v>0</v>
      </c>
      <c r="S107" t="b">
        <f>OR(AND(IF(Metadata!D107="",FALSE,TRUE),EXACT(Metadata!D107,"missing: not collected")),AND(IF(Metadata!D107="",FALSE,TRUE),OR(EXACT(Metadata!D107,"t"),EXACT(Metadata!D107,"f"))))</f>
        <v>0</v>
      </c>
      <c r="T107" t="b">
        <f>AND(IF(Metadata!E107="",FALSE,TRUE),OR(EXACT(Metadata!E107,"a"),EXACT(Metadata!E107,"b")))</f>
        <v>0</v>
      </c>
      <c r="U107" t="b">
        <f>OR(AND(IF(Metadata!F107="",FALSE,TRUE),OR(EXACT(Metadata!F107,"missing: not collected"),EXACT(Metadata!F107,"missing: not provided"))),AND(IF(Metadata!F107="",FALSE,TRUE),OR(EXACT(Metadata!F107,"lo"),EXACT(Metadata!F107,"med"),EXACT(Metadata!F107,"hi"))))</f>
        <v>0</v>
      </c>
    </row>
    <row r="108" spans="1:21" x14ac:dyDescent="0.2">
      <c r="A108" s="4" t="str">
        <f ca="1">IF(B108=" "," ",HYPERLINK(CONCATENATE("#metadata!",ADDRESS(INDEX($L$2:$L$1001,MATCH(ROWS($J$2:J108),$J$2:$J$1001,0),0),1)),INDEX($O$2:$O$1001,MATCH(ROWS($J$2:J108),$J$2:$J$1001,0),0)))</f>
        <v xml:space="preserve"> </v>
      </c>
      <c r="B108" s="3" t="str">
        <f ca="1">IF(OR(INDEX($K$2:$K$1001,MATCH(ROWS($J$2:J108),$J$2:$J$1001,0),1)&gt;=100000,INDEX($Q$1005:$U$1005,1,MATCH(COLUMNS($Q$1006:Q1006),$Q$1006:$U$1006,0))&gt;=100000), " ",IF(INDEX($Q$2:$U$1001,MATCH(ROWS($J$2:J108),$J$2:$J$1001,0),MATCH(COLUMNS($Q$1006:Q1006),$Q$1006:$U$1006,0)), HYPERLINK("#",""), HYPERLINK(CONCATENATE("#Metadata!", ADDRESS(INDEX($L$2:$L$1001,MATCH(ROWS($J$2:J108),$J$2:$J$1001,0),0), INDEX($Q$1004:$U$1004,1,MATCH(COLUMNS($Q$1006:Q1006),$Q$1006:$U$1006,0)))),"Fix")))</f>
        <v xml:space="preserve"> </v>
      </c>
      <c r="C108" s="3" t="str">
        <f ca="1">IF(OR(INDEX($K$2:$K$1001,MATCH(ROWS($J$2:J108),$J$2:$J$1001,0),1)&gt;=100000,INDEX($Q$1005:$U$1005,1,MATCH(COLUMNS($Q$1006:R1006),$Q$1006:$U$1006,0))&gt;=100000), " ",IF(INDEX($Q$2:$U$1001,MATCH(ROWS($J$2:J108),$J$2:$J$1001,0),MATCH(COLUMNS($Q$1006:R1006),$Q$1006:$U$1006,0)), HYPERLINK("#",""), HYPERLINK(CONCATENATE("#Metadata!", ADDRESS(INDEX($L$2:$L$1001,MATCH(ROWS($J$2:J108),$J$2:$J$1001,0),0), INDEX($Q$1004:$U$1004,1,MATCH(COLUMNS($Q$1006:R1006),$Q$1006:$U$1006,0)))),"Fix")))</f>
        <v xml:space="preserve"> </v>
      </c>
      <c r="D108" s="3" t="str">
        <f ca="1">IF(OR(INDEX($K$2:$K$1001,MATCH(ROWS($J$2:J108),$J$2:$J$1001,0),1)&gt;=100000,INDEX($Q$1005:$U$1005,1,MATCH(COLUMNS($Q$1006:S1006),$Q$1006:$U$1006,0))&gt;=100000), " ",IF(INDEX($Q$2:$U$1001,MATCH(ROWS($J$2:J108),$J$2:$J$1001,0),MATCH(COLUMNS($Q$1006:S1006),$Q$1006:$U$1006,0)), HYPERLINK("#",""), HYPERLINK(CONCATENATE("#Metadata!", ADDRESS(INDEX($L$2:$L$1001,MATCH(ROWS($J$2:J108),$J$2:$J$1001,0),0), INDEX($Q$1004:$U$1004,1,MATCH(COLUMNS($Q$1006:S1006),$Q$1006:$U$1006,0)))),"Fix")))</f>
        <v xml:space="preserve"> </v>
      </c>
      <c r="E108" s="3" t="str">
        <f ca="1">IF(OR(INDEX($K$2:$K$1001,MATCH(ROWS($J$2:J108),$J$2:$J$1001,0),1)&gt;=100000,INDEX($Q$1005:$U$1005,1,MATCH(COLUMNS($Q$1006:T1006),$Q$1006:$U$1006,0))&gt;=100000), " ",IF(INDEX($Q$2:$U$1001,MATCH(ROWS($J$2:J108),$J$2:$J$1001,0),MATCH(COLUMNS($Q$1006:T1006),$Q$1006:$U$1006,0)), HYPERLINK("#",""), HYPERLINK(CONCATENATE("#Metadata!", ADDRESS(INDEX($L$2:$L$1001,MATCH(ROWS($J$2:J108),$J$2:$J$1001,0),0), INDEX($Q$1004:$U$1004,1,MATCH(COLUMNS($Q$1006:T1006),$Q$1006:$U$1006,0)))),"Fix")))</f>
        <v xml:space="preserve"> </v>
      </c>
      <c r="F108" s="3" t="str">
        <f ca="1">IF(OR(INDEX($K$2:$K$1001,MATCH(ROWS($J$2:J108),$J$2:$J$1001,0),1)&gt;=100000,INDEX($Q$1005:$U$1005,1,MATCH(COLUMNS($Q$1006:U1006),$Q$1006:$U$1006,0))&gt;=100000), " ",IF(INDEX($Q$2:$U$1001,MATCH(ROWS($J$2:J108),$J$2:$J$1001,0),MATCH(COLUMNS($Q$1006:U1006),$Q$1006:$U$1006,0)), HYPERLINK("#",""), HYPERLINK(CONCATENATE("#Metadata!", ADDRESS(INDEX($L$2:$L$1001,MATCH(ROWS($J$2:J108),$J$2:$J$1001,0),0), INDEX($Q$1004:$U$1004,1,MATCH(COLUMNS($Q$1006:U1006),$Q$1006:$U$1006,0)))),"Fix")))</f>
        <v xml:space="preserve"> </v>
      </c>
      <c r="J108">
        <f ca="1"/>
        <v>107</v>
      </c>
      <c r="K108">
        <v>100108</v>
      </c>
      <c r="L108">
        <v>108</v>
      </c>
      <c r="M108" t="b">
        <f t="shared" si="1"/>
        <v>1</v>
      </c>
      <c r="N108" t="b">
        <f>COUNTBLANK(Metadata!B108:F108)=COLUMNS(Metadata!B108:F108)</f>
        <v>1</v>
      </c>
      <c r="O108" t="str">
        <v/>
      </c>
      <c r="Q108" t="b">
        <f ca="1"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R108" t="b">
        <f>IF(Metadata!C108="",FALSE,TRUE)</f>
        <v>0</v>
      </c>
      <c r="S108" t="b">
        <f>OR(AND(IF(Metadata!D108="",FALSE,TRUE),EXACT(Metadata!D108,"missing: not collected")),AND(IF(Metadata!D108="",FALSE,TRUE),OR(EXACT(Metadata!D108,"t"),EXACT(Metadata!D108,"f"))))</f>
        <v>0</v>
      </c>
      <c r="T108" t="b">
        <f>AND(IF(Metadata!E108="",FALSE,TRUE),OR(EXACT(Metadata!E108,"a"),EXACT(Metadata!E108,"b")))</f>
        <v>0</v>
      </c>
      <c r="U108" t="b">
        <f>OR(AND(IF(Metadata!F108="",FALSE,TRUE),OR(EXACT(Metadata!F108,"missing: not collected"),EXACT(Metadata!F108,"missing: not provided"))),AND(IF(Metadata!F108="",FALSE,TRUE),OR(EXACT(Metadata!F108,"lo"),EXACT(Metadata!F108,"med"),EXACT(Metadata!F108,"hi"))))</f>
        <v>0</v>
      </c>
    </row>
    <row r="109" spans="1:21" x14ac:dyDescent="0.2">
      <c r="A109" s="4" t="str">
        <f ca="1">IF(B109=" "," ",HYPERLINK(CONCATENATE("#metadata!",ADDRESS(INDEX($L$2:$L$1001,MATCH(ROWS($J$2:J109),$J$2:$J$1001,0),0),1)),INDEX($O$2:$O$1001,MATCH(ROWS($J$2:J109),$J$2:$J$1001,0),0)))</f>
        <v xml:space="preserve"> </v>
      </c>
      <c r="B109" s="3" t="str">
        <f ca="1">IF(OR(INDEX($K$2:$K$1001,MATCH(ROWS($J$2:J109),$J$2:$J$1001,0),1)&gt;=100000,INDEX($Q$1005:$U$1005,1,MATCH(COLUMNS($Q$1006:Q1006),$Q$1006:$U$1006,0))&gt;=100000), " ",IF(INDEX($Q$2:$U$1001,MATCH(ROWS($J$2:J109),$J$2:$J$1001,0),MATCH(COLUMNS($Q$1006:Q1006),$Q$1006:$U$1006,0)), HYPERLINK("#",""), HYPERLINK(CONCATENATE("#Metadata!", ADDRESS(INDEX($L$2:$L$1001,MATCH(ROWS($J$2:J109),$J$2:$J$1001,0),0), INDEX($Q$1004:$U$1004,1,MATCH(COLUMNS($Q$1006:Q1006),$Q$1006:$U$1006,0)))),"Fix")))</f>
        <v xml:space="preserve"> </v>
      </c>
      <c r="C109" s="3" t="str">
        <f ca="1">IF(OR(INDEX($K$2:$K$1001,MATCH(ROWS($J$2:J109),$J$2:$J$1001,0),1)&gt;=100000,INDEX($Q$1005:$U$1005,1,MATCH(COLUMNS($Q$1006:R1006),$Q$1006:$U$1006,0))&gt;=100000), " ",IF(INDEX($Q$2:$U$1001,MATCH(ROWS($J$2:J109),$J$2:$J$1001,0),MATCH(COLUMNS($Q$1006:R1006),$Q$1006:$U$1006,0)), HYPERLINK("#",""), HYPERLINK(CONCATENATE("#Metadata!", ADDRESS(INDEX($L$2:$L$1001,MATCH(ROWS($J$2:J109),$J$2:$J$1001,0),0), INDEX($Q$1004:$U$1004,1,MATCH(COLUMNS($Q$1006:R1006),$Q$1006:$U$1006,0)))),"Fix")))</f>
        <v xml:space="preserve"> </v>
      </c>
      <c r="D109" s="3" t="str">
        <f ca="1">IF(OR(INDEX($K$2:$K$1001,MATCH(ROWS($J$2:J109),$J$2:$J$1001,0),1)&gt;=100000,INDEX($Q$1005:$U$1005,1,MATCH(COLUMNS($Q$1006:S1006),$Q$1006:$U$1006,0))&gt;=100000), " ",IF(INDEX($Q$2:$U$1001,MATCH(ROWS($J$2:J109),$J$2:$J$1001,0),MATCH(COLUMNS($Q$1006:S1006),$Q$1006:$U$1006,0)), HYPERLINK("#",""), HYPERLINK(CONCATENATE("#Metadata!", ADDRESS(INDEX($L$2:$L$1001,MATCH(ROWS($J$2:J109),$J$2:$J$1001,0),0), INDEX($Q$1004:$U$1004,1,MATCH(COLUMNS($Q$1006:S1006),$Q$1006:$U$1006,0)))),"Fix")))</f>
        <v xml:space="preserve"> </v>
      </c>
      <c r="E109" s="3" t="str">
        <f ca="1">IF(OR(INDEX($K$2:$K$1001,MATCH(ROWS($J$2:J109),$J$2:$J$1001,0),1)&gt;=100000,INDEX($Q$1005:$U$1005,1,MATCH(COLUMNS($Q$1006:T1006),$Q$1006:$U$1006,0))&gt;=100000), " ",IF(INDEX($Q$2:$U$1001,MATCH(ROWS($J$2:J109),$J$2:$J$1001,0),MATCH(COLUMNS($Q$1006:T1006),$Q$1006:$U$1006,0)), HYPERLINK("#",""), HYPERLINK(CONCATENATE("#Metadata!", ADDRESS(INDEX($L$2:$L$1001,MATCH(ROWS($J$2:J109),$J$2:$J$1001,0),0), INDEX($Q$1004:$U$1004,1,MATCH(COLUMNS($Q$1006:T1006),$Q$1006:$U$1006,0)))),"Fix")))</f>
        <v xml:space="preserve"> </v>
      </c>
      <c r="F109" s="3" t="str">
        <f ca="1">IF(OR(INDEX($K$2:$K$1001,MATCH(ROWS($J$2:J109),$J$2:$J$1001,0),1)&gt;=100000,INDEX($Q$1005:$U$1005,1,MATCH(COLUMNS($Q$1006:U1006),$Q$1006:$U$1006,0))&gt;=100000), " ",IF(INDEX($Q$2:$U$1001,MATCH(ROWS($J$2:J109),$J$2:$J$1001,0),MATCH(COLUMNS($Q$1006:U1006),$Q$1006:$U$1006,0)), HYPERLINK("#",""), HYPERLINK(CONCATENATE("#Metadata!", ADDRESS(INDEX($L$2:$L$1001,MATCH(ROWS($J$2:J109),$J$2:$J$1001,0),0), INDEX($Q$1004:$U$1004,1,MATCH(COLUMNS($Q$1006:U1006),$Q$1006:$U$1006,0)))),"Fix")))</f>
        <v xml:space="preserve"> </v>
      </c>
      <c r="J109">
        <f ca="1"/>
        <v>108</v>
      </c>
      <c r="K109">
        <v>100109</v>
      </c>
      <c r="L109">
        <v>109</v>
      </c>
      <c r="M109" t="b">
        <f t="shared" si="1"/>
        <v>1</v>
      </c>
      <c r="N109" t="b">
        <f>COUNTBLANK(Metadata!B109:F109)=COLUMNS(Metadata!B109:F109)</f>
        <v>1</v>
      </c>
      <c r="O109" t="str">
        <v/>
      </c>
      <c r="Q109" t="b">
        <f ca="1"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R109" t="b">
        <f>IF(Metadata!C109="",FALSE,TRUE)</f>
        <v>0</v>
      </c>
      <c r="S109" t="b">
        <f>OR(AND(IF(Metadata!D109="",FALSE,TRUE),EXACT(Metadata!D109,"missing: not collected")),AND(IF(Metadata!D109="",FALSE,TRUE),OR(EXACT(Metadata!D109,"t"),EXACT(Metadata!D109,"f"))))</f>
        <v>0</v>
      </c>
      <c r="T109" t="b">
        <f>AND(IF(Metadata!E109="",FALSE,TRUE),OR(EXACT(Metadata!E109,"a"),EXACT(Metadata!E109,"b")))</f>
        <v>0</v>
      </c>
      <c r="U109" t="b">
        <f>OR(AND(IF(Metadata!F109="",FALSE,TRUE),OR(EXACT(Metadata!F109,"missing: not collected"),EXACT(Metadata!F109,"missing: not provided"))),AND(IF(Metadata!F109="",FALSE,TRUE),OR(EXACT(Metadata!F109,"lo"),EXACT(Metadata!F109,"med"),EXACT(Metadata!F109,"hi"))))</f>
        <v>0</v>
      </c>
    </row>
    <row r="110" spans="1:21" x14ac:dyDescent="0.2">
      <c r="A110" s="4" t="str">
        <f ca="1">IF(B110=" "," ",HYPERLINK(CONCATENATE("#metadata!",ADDRESS(INDEX($L$2:$L$1001,MATCH(ROWS($J$2:J110),$J$2:$J$1001,0),0),1)),INDEX($O$2:$O$1001,MATCH(ROWS($J$2:J110),$J$2:$J$1001,0),0)))</f>
        <v xml:space="preserve"> </v>
      </c>
      <c r="B110" s="3" t="str">
        <f ca="1">IF(OR(INDEX($K$2:$K$1001,MATCH(ROWS($J$2:J110),$J$2:$J$1001,0),1)&gt;=100000,INDEX($Q$1005:$U$1005,1,MATCH(COLUMNS($Q$1006:Q1006),$Q$1006:$U$1006,0))&gt;=100000), " ",IF(INDEX($Q$2:$U$1001,MATCH(ROWS($J$2:J110),$J$2:$J$1001,0),MATCH(COLUMNS($Q$1006:Q1006),$Q$1006:$U$1006,0)), HYPERLINK("#",""), HYPERLINK(CONCATENATE("#Metadata!", ADDRESS(INDEX($L$2:$L$1001,MATCH(ROWS($J$2:J110),$J$2:$J$1001,0),0), INDEX($Q$1004:$U$1004,1,MATCH(COLUMNS($Q$1006:Q1006),$Q$1006:$U$1006,0)))),"Fix")))</f>
        <v xml:space="preserve"> </v>
      </c>
      <c r="C110" s="3" t="str">
        <f ca="1">IF(OR(INDEX($K$2:$K$1001,MATCH(ROWS($J$2:J110),$J$2:$J$1001,0),1)&gt;=100000,INDEX($Q$1005:$U$1005,1,MATCH(COLUMNS($Q$1006:R1006),$Q$1006:$U$1006,0))&gt;=100000), " ",IF(INDEX($Q$2:$U$1001,MATCH(ROWS($J$2:J110),$J$2:$J$1001,0),MATCH(COLUMNS($Q$1006:R1006),$Q$1006:$U$1006,0)), HYPERLINK("#",""), HYPERLINK(CONCATENATE("#Metadata!", ADDRESS(INDEX($L$2:$L$1001,MATCH(ROWS($J$2:J110),$J$2:$J$1001,0),0), INDEX($Q$1004:$U$1004,1,MATCH(COLUMNS($Q$1006:R1006),$Q$1006:$U$1006,0)))),"Fix")))</f>
        <v xml:space="preserve"> </v>
      </c>
      <c r="D110" s="3" t="str">
        <f ca="1">IF(OR(INDEX($K$2:$K$1001,MATCH(ROWS($J$2:J110),$J$2:$J$1001,0),1)&gt;=100000,INDEX($Q$1005:$U$1005,1,MATCH(COLUMNS($Q$1006:S1006),$Q$1006:$U$1006,0))&gt;=100000), " ",IF(INDEX($Q$2:$U$1001,MATCH(ROWS($J$2:J110),$J$2:$J$1001,0),MATCH(COLUMNS($Q$1006:S1006),$Q$1006:$U$1006,0)), HYPERLINK("#",""), HYPERLINK(CONCATENATE("#Metadata!", ADDRESS(INDEX($L$2:$L$1001,MATCH(ROWS($J$2:J110),$J$2:$J$1001,0),0), INDEX($Q$1004:$U$1004,1,MATCH(COLUMNS($Q$1006:S1006),$Q$1006:$U$1006,0)))),"Fix")))</f>
        <v xml:space="preserve"> </v>
      </c>
      <c r="E110" s="3" t="str">
        <f ca="1">IF(OR(INDEX($K$2:$K$1001,MATCH(ROWS($J$2:J110),$J$2:$J$1001,0),1)&gt;=100000,INDEX($Q$1005:$U$1005,1,MATCH(COLUMNS($Q$1006:T1006),$Q$1006:$U$1006,0))&gt;=100000), " ",IF(INDEX($Q$2:$U$1001,MATCH(ROWS($J$2:J110),$J$2:$J$1001,0),MATCH(COLUMNS($Q$1006:T1006),$Q$1006:$U$1006,0)), HYPERLINK("#",""), HYPERLINK(CONCATENATE("#Metadata!", ADDRESS(INDEX($L$2:$L$1001,MATCH(ROWS($J$2:J110),$J$2:$J$1001,0),0), INDEX($Q$1004:$U$1004,1,MATCH(COLUMNS($Q$1006:T1006),$Q$1006:$U$1006,0)))),"Fix")))</f>
        <v xml:space="preserve"> </v>
      </c>
      <c r="F110" s="3" t="str">
        <f ca="1">IF(OR(INDEX($K$2:$K$1001,MATCH(ROWS($J$2:J110),$J$2:$J$1001,0),1)&gt;=100000,INDEX($Q$1005:$U$1005,1,MATCH(COLUMNS($Q$1006:U1006),$Q$1006:$U$1006,0))&gt;=100000), " ",IF(INDEX($Q$2:$U$1001,MATCH(ROWS($J$2:J110),$J$2:$J$1001,0),MATCH(COLUMNS($Q$1006:U1006),$Q$1006:$U$1006,0)), HYPERLINK("#",""), HYPERLINK(CONCATENATE("#Metadata!", ADDRESS(INDEX($L$2:$L$1001,MATCH(ROWS($J$2:J110),$J$2:$J$1001,0),0), INDEX($Q$1004:$U$1004,1,MATCH(COLUMNS($Q$1006:U1006),$Q$1006:$U$1006,0)))),"Fix")))</f>
        <v xml:space="preserve"> </v>
      </c>
      <c r="J110">
        <f ca="1"/>
        <v>109</v>
      </c>
      <c r="K110">
        <v>100110</v>
      </c>
      <c r="L110">
        <v>110</v>
      </c>
      <c r="M110" t="b">
        <f t="shared" si="1"/>
        <v>1</v>
      </c>
      <c r="N110" t="b">
        <f>COUNTBLANK(Metadata!B110:F110)=COLUMNS(Metadata!B110:F110)</f>
        <v>1</v>
      </c>
      <c r="O110" t="str">
        <v/>
      </c>
      <c r="Q110" t="b">
        <f ca="1"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R110" t="b">
        <f>IF(Metadata!C110="",FALSE,TRUE)</f>
        <v>0</v>
      </c>
      <c r="S110" t="b">
        <f>OR(AND(IF(Metadata!D110="",FALSE,TRUE),EXACT(Metadata!D110,"missing: not collected")),AND(IF(Metadata!D110="",FALSE,TRUE),OR(EXACT(Metadata!D110,"t"),EXACT(Metadata!D110,"f"))))</f>
        <v>0</v>
      </c>
      <c r="T110" t="b">
        <f>AND(IF(Metadata!E110="",FALSE,TRUE),OR(EXACT(Metadata!E110,"a"),EXACT(Metadata!E110,"b")))</f>
        <v>0</v>
      </c>
      <c r="U110" t="b">
        <f>OR(AND(IF(Metadata!F110="",FALSE,TRUE),OR(EXACT(Metadata!F110,"missing: not collected"),EXACT(Metadata!F110,"missing: not provided"))),AND(IF(Metadata!F110="",FALSE,TRUE),OR(EXACT(Metadata!F110,"lo"),EXACT(Metadata!F110,"med"),EXACT(Metadata!F110,"hi"))))</f>
        <v>0</v>
      </c>
    </row>
    <row r="111" spans="1:21" x14ac:dyDescent="0.2">
      <c r="A111" s="4" t="str">
        <f ca="1">IF(B111=" "," ",HYPERLINK(CONCATENATE("#metadata!",ADDRESS(INDEX($L$2:$L$1001,MATCH(ROWS($J$2:J111),$J$2:$J$1001,0),0),1)),INDEX($O$2:$O$1001,MATCH(ROWS($J$2:J111),$J$2:$J$1001,0),0)))</f>
        <v xml:space="preserve"> </v>
      </c>
      <c r="B111" s="3" t="str">
        <f ca="1">IF(OR(INDEX($K$2:$K$1001,MATCH(ROWS($J$2:J111),$J$2:$J$1001,0),1)&gt;=100000,INDEX($Q$1005:$U$1005,1,MATCH(COLUMNS($Q$1006:Q1006),$Q$1006:$U$1006,0))&gt;=100000), " ",IF(INDEX($Q$2:$U$1001,MATCH(ROWS($J$2:J111),$J$2:$J$1001,0),MATCH(COLUMNS($Q$1006:Q1006),$Q$1006:$U$1006,0)), HYPERLINK("#",""), HYPERLINK(CONCATENATE("#Metadata!", ADDRESS(INDEX($L$2:$L$1001,MATCH(ROWS($J$2:J111),$J$2:$J$1001,0),0), INDEX($Q$1004:$U$1004,1,MATCH(COLUMNS($Q$1006:Q1006),$Q$1006:$U$1006,0)))),"Fix")))</f>
        <v xml:space="preserve"> </v>
      </c>
      <c r="C111" s="3" t="str">
        <f ca="1">IF(OR(INDEX($K$2:$K$1001,MATCH(ROWS($J$2:J111),$J$2:$J$1001,0),1)&gt;=100000,INDEX($Q$1005:$U$1005,1,MATCH(COLUMNS($Q$1006:R1006),$Q$1006:$U$1006,0))&gt;=100000), " ",IF(INDEX($Q$2:$U$1001,MATCH(ROWS($J$2:J111),$J$2:$J$1001,0),MATCH(COLUMNS($Q$1006:R1006),$Q$1006:$U$1006,0)), HYPERLINK("#",""), HYPERLINK(CONCATENATE("#Metadata!", ADDRESS(INDEX($L$2:$L$1001,MATCH(ROWS($J$2:J111),$J$2:$J$1001,0),0), INDEX($Q$1004:$U$1004,1,MATCH(COLUMNS($Q$1006:R1006),$Q$1006:$U$1006,0)))),"Fix")))</f>
        <v xml:space="preserve"> </v>
      </c>
      <c r="D111" s="3" t="str">
        <f ca="1">IF(OR(INDEX($K$2:$K$1001,MATCH(ROWS($J$2:J111),$J$2:$J$1001,0),1)&gt;=100000,INDEX($Q$1005:$U$1005,1,MATCH(COLUMNS($Q$1006:S1006),$Q$1006:$U$1006,0))&gt;=100000), " ",IF(INDEX($Q$2:$U$1001,MATCH(ROWS($J$2:J111),$J$2:$J$1001,0),MATCH(COLUMNS($Q$1006:S1006),$Q$1006:$U$1006,0)), HYPERLINK("#",""), HYPERLINK(CONCATENATE("#Metadata!", ADDRESS(INDEX($L$2:$L$1001,MATCH(ROWS($J$2:J111),$J$2:$J$1001,0),0), INDEX($Q$1004:$U$1004,1,MATCH(COLUMNS($Q$1006:S1006),$Q$1006:$U$1006,0)))),"Fix")))</f>
        <v xml:space="preserve"> </v>
      </c>
      <c r="E111" s="3" t="str">
        <f ca="1">IF(OR(INDEX($K$2:$K$1001,MATCH(ROWS($J$2:J111),$J$2:$J$1001,0),1)&gt;=100000,INDEX($Q$1005:$U$1005,1,MATCH(COLUMNS($Q$1006:T1006),$Q$1006:$U$1006,0))&gt;=100000), " ",IF(INDEX($Q$2:$U$1001,MATCH(ROWS($J$2:J111),$J$2:$J$1001,0),MATCH(COLUMNS($Q$1006:T1006),$Q$1006:$U$1006,0)), HYPERLINK("#",""), HYPERLINK(CONCATENATE("#Metadata!", ADDRESS(INDEX($L$2:$L$1001,MATCH(ROWS($J$2:J111),$J$2:$J$1001,0),0), INDEX($Q$1004:$U$1004,1,MATCH(COLUMNS($Q$1006:T1006),$Q$1006:$U$1006,0)))),"Fix")))</f>
        <v xml:space="preserve"> </v>
      </c>
      <c r="F111" s="3" t="str">
        <f ca="1">IF(OR(INDEX($K$2:$K$1001,MATCH(ROWS($J$2:J111),$J$2:$J$1001,0),1)&gt;=100000,INDEX($Q$1005:$U$1005,1,MATCH(COLUMNS($Q$1006:U1006),$Q$1006:$U$1006,0))&gt;=100000), " ",IF(INDEX($Q$2:$U$1001,MATCH(ROWS($J$2:J111),$J$2:$J$1001,0),MATCH(COLUMNS($Q$1006:U1006),$Q$1006:$U$1006,0)), HYPERLINK("#",""), HYPERLINK(CONCATENATE("#Metadata!", ADDRESS(INDEX($L$2:$L$1001,MATCH(ROWS($J$2:J111),$J$2:$J$1001,0),0), INDEX($Q$1004:$U$1004,1,MATCH(COLUMNS($Q$1006:U1006),$Q$1006:$U$1006,0)))),"Fix")))</f>
        <v xml:space="preserve"> </v>
      </c>
      <c r="J111">
        <f ca="1"/>
        <v>110</v>
      </c>
      <c r="K111">
        <v>100111</v>
      </c>
      <c r="L111">
        <v>111</v>
      </c>
      <c r="M111" t="b">
        <f t="shared" si="1"/>
        <v>1</v>
      </c>
      <c r="N111" t="b">
        <f>COUNTBLANK(Metadata!B111:F111)=COLUMNS(Metadata!B111:F111)</f>
        <v>1</v>
      </c>
      <c r="O111" t="str">
        <v/>
      </c>
      <c r="Q111" t="b">
        <f ca="1"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R111" t="b">
        <f>IF(Metadata!C111="",FALSE,TRUE)</f>
        <v>0</v>
      </c>
      <c r="S111" t="b">
        <f>OR(AND(IF(Metadata!D111="",FALSE,TRUE),EXACT(Metadata!D111,"missing: not collected")),AND(IF(Metadata!D111="",FALSE,TRUE),OR(EXACT(Metadata!D111,"t"),EXACT(Metadata!D111,"f"))))</f>
        <v>0</v>
      </c>
      <c r="T111" t="b">
        <f>AND(IF(Metadata!E111="",FALSE,TRUE),OR(EXACT(Metadata!E111,"a"),EXACT(Metadata!E111,"b")))</f>
        <v>0</v>
      </c>
      <c r="U111" t="b">
        <f>OR(AND(IF(Metadata!F111="",FALSE,TRUE),OR(EXACT(Metadata!F111,"missing: not collected"),EXACT(Metadata!F111,"missing: not provided"))),AND(IF(Metadata!F111="",FALSE,TRUE),OR(EXACT(Metadata!F111,"lo"),EXACT(Metadata!F111,"med"),EXACT(Metadata!F111,"hi"))))</f>
        <v>0</v>
      </c>
    </row>
    <row r="112" spans="1:21" x14ac:dyDescent="0.2">
      <c r="A112" s="4" t="str">
        <f ca="1">IF(B112=" "," ",HYPERLINK(CONCATENATE("#metadata!",ADDRESS(INDEX($L$2:$L$1001,MATCH(ROWS($J$2:J112),$J$2:$J$1001,0),0),1)),INDEX($O$2:$O$1001,MATCH(ROWS($J$2:J112),$J$2:$J$1001,0),0)))</f>
        <v xml:space="preserve"> </v>
      </c>
      <c r="B112" s="3" t="str">
        <f ca="1">IF(OR(INDEX($K$2:$K$1001,MATCH(ROWS($J$2:J112),$J$2:$J$1001,0),1)&gt;=100000,INDEX($Q$1005:$U$1005,1,MATCH(COLUMNS($Q$1006:Q1006),$Q$1006:$U$1006,0))&gt;=100000), " ",IF(INDEX($Q$2:$U$1001,MATCH(ROWS($J$2:J112),$J$2:$J$1001,0),MATCH(COLUMNS($Q$1006:Q1006),$Q$1006:$U$1006,0)), HYPERLINK("#",""), HYPERLINK(CONCATENATE("#Metadata!", ADDRESS(INDEX($L$2:$L$1001,MATCH(ROWS($J$2:J112),$J$2:$J$1001,0),0), INDEX($Q$1004:$U$1004,1,MATCH(COLUMNS($Q$1006:Q1006),$Q$1006:$U$1006,0)))),"Fix")))</f>
        <v xml:space="preserve"> </v>
      </c>
      <c r="C112" s="3" t="str">
        <f ca="1">IF(OR(INDEX($K$2:$K$1001,MATCH(ROWS($J$2:J112),$J$2:$J$1001,0),1)&gt;=100000,INDEX($Q$1005:$U$1005,1,MATCH(COLUMNS($Q$1006:R1006),$Q$1006:$U$1006,0))&gt;=100000), " ",IF(INDEX($Q$2:$U$1001,MATCH(ROWS($J$2:J112),$J$2:$J$1001,0),MATCH(COLUMNS($Q$1006:R1006),$Q$1006:$U$1006,0)), HYPERLINK("#",""), HYPERLINK(CONCATENATE("#Metadata!", ADDRESS(INDEX($L$2:$L$1001,MATCH(ROWS($J$2:J112),$J$2:$J$1001,0),0), INDEX($Q$1004:$U$1004,1,MATCH(COLUMNS($Q$1006:R1006),$Q$1006:$U$1006,0)))),"Fix")))</f>
        <v xml:space="preserve"> </v>
      </c>
      <c r="D112" s="3" t="str">
        <f ca="1">IF(OR(INDEX($K$2:$K$1001,MATCH(ROWS($J$2:J112),$J$2:$J$1001,0),1)&gt;=100000,INDEX($Q$1005:$U$1005,1,MATCH(COLUMNS($Q$1006:S1006),$Q$1006:$U$1006,0))&gt;=100000), " ",IF(INDEX($Q$2:$U$1001,MATCH(ROWS($J$2:J112),$J$2:$J$1001,0),MATCH(COLUMNS($Q$1006:S1006),$Q$1006:$U$1006,0)), HYPERLINK("#",""), HYPERLINK(CONCATENATE("#Metadata!", ADDRESS(INDEX($L$2:$L$1001,MATCH(ROWS($J$2:J112),$J$2:$J$1001,0),0), INDEX($Q$1004:$U$1004,1,MATCH(COLUMNS($Q$1006:S1006),$Q$1006:$U$1006,0)))),"Fix")))</f>
        <v xml:space="preserve"> </v>
      </c>
      <c r="E112" s="3" t="str">
        <f ca="1">IF(OR(INDEX($K$2:$K$1001,MATCH(ROWS($J$2:J112),$J$2:$J$1001,0),1)&gt;=100000,INDEX($Q$1005:$U$1005,1,MATCH(COLUMNS($Q$1006:T1006),$Q$1006:$U$1006,0))&gt;=100000), " ",IF(INDEX($Q$2:$U$1001,MATCH(ROWS($J$2:J112),$J$2:$J$1001,0),MATCH(COLUMNS($Q$1006:T1006),$Q$1006:$U$1006,0)), HYPERLINK("#",""), HYPERLINK(CONCATENATE("#Metadata!", ADDRESS(INDEX($L$2:$L$1001,MATCH(ROWS($J$2:J112),$J$2:$J$1001,0),0), INDEX($Q$1004:$U$1004,1,MATCH(COLUMNS($Q$1006:T1006),$Q$1006:$U$1006,0)))),"Fix")))</f>
        <v xml:space="preserve"> </v>
      </c>
      <c r="F112" s="3" t="str">
        <f ca="1">IF(OR(INDEX($K$2:$K$1001,MATCH(ROWS($J$2:J112),$J$2:$J$1001,0),1)&gt;=100000,INDEX($Q$1005:$U$1005,1,MATCH(COLUMNS($Q$1006:U1006),$Q$1006:$U$1006,0))&gt;=100000), " ",IF(INDEX($Q$2:$U$1001,MATCH(ROWS($J$2:J112),$J$2:$J$1001,0),MATCH(COLUMNS($Q$1006:U1006),$Q$1006:$U$1006,0)), HYPERLINK("#",""), HYPERLINK(CONCATENATE("#Metadata!", ADDRESS(INDEX($L$2:$L$1001,MATCH(ROWS($J$2:J112),$J$2:$J$1001,0),0), INDEX($Q$1004:$U$1004,1,MATCH(COLUMNS($Q$1006:U1006),$Q$1006:$U$1006,0)))),"Fix")))</f>
        <v xml:space="preserve"> </v>
      </c>
      <c r="J112">
        <f ca="1"/>
        <v>111</v>
      </c>
      <c r="K112">
        <v>100112</v>
      </c>
      <c r="L112">
        <v>112</v>
      </c>
      <c r="M112" t="b">
        <f t="shared" si="1"/>
        <v>1</v>
      </c>
      <c r="N112" t="b">
        <f>COUNTBLANK(Metadata!B112:F112)=COLUMNS(Metadata!B112:F112)</f>
        <v>1</v>
      </c>
      <c r="O112" t="str">
        <v/>
      </c>
      <c r="Q112" t="b">
        <f ca="1"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R112" t="b">
        <f>IF(Metadata!C112="",FALSE,TRUE)</f>
        <v>0</v>
      </c>
      <c r="S112" t="b">
        <f>OR(AND(IF(Metadata!D112="",FALSE,TRUE),EXACT(Metadata!D112,"missing: not collected")),AND(IF(Metadata!D112="",FALSE,TRUE),OR(EXACT(Metadata!D112,"t"),EXACT(Metadata!D112,"f"))))</f>
        <v>0</v>
      </c>
      <c r="T112" t="b">
        <f>AND(IF(Metadata!E112="",FALSE,TRUE),OR(EXACT(Metadata!E112,"a"),EXACT(Metadata!E112,"b")))</f>
        <v>0</v>
      </c>
      <c r="U112" t="b">
        <f>OR(AND(IF(Metadata!F112="",FALSE,TRUE),OR(EXACT(Metadata!F112,"missing: not collected"),EXACT(Metadata!F112,"missing: not provided"))),AND(IF(Metadata!F112="",FALSE,TRUE),OR(EXACT(Metadata!F112,"lo"),EXACT(Metadata!F112,"med"),EXACT(Metadata!F112,"hi"))))</f>
        <v>0</v>
      </c>
    </row>
    <row r="113" spans="1:21" x14ac:dyDescent="0.2">
      <c r="A113" s="4" t="str">
        <f ca="1">IF(B113=" "," ",HYPERLINK(CONCATENATE("#metadata!",ADDRESS(INDEX($L$2:$L$1001,MATCH(ROWS($J$2:J113),$J$2:$J$1001,0),0),1)),INDEX($O$2:$O$1001,MATCH(ROWS($J$2:J113),$J$2:$J$1001,0),0)))</f>
        <v xml:space="preserve"> </v>
      </c>
      <c r="B113" s="3" t="str">
        <f ca="1">IF(OR(INDEX($K$2:$K$1001,MATCH(ROWS($J$2:J113),$J$2:$J$1001,0),1)&gt;=100000,INDEX($Q$1005:$U$1005,1,MATCH(COLUMNS($Q$1006:Q1006),$Q$1006:$U$1006,0))&gt;=100000), " ",IF(INDEX($Q$2:$U$1001,MATCH(ROWS($J$2:J113),$J$2:$J$1001,0),MATCH(COLUMNS($Q$1006:Q1006),$Q$1006:$U$1006,0)), HYPERLINK("#",""), HYPERLINK(CONCATENATE("#Metadata!", ADDRESS(INDEX($L$2:$L$1001,MATCH(ROWS($J$2:J113),$J$2:$J$1001,0),0), INDEX($Q$1004:$U$1004,1,MATCH(COLUMNS($Q$1006:Q1006),$Q$1006:$U$1006,0)))),"Fix")))</f>
        <v xml:space="preserve"> </v>
      </c>
      <c r="C113" s="3" t="str">
        <f ca="1">IF(OR(INDEX($K$2:$K$1001,MATCH(ROWS($J$2:J113),$J$2:$J$1001,0),1)&gt;=100000,INDEX($Q$1005:$U$1005,1,MATCH(COLUMNS($Q$1006:R1006),$Q$1006:$U$1006,0))&gt;=100000), " ",IF(INDEX($Q$2:$U$1001,MATCH(ROWS($J$2:J113),$J$2:$J$1001,0),MATCH(COLUMNS($Q$1006:R1006),$Q$1006:$U$1006,0)), HYPERLINK("#",""), HYPERLINK(CONCATENATE("#Metadata!", ADDRESS(INDEX($L$2:$L$1001,MATCH(ROWS($J$2:J113),$J$2:$J$1001,0),0), INDEX($Q$1004:$U$1004,1,MATCH(COLUMNS($Q$1006:R1006),$Q$1006:$U$1006,0)))),"Fix")))</f>
        <v xml:space="preserve"> </v>
      </c>
      <c r="D113" s="3" t="str">
        <f ca="1">IF(OR(INDEX($K$2:$K$1001,MATCH(ROWS($J$2:J113),$J$2:$J$1001,0),1)&gt;=100000,INDEX($Q$1005:$U$1005,1,MATCH(COLUMNS($Q$1006:S1006),$Q$1006:$U$1006,0))&gt;=100000), " ",IF(INDEX($Q$2:$U$1001,MATCH(ROWS($J$2:J113),$J$2:$J$1001,0),MATCH(COLUMNS($Q$1006:S1006),$Q$1006:$U$1006,0)), HYPERLINK("#",""), HYPERLINK(CONCATENATE("#Metadata!", ADDRESS(INDEX($L$2:$L$1001,MATCH(ROWS($J$2:J113),$J$2:$J$1001,0),0), INDEX($Q$1004:$U$1004,1,MATCH(COLUMNS($Q$1006:S1006),$Q$1006:$U$1006,0)))),"Fix")))</f>
        <v xml:space="preserve"> </v>
      </c>
      <c r="E113" s="3" t="str">
        <f ca="1">IF(OR(INDEX($K$2:$K$1001,MATCH(ROWS($J$2:J113),$J$2:$J$1001,0),1)&gt;=100000,INDEX($Q$1005:$U$1005,1,MATCH(COLUMNS($Q$1006:T1006),$Q$1006:$U$1006,0))&gt;=100000), " ",IF(INDEX($Q$2:$U$1001,MATCH(ROWS($J$2:J113),$J$2:$J$1001,0),MATCH(COLUMNS($Q$1006:T1006),$Q$1006:$U$1006,0)), HYPERLINK("#",""), HYPERLINK(CONCATENATE("#Metadata!", ADDRESS(INDEX($L$2:$L$1001,MATCH(ROWS($J$2:J113),$J$2:$J$1001,0),0), INDEX($Q$1004:$U$1004,1,MATCH(COLUMNS($Q$1006:T1006),$Q$1006:$U$1006,0)))),"Fix")))</f>
        <v xml:space="preserve"> </v>
      </c>
      <c r="F113" s="3" t="str">
        <f ca="1">IF(OR(INDEX($K$2:$K$1001,MATCH(ROWS($J$2:J113),$J$2:$J$1001,0),1)&gt;=100000,INDEX($Q$1005:$U$1005,1,MATCH(COLUMNS($Q$1006:U1006),$Q$1006:$U$1006,0))&gt;=100000), " ",IF(INDEX($Q$2:$U$1001,MATCH(ROWS($J$2:J113),$J$2:$J$1001,0),MATCH(COLUMNS($Q$1006:U1006),$Q$1006:$U$1006,0)), HYPERLINK("#",""), HYPERLINK(CONCATENATE("#Metadata!", ADDRESS(INDEX($L$2:$L$1001,MATCH(ROWS($J$2:J113),$J$2:$J$1001,0),0), INDEX($Q$1004:$U$1004,1,MATCH(COLUMNS($Q$1006:U1006),$Q$1006:$U$1006,0)))),"Fix")))</f>
        <v xml:space="preserve"> </v>
      </c>
      <c r="J113">
        <f ca="1"/>
        <v>112</v>
      </c>
      <c r="K113">
        <v>100113</v>
      </c>
      <c r="L113">
        <v>113</v>
      </c>
      <c r="M113" t="b">
        <f t="shared" si="1"/>
        <v>1</v>
      </c>
      <c r="N113" t="b">
        <f>COUNTBLANK(Metadata!B113:F113)=COLUMNS(Metadata!B113:F113)</f>
        <v>1</v>
      </c>
      <c r="O113" t="str">
        <v/>
      </c>
      <c r="Q113" t="b">
        <f ca="1"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R113" t="b">
        <f>IF(Metadata!C113="",FALSE,TRUE)</f>
        <v>0</v>
      </c>
      <c r="S113" t="b">
        <f>OR(AND(IF(Metadata!D113="",FALSE,TRUE),EXACT(Metadata!D113,"missing: not collected")),AND(IF(Metadata!D113="",FALSE,TRUE),OR(EXACT(Metadata!D113,"t"),EXACT(Metadata!D113,"f"))))</f>
        <v>0</v>
      </c>
      <c r="T113" t="b">
        <f>AND(IF(Metadata!E113="",FALSE,TRUE),OR(EXACT(Metadata!E113,"a"),EXACT(Metadata!E113,"b")))</f>
        <v>0</v>
      </c>
      <c r="U113" t="b">
        <f>OR(AND(IF(Metadata!F113="",FALSE,TRUE),OR(EXACT(Metadata!F113,"missing: not collected"),EXACT(Metadata!F113,"missing: not provided"))),AND(IF(Metadata!F113="",FALSE,TRUE),OR(EXACT(Metadata!F113,"lo"),EXACT(Metadata!F113,"med"),EXACT(Metadata!F113,"hi"))))</f>
        <v>0</v>
      </c>
    </row>
    <row r="114" spans="1:21" x14ac:dyDescent="0.2">
      <c r="A114" s="4" t="str">
        <f ca="1">IF(B114=" "," ",HYPERLINK(CONCATENATE("#metadata!",ADDRESS(INDEX($L$2:$L$1001,MATCH(ROWS($J$2:J114),$J$2:$J$1001,0),0),1)),INDEX($O$2:$O$1001,MATCH(ROWS($J$2:J114),$J$2:$J$1001,0),0)))</f>
        <v xml:space="preserve"> </v>
      </c>
      <c r="B114" s="3" t="str">
        <f ca="1">IF(OR(INDEX($K$2:$K$1001,MATCH(ROWS($J$2:J114),$J$2:$J$1001,0),1)&gt;=100000,INDEX($Q$1005:$U$1005,1,MATCH(COLUMNS($Q$1006:Q1006),$Q$1006:$U$1006,0))&gt;=100000), " ",IF(INDEX($Q$2:$U$1001,MATCH(ROWS($J$2:J114),$J$2:$J$1001,0),MATCH(COLUMNS($Q$1006:Q1006),$Q$1006:$U$1006,0)), HYPERLINK("#",""), HYPERLINK(CONCATENATE("#Metadata!", ADDRESS(INDEX($L$2:$L$1001,MATCH(ROWS($J$2:J114),$J$2:$J$1001,0),0), INDEX($Q$1004:$U$1004,1,MATCH(COLUMNS($Q$1006:Q1006),$Q$1006:$U$1006,0)))),"Fix")))</f>
        <v xml:space="preserve"> </v>
      </c>
      <c r="C114" s="3" t="str">
        <f ca="1">IF(OR(INDEX($K$2:$K$1001,MATCH(ROWS($J$2:J114),$J$2:$J$1001,0),1)&gt;=100000,INDEX($Q$1005:$U$1005,1,MATCH(COLUMNS($Q$1006:R1006),$Q$1006:$U$1006,0))&gt;=100000), " ",IF(INDEX($Q$2:$U$1001,MATCH(ROWS($J$2:J114),$J$2:$J$1001,0),MATCH(COLUMNS($Q$1006:R1006),$Q$1006:$U$1006,0)), HYPERLINK("#",""), HYPERLINK(CONCATENATE("#Metadata!", ADDRESS(INDEX($L$2:$L$1001,MATCH(ROWS($J$2:J114),$J$2:$J$1001,0),0), INDEX($Q$1004:$U$1004,1,MATCH(COLUMNS($Q$1006:R1006),$Q$1006:$U$1006,0)))),"Fix")))</f>
        <v xml:space="preserve"> </v>
      </c>
      <c r="D114" s="3" t="str">
        <f ca="1">IF(OR(INDEX($K$2:$K$1001,MATCH(ROWS($J$2:J114),$J$2:$J$1001,0),1)&gt;=100000,INDEX($Q$1005:$U$1005,1,MATCH(COLUMNS($Q$1006:S1006),$Q$1006:$U$1006,0))&gt;=100000), " ",IF(INDEX($Q$2:$U$1001,MATCH(ROWS($J$2:J114),$J$2:$J$1001,0),MATCH(COLUMNS($Q$1006:S1006),$Q$1006:$U$1006,0)), HYPERLINK("#",""), HYPERLINK(CONCATENATE("#Metadata!", ADDRESS(INDEX($L$2:$L$1001,MATCH(ROWS($J$2:J114),$J$2:$J$1001,0),0), INDEX($Q$1004:$U$1004,1,MATCH(COLUMNS($Q$1006:S1006),$Q$1006:$U$1006,0)))),"Fix")))</f>
        <v xml:space="preserve"> </v>
      </c>
      <c r="E114" s="3" t="str">
        <f ca="1">IF(OR(INDEX($K$2:$K$1001,MATCH(ROWS($J$2:J114),$J$2:$J$1001,0),1)&gt;=100000,INDEX($Q$1005:$U$1005,1,MATCH(COLUMNS($Q$1006:T1006),$Q$1006:$U$1006,0))&gt;=100000), " ",IF(INDEX($Q$2:$U$1001,MATCH(ROWS($J$2:J114),$J$2:$J$1001,0),MATCH(COLUMNS($Q$1006:T1006),$Q$1006:$U$1006,0)), HYPERLINK("#",""), HYPERLINK(CONCATENATE("#Metadata!", ADDRESS(INDEX($L$2:$L$1001,MATCH(ROWS($J$2:J114),$J$2:$J$1001,0),0), INDEX($Q$1004:$U$1004,1,MATCH(COLUMNS($Q$1006:T1006),$Q$1006:$U$1006,0)))),"Fix")))</f>
        <v xml:space="preserve"> </v>
      </c>
      <c r="F114" s="3" t="str">
        <f ca="1">IF(OR(INDEX($K$2:$K$1001,MATCH(ROWS($J$2:J114),$J$2:$J$1001,0),1)&gt;=100000,INDEX($Q$1005:$U$1005,1,MATCH(COLUMNS($Q$1006:U1006),$Q$1006:$U$1006,0))&gt;=100000), " ",IF(INDEX($Q$2:$U$1001,MATCH(ROWS($J$2:J114),$J$2:$J$1001,0),MATCH(COLUMNS($Q$1006:U1006),$Q$1006:$U$1006,0)), HYPERLINK("#",""), HYPERLINK(CONCATENATE("#Metadata!", ADDRESS(INDEX($L$2:$L$1001,MATCH(ROWS($J$2:J114),$J$2:$J$1001,0),0), INDEX($Q$1004:$U$1004,1,MATCH(COLUMNS($Q$1006:U1006),$Q$1006:$U$1006,0)))),"Fix")))</f>
        <v xml:space="preserve"> </v>
      </c>
      <c r="J114">
        <f ca="1"/>
        <v>113</v>
      </c>
      <c r="K114">
        <v>100114</v>
      </c>
      <c r="L114">
        <v>114</v>
      </c>
      <c r="M114" t="b">
        <f t="shared" si="1"/>
        <v>1</v>
      </c>
      <c r="N114" t="b">
        <f>COUNTBLANK(Metadata!B114:F114)=COLUMNS(Metadata!B114:F114)</f>
        <v>1</v>
      </c>
      <c r="O114" t="str">
        <v/>
      </c>
      <c r="Q114" t="b">
        <f ca="1"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R114" t="b">
        <f>IF(Metadata!C114="",FALSE,TRUE)</f>
        <v>0</v>
      </c>
      <c r="S114" t="b">
        <f>OR(AND(IF(Metadata!D114="",FALSE,TRUE),EXACT(Metadata!D114,"missing: not collected")),AND(IF(Metadata!D114="",FALSE,TRUE),OR(EXACT(Metadata!D114,"t"),EXACT(Metadata!D114,"f"))))</f>
        <v>0</v>
      </c>
      <c r="T114" t="b">
        <f>AND(IF(Metadata!E114="",FALSE,TRUE),OR(EXACT(Metadata!E114,"a"),EXACT(Metadata!E114,"b")))</f>
        <v>0</v>
      </c>
      <c r="U114" t="b">
        <f>OR(AND(IF(Metadata!F114="",FALSE,TRUE),OR(EXACT(Metadata!F114,"missing: not collected"),EXACT(Metadata!F114,"missing: not provided"))),AND(IF(Metadata!F114="",FALSE,TRUE),OR(EXACT(Metadata!F114,"lo"),EXACT(Metadata!F114,"med"),EXACT(Metadata!F114,"hi"))))</f>
        <v>0</v>
      </c>
    </row>
    <row r="115" spans="1:21" x14ac:dyDescent="0.2">
      <c r="A115" s="4" t="str">
        <f ca="1">IF(B115=" "," ",HYPERLINK(CONCATENATE("#metadata!",ADDRESS(INDEX($L$2:$L$1001,MATCH(ROWS($J$2:J115),$J$2:$J$1001,0),0),1)),INDEX($O$2:$O$1001,MATCH(ROWS($J$2:J115),$J$2:$J$1001,0),0)))</f>
        <v xml:space="preserve"> </v>
      </c>
      <c r="B115" s="3" t="str">
        <f ca="1">IF(OR(INDEX($K$2:$K$1001,MATCH(ROWS($J$2:J115),$J$2:$J$1001,0),1)&gt;=100000,INDEX($Q$1005:$U$1005,1,MATCH(COLUMNS($Q$1006:Q1006),$Q$1006:$U$1006,0))&gt;=100000), " ",IF(INDEX($Q$2:$U$1001,MATCH(ROWS($J$2:J115),$J$2:$J$1001,0),MATCH(COLUMNS($Q$1006:Q1006),$Q$1006:$U$1006,0)), HYPERLINK("#",""), HYPERLINK(CONCATENATE("#Metadata!", ADDRESS(INDEX($L$2:$L$1001,MATCH(ROWS($J$2:J115),$J$2:$J$1001,0),0), INDEX($Q$1004:$U$1004,1,MATCH(COLUMNS($Q$1006:Q1006),$Q$1006:$U$1006,0)))),"Fix")))</f>
        <v xml:space="preserve"> </v>
      </c>
      <c r="C115" s="3" t="str">
        <f ca="1">IF(OR(INDEX($K$2:$K$1001,MATCH(ROWS($J$2:J115),$J$2:$J$1001,0),1)&gt;=100000,INDEX($Q$1005:$U$1005,1,MATCH(COLUMNS($Q$1006:R1006),$Q$1006:$U$1006,0))&gt;=100000), " ",IF(INDEX($Q$2:$U$1001,MATCH(ROWS($J$2:J115),$J$2:$J$1001,0),MATCH(COLUMNS($Q$1006:R1006),$Q$1006:$U$1006,0)), HYPERLINK("#",""), HYPERLINK(CONCATENATE("#Metadata!", ADDRESS(INDEX($L$2:$L$1001,MATCH(ROWS($J$2:J115),$J$2:$J$1001,0),0), INDEX($Q$1004:$U$1004,1,MATCH(COLUMNS($Q$1006:R1006),$Q$1006:$U$1006,0)))),"Fix")))</f>
        <v xml:space="preserve"> </v>
      </c>
      <c r="D115" s="3" t="str">
        <f ca="1">IF(OR(INDEX($K$2:$K$1001,MATCH(ROWS($J$2:J115),$J$2:$J$1001,0),1)&gt;=100000,INDEX($Q$1005:$U$1005,1,MATCH(COLUMNS($Q$1006:S1006),$Q$1006:$U$1006,0))&gt;=100000), " ",IF(INDEX($Q$2:$U$1001,MATCH(ROWS($J$2:J115),$J$2:$J$1001,0),MATCH(COLUMNS($Q$1006:S1006),$Q$1006:$U$1006,0)), HYPERLINK("#",""), HYPERLINK(CONCATENATE("#Metadata!", ADDRESS(INDEX($L$2:$L$1001,MATCH(ROWS($J$2:J115),$J$2:$J$1001,0),0), INDEX($Q$1004:$U$1004,1,MATCH(COLUMNS($Q$1006:S1006),$Q$1006:$U$1006,0)))),"Fix")))</f>
        <v xml:space="preserve"> </v>
      </c>
      <c r="E115" s="3" t="str">
        <f ca="1">IF(OR(INDEX($K$2:$K$1001,MATCH(ROWS($J$2:J115),$J$2:$J$1001,0),1)&gt;=100000,INDEX($Q$1005:$U$1005,1,MATCH(COLUMNS($Q$1006:T1006),$Q$1006:$U$1006,0))&gt;=100000), " ",IF(INDEX($Q$2:$U$1001,MATCH(ROWS($J$2:J115),$J$2:$J$1001,0),MATCH(COLUMNS($Q$1006:T1006),$Q$1006:$U$1006,0)), HYPERLINK("#",""), HYPERLINK(CONCATENATE("#Metadata!", ADDRESS(INDEX($L$2:$L$1001,MATCH(ROWS($J$2:J115),$J$2:$J$1001,0),0), INDEX($Q$1004:$U$1004,1,MATCH(COLUMNS($Q$1006:T1006),$Q$1006:$U$1006,0)))),"Fix")))</f>
        <v xml:space="preserve"> </v>
      </c>
      <c r="F115" s="3" t="str">
        <f ca="1">IF(OR(INDEX($K$2:$K$1001,MATCH(ROWS($J$2:J115),$J$2:$J$1001,0),1)&gt;=100000,INDEX($Q$1005:$U$1005,1,MATCH(COLUMNS($Q$1006:U1006),$Q$1006:$U$1006,0))&gt;=100000), " ",IF(INDEX($Q$2:$U$1001,MATCH(ROWS($J$2:J115),$J$2:$J$1001,0),MATCH(COLUMNS($Q$1006:U1006),$Q$1006:$U$1006,0)), HYPERLINK("#",""), HYPERLINK(CONCATENATE("#Metadata!", ADDRESS(INDEX($L$2:$L$1001,MATCH(ROWS($J$2:J115),$J$2:$J$1001,0),0), INDEX($Q$1004:$U$1004,1,MATCH(COLUMNS($Q$1006:U1006),$Q$1006:$U$1006,0)))),"Fix")))</f>
        <v xml:space="preserve"> </v>
      </c>
      <c r="J115">
        <f ca="1"/>
        <v>114</v>
      </c>
      <c r="K115">
        <v>100115</v>
      </c>
      <c r="L115">
        <v>115</v>
      </c>
      <c r="M115" t="b">
        <f t="shared" si="1"/>
        <v>1</v>
      </c>
      <c r="N115" t="b">
        <f>COUNTBLANK(Metadata!B115:F115)=COLUMNS(Metadata!B115:F115)</f>
        <v>1</v>
      </c>
      <c r="O115" t="str">
        <v/>
      </c>
      <c r="Q115" t="b">
        <f ca="1"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R115" t="b">
        <f>IF(Metadata!C115="",FALSE,TRUE)</f>
        <v>0</v>
      </c>
      <c r="S115" t="b">
        <f>OR(AND(IF(Metadata!D115="",FALSE,TRUE),EXACT(Metadata!D115,"missing: not collected")),AND(IF(Metadata!D115="",FALSE,TRUE),OR(EXACT(Metadata!D115,"t"),EXACT(Metadata!D115,"f"))))</f>
        <v>0</v>
      </c>
      <c r="T115" t="b">
        <f>AND(IF(Metadata!E115="",FALSE,TRUE),OR(EXACT(Metadata!E115,"a"),EXACT(Metadata!E115,"b")))</f>
        <v>0</v>
      </c>
      <c r="U115" t="b">
        <f>OR(AND(IF(Metadata!F115="",FALSE,TRUE),OR(EXACT(Metadata!F115,"missing: not collected"),EXACT(Metadata!F115,"missing: not provided"))),AND(IF(Metadata!F115="",FALSE,TRUE),OR(EXACT(Metadata!F115,"lo"),EXACT(Metadata!F115,"med"),EXACT(Metadata!F115,"hi"))))</f>
        <v>0</v>
      </c>
    </row>
    <row r="116" spans="1:21" x14ac:dyDescent="0.2">
      <c r="A116" s="4" t="str">
        <f ca="1">IF(B116=" "," ",HYPERLINK(CONCATENATE("#metadata!",ADDRESS(INDEX($L$2:$L$1001,MATCH(ROWS($J$2:J116),$J$2:$J$1001,0),0),1)),INDEX($O$2:$O$1001,MATCH(ROWS($J$2:J116),$J$2:$J$1001,0),0)))</f>
        <v xml:space="preserve"> </v>
      </c>
      <c r="B116" s="3" t="str">
        <f ca="1">IF(OR(INDEX($K$2:$K$1001,MATCH(ROWS($J$2:J116),$J$2:$J$1001,0),1)&gt;=100000,INDEX($Q$1005:$U$1005,1,MATCH(COLUMNS($Q$1006:Q1006),$Q$1006:$U$1006,0))&gt;=100000), " ",IF(INDEX($Q$2:$U$1001,MATCH(ROWS($J$2:J116),$J$2:$J$1001,0),MATCH(COLUMNS($Q$1006:Q1006),$Q$1006:$U$1006,0)), HYPERLINK("#",""), HYPERLINK(CONCATENATE("#Metadata!", ADDRESS(INDEX($L$2:$L$1001,MATCH(ROWS($J$2:J116),$J$2:$J$1001,0),0), INDEX($Q$1004:$U$1004,1,MATCH(COLUMNS($Q$1006:Q1006),$Q$1006:$U$1006,0)))),"Fix")))</f>
        <v xml:space="preserve"> </v>
      </c>
      <c r="C116" s="3" t="str">
        <f ca="1">IF(OR(INDEX($K$2:$K$1001,MATCH(ROWS($J$2:J116),$J$2:$J$1001,0),1)&gt;=100000,INDEX($Q$1005:$U$1005,1,MATCH(COLUMNS($Q$1006:R1006),$Q$1006:$U$1006,0))&gt;=100000), " ",IF(INDEX($Q$2:$U$1001,MATCH(ROWS($J$2:J116),$J$2:$J$1001,0),MATCH(COLUMNS($Q$1006:R1006),$Q$1006:$U$1006,0)), HYPERLINK("#",""), HYPERLINK(CONCATENATE("#Metadata!", ADDRESS(INDEX($L$2:$L$1001,MATCH(ROWS($J$2:J116),$J$2:$J$1001,0),0), INDEX($Q$1004:$U$1004,1,MATCH(COLUMNS($Q$1006:R1006),$Q$1006:$U$1006,0)))),"Fix")))</f>
        <v xml:space="preserve"> </v>
      </c>
      <c r="D116" s="3" t="str">
        <f ca="1">IF(OR(INDEX($K$2:$K$1001,MATCH(ROWS($J$2:J116),$J$2:$J$1001,0),1)&gt;=100000,INDEX($Q$1005:$U$1005,1,MATCH(COLUMNS($Q$1006:S1006),$Q$1006:$U$1006,0))&gt;=100000), " ",IF(INDEX($Q$2:$U$1001,MATCH(ROWS($J$2:J116),$J$2:$J$1001,0),MATCH(COLUMNS($Q$1006:S1006),$Q$1006:$U$1006,0)), HYPERLINK("#",""), HYPERLINK(CONCATENATE("#Metadata!", ADDRESS(INDEX($L$2:$L$1001,MATCH(ROWS($J$2:J116),$J$2:$J$1001,0),0), INDEX($Q$1004:$U$1004,1,MATCH(COLUMNS($Q$1006:S1006),$Q$1006:$U$1006,0)))),"Fix")))</f>
        <v xml:space="preserve"> </v>
      </c>
      <c r="E116" s="3" t="str">
        <f ca="1">IF(OR(INDEX($K$2:$K$1001,MATCH(ROWS($J$2:J116),$J$2:$J$1001,0),1)&gt;=100000,INDEX($Q$1005:$U$1005,1,MATCH(COLUMNS($Q$1006:T1006),$Q$1006:$U$1006,0))&gt;=100000), " ",IF(INDEX($Q$2:$U$1001,MATCH(ROWS($J$2:J116),$J$2:$J$1001,0),MATCH(COLUMNS($Q$1006:T1006),$Q$1006:$U$1006,0)), HYPERLINK("#",""), HYPERLINK(CONCATENATE("#Metadata!", ADDRESS(INDEX($L$2:$L$1001,MATCH(ROWS($J$2:J116),$J$2:$J$1001,0),0), INDEX($Q$1004:$U$1004,1,MATCH(COLUMNS($Q$1006:T1006),$Q$1006:$U$1006,0)))),"Fix")))</f>
        <v xml:space="preserve"> </v>
      </c>
      <c r="F116" s="3" t="str">
        <f ca="1">IF(OR(INDEX($K$2:$K$1001,MATCH(ROWS($J$2:J116),$J$2:$J$1001,0),1)&gt;=100000,INDEX($Q$1005:$U$1005,1,MATCH(COLUMNS($Q$1006:U1006),$Q$1006:$U$1006,0))&gt;=100000), " ",IF(INDEX($Q$2:$U$1001,MATCH(ROWS($J$2:J116),$J$2:$J$1001,0),MATCH(COLUMNS($Q$1006:U1006),$Q$1006:$U$1006,0)), HYPERLINK("#",""), HYPERLINK(CONCATENATE("#Metadata!", ADDRESS(INDEX($L$2:$L$1001,MATCH(ROWS($J$2:J116),$J$2:$J$1001,0),0), INDEX($Q$1004:$U$1004,1,MATCH(COLUMNS($Q$1006:U1006),$Q$1006:$U$1006,0)))),"Fix")))</f>
        <v xml:space="preserve"> </v>
      </c>
      <c r="J116">
        <f ca="1"/>
        <v>115</v>
      </c>
      <c r="K116">
        <v>100116</v>
      </c>
      <c r="L116">
        <v>116</v>
      </c>
      <c r="M116" t="b">
        <f t="shared" si="1"/>
        <v>1</v>
      </c>
      <c r="N116" t="b">
        <f>COUNTBLANK(Metadata!B116:F116)=COLUMNS(Metadata!B116:F116)</f>
        <v>1</v>
      </c>
      <c r="O116" t="str">
        <v/>
      </c>
      <c r="Q116" t="b">
        <f ca="1"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R116" t="b">
        <f>IF(Metadata!C116="",FALSE,TRUE)</f>
        <v>0</v>
      </c>
      <c r="S116" t="b">
        <f>OR(AND(IF(Metadata!D116="",FALSE,TRUE),EXACT(Metadata!D116,"missing: not collected")),AND(IF(Metadata!D116="",FALSE,TRUE),OR(EXACT(Metadata!D116,"t"),EXACT(Metadata!D116,"f"))))</f>
        <v>0</v>
      </c>
      <c r="T116" t="b">
        <f>AND(IF(Metadata!E116="",FALSE,TRUE),OR(EXACT(Metadata!E116,"a"),EXACT(Metadata!E116,"b")))</f>
        <v>0</v>
      </c>
      <c r="U116" t="b">
        <f>OR(AND(IF(Metadata!F116="",FALSE,TRUE),OR(EXACT(Metadata!F116,"missing: not collected"),EXACT(Metadata!F116,"missing: not provided"))),AND(IF(Metadata!F116="",FALSE,TRUE),OR(EXACT(Metadata!F116,"lo"),EXACT(Metadata!F116,"med"),EXACT(Metadata!F116,"hi"))))</f>
        <v>0</v>
      </c>
    </row>
    <row r="117" spans="1:21" x14ac:dyDescent="0.2">
      <c r="A117" s="4" t="str">
        <f ca="1">IF(B117=" "," ",HYPERLINK(CONCATENATE("#metadata!",ADDRESS(INDEX($L$2:$L$1001,MATCH(ROWS($J$2:J117),$J$2:$J$1001,0),0),1)),INDEX($O$2:$O$1001,MATCH(ROWS($J$2:J117),$J$2:$J$1001,0),0)))</f>
        <v xml:space="preserve"> </v>
      </c>
      <c r="B117" s="3" t="str">
        <f ca="1">IF(OR(INDEX($K$2:$K$1001,MATCH(ROWS($J$2:J117),$J$2:$J$1001,0),1)&gt;=100000,INDEX($Q$1005:$U$1005,1,MATCH(COLUMNS($Q$1006:Q1006),$Q$1006:$U$1006,0))&gt;=100000), " ",IF(INDEX($Q$2:$U$1001,MATCH(ROWS($J$2:J117),$J$2:$J$1001,0),MATCH(COLUMNS($Q$1006:Q1006),$Q$1006:$U$1006,0)), HYPERLINK("#",""), HYPERLINK(CONCATENATE("#Metadata!", ADDRESS(INDEX($L$2:$L$1001,MATCH(ROWS($J$2:J117),$J$2:$J$1001,0),0), INDEX($Q$1004:$U$1004,1,MATCH(COLUMNS($Q$1006:Q1006),$Q$1006:$U$1006,0)))),"Fix")))</f>
        <v xml:space="preserve"> </v>
      </c>
      <c r="C117" s="3" t="str">
        <f ca="1">IF(OR(INDEX($K$2:$K$1001,MATCH(ROWS($J$2:J117),$J$2:$J$1001,0),1)&gt;=100000,INDEX($Q$1005:$U$1005,1,MATCH(COLUMNS($Q$1006:R1006),$Q$1006:$U$1006,0))&gt;=100000), " ",IF(INDEX($Q$2:$U$1001,MATCH(ROWS($J$2:J117),$J$2:$J$1001,0),MATCH(COLUMNS($Q$1006:R1006),$Q$1006:$U$1006,0)), HYPERLINK("#",""), HYPERLINK(CONCATENATE("#Metadata!", ADDRESS(INDEX($L$2:$L$1001,MATCH(ROWS($J$2:J117),$J$2:$J$1001,0),0), INDEX($Q$1004:$U$1004,1,MATCH(COLUMNS($Q$1006:R1006),$Q$1006:$U$1006,0)))),"Fix")))</f>
        <v xml:space="preserve"> </v>
      </c>
      <c r="D117" s="3" t="str">
        <f ca="1">IF(OR(INDEX($K$2:$K$1001,MATCH(ROWS($J$2:J117),$J$2:$J$1001,0),1)&gt;=100000,INDEX($Q$1005:$U$1005,1,MATCH(COLUMNS($Q$1006:S1006),$Q$1006:$U$1006,0))&gt;=100000), " ",IF(INDEX($Q$2:$U$1001,MATCH(ROWS($J$2:J117),$J$2:$J$1001,0),MATCH(COLUMNS($Q$1006:S1006),$Q$1006:$U$1006,0)), HYPERLINK("#",""), HYPERLINK(CONCATENATE("#Metadata!", ADDRESS(INDEX($L$2:$L$1001,MATCH(ROWS($J$2:J117),$J$2:$J$1001,0),0), INDEX($Q$1004:$U$1004,1,MATCH(COLUMNS($Q$1006:S1006),$Q$1006:$U$1006,0)))),"Fix")))</f>
        <v xml:space="preserve"> </v>
      </c>
      <c r="E117" s="3" t="str">
        <f ca="1">IF(OR(INDEX($K$2:$K$1001,MATCH(ROWS($J$2:J117),$J$2:$J$1001,0),1)&gt;=100000,INDEX($Q$1005:$U$1005,1,MATCH(COLUMNS($Q$1006:T1006),$Q$1006:$U$1006,0))&gt;=100000), " ",IF(INDEX($Q$2:$U$1001,MATCH(ROWS($J$2:J117),$J$2:$J$1001,0),MATCH(COLUMNS($Q$1006:T1006),$Q$1006:$U$1006,0)), HYPERLINK("#",""), HYPERLINK(CONCATENATE("#Metadata!", ADDRESS(INDEX($L$2:$L$1001,MATCH(ROWS($J$2:J117),$J$2:$J$1001,0),0), INDEX($Q$1004:$U$1004,1,MATCH(COLUMNS($Q$1006:T1006),$Q$1006:$U$1006,0)))),"Fix")))</f>
        <v xml:space="preserve"> </v>
      </c>
      <c r="F117" s="3" t="str">
        <f ca="1">IF(OR(INDEX($K$2:$K$1001,MATCH(ROWS($J$2:J117),$J$2:$J$1001,0),1)&gt;=100000,INDEX($Q$1005:$U$1005,1,MATCH(COLUMNS($Q$1006:U1006),$Q$1006:$U$1006,0))&gt;=100000), " ",IF(INDEX($Q$2:$U$1001,MATCH(ROWS($J$2:J117),$J$2:$J$1001,0),MATCH(COLUMNS($Q$1006:U1006),$Q$1006:$U$1006,0)), HYPERLINK("#",""), HYPERLINK(CONCATENATE("#Metadata!", ADDRESS(INDEX($L$2:$L$1001,MATCH(ROWS($J$2:J117),$J$2:$J$1001,0),0), INDEX($Q$1004:$U$1004,1,MATCH(COLUMNS($Q$1006:U1006),$Q$1006:$U$1006,0)))),"Fix")))</f>
        <v xml:space="preserve"> </v>
      </c>
      <c r="J117">
        <f ca="1"/>
        <v>116</v>
      </c>
      <c r="K117">
        <v>100117</v>
      </c>
      <c r="L117">
        <v>117</v>
      </c>
      <c r="M117" t="b">
        <f t="shared" si="1"/>
        <v>1</v>
      </c>
      <c r="N117" t="b">
        <f>COUNTBLANK(Metadata!B117:F117)=COLUMNS(Metadata!B117:F117)</f>
        <v>1</v>
      </c>
      <c r="O117" t="str">
        <v/>
      </c>
      <c r="Q117" t="b">
        <f ca="1"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R117" t="b">
        <f>IF(Metadata!C117="",FALSE,TRUE)</f>
        <v>0</v>
      </c>
      <c r="S117" t="b">
        <f>OR(AND(IF(Metadata!D117="",FALSE,TRUE),EXACT(Metadata!D117,"missing: not collected")),AND(IF(Metadata!D117="",FALSE,TRUE),OR(EXACT(Metadata!D117,"t"),EXACT(Metadata!D117,"f"))))</f>
        <v>0</v>
      </c>
      <c r="T117" t="b">
        <f>AND(IF(Metadata!E117="",FALSE,TRUE),OR(EXACT(Metadata!E117,"a"),EXACT(Metadata!E117,"b")))</f>
        <v>0</v>
      </c>
      <c r="U117" t="b">
        <f>OR(AND(IF(Metadata!F117="",FALSE,TRUE),OR(EXACT(Metadata!F117,"missing: not collected"),EXACT(Metadata!F117,"missing: not provided"))),AND(IF(Metadata!F117="",FALSE,TRUE),OR(EXACT(Metadata!F117,"lo"),EXACT(Metadata!F117,"med"),EXACT(Metadata!F117,"hi"))))</f>
        <v>0</v>
      </c>
    </row>
    <row r="118" spans="1:21" x14ac:dyDescent="0.2">
      <c r="A118" s="4" t="str">
        <f ca="1">IF(B118=" "," ",HYPERLINK(CONCATENATE("#metadata!",ADDRESS(INDEX($L$2:$L$1001,MATCH(ROWS($J$2:J118),$J$2:$J$1001,0),0),1)),INDEX($O$2:$O$1001,MATCH(ROWS($J$2:J118),$J$2:$J$1001,0),0)))</f>
        <v xml:space="preserve"> </v>
      </c>
      <c r="B118" s="3" t="str">
        <f ca="1">IF(OR(INDEX($K$2:$K$1001,MATCH(ROWS($J$2:J118),$J$2:$J$1001,0),1)&gt;=100000,INDEX($Q$1005:$U$1005,1,MATCH(COLUMNS($Q$1006:Q1006),$Q$1006:$U$1006,0))&gt;=100000), " ",IF(INDEX($Q$2:$U$1001,MATCH(ROWS($J$2:J118),$J$2:$J$1001,0),MATCH(COLUMNS($Q$1006:Q1006),$Q$1006:$U$1006,0)), HYPERLINK("#",""), HYPERLINK(CONCATENATE("#Metadata!", ADDRESS(INDEX($L$2:$L$1001,MATCH(ROWS($J$2:J118),$J$2:$J$1001,0),0), INDEX($Q$1004:$U$1004,1,MATCH(COLUMNS($Q$1006:Q1006),$Q$1006:$U$1006,0)))),"Fix")))</f>
        <v xml:space="preserve"> </v>
      </c>
      <c r="C118" s="3" t="str">
        <f ca="1">IF(OR(INDEX($K$2:$K$1001,MATCH(ROWS($J$2:J118),$J$2:$J$1001,0),1)&gt;=100000,INDEX($Q$1005:$U$1005,1,MATCH(COLUMNS($Q$1006:R1006),$Q$1006:$U$1006,0))&gt;=100000), " ",IF(INDEX($Q$2:$U$1001,MATCH(ROWS($J$2:J118),$J$2:$J$1001,0),MATCH(COLUMNS($Q$1006:R1006),$Q$1006:$U$1006,0)), HYPERLINK("#",""), HYPERLINK(CONCATENATE("#Metadata!", ADDRESS(INDEX($L$2:$L$1001,MATCH(ROWS($J$2:J118),$J$2:$J$1001,0),0), INDEX($Q$1004:$U$1004,1,MATCH(COLUMNS($Q$1006:R1006),$Q$1006:$U$1006,0)))),"Fix")))</f>
        <v xml:space="preserve"> </v>
      </c>
      <c r="D118" s="3" t="str">
        <f ca="1">IF(OR(INDEX($K$2:$K$1001,MATCH(ROWS($J$2:J118),$J$2:$J$1001,0),1)&gt;=100000,INDEX($Q$1005:$U$1005,1,MATCH(COLUMNS($Q$1006:S1006),$Q$1006:$U$1006,0))&gt;=100000), " ",IF(INDEX($Q$2:$U$1001,MATCH(ROWS($J$2:J118),$J$2:$J$1001,0),MATCH(COLUMNS($Q$1006:S1006),$Q$1006:$U$1006,0)), HYPERLINK("#",""), HYPERLINK(CONCATENATE("#Metadata!", ADDRESS(INDEX($L$2:$L$1001,MATCH(ROWS($J$2:J118),$J$2:$J$1001,0),0), INDEX($Q$1004:$U$1004,1,MATCH(COLUMNS($Q$1006:S1006),$Q$1006:$U$1006,0)))),"Fix")))</f>
        <v xml:space="preserve"> </v>
      </c>
      <c r="E118" s="3" t="str">
        <f ca="1">IF(OR(INDEX($K$2:$K$1001,MATCH(ROWS($J$2:J118),$J$2:$J$1001,0),1)&gt;=100000,INDEX($Q$1005:$U$1005,1,MATCH(COLUMNS($Q$1006:T1006),$Q$1006:$U$1006,0))&gt;=100000), " ",IF(INDEX($Q$2:$U$1001,MATCH(ROWS($J$2:J118),$J$2:$J$1001,0),MATCH(COLUMNS($Q$1006:T1006),$Q$1006:$U$1006,0)), HYPERLINK("#",""), HYPERLINK(CONCATENATE("#Metadata!", ADDRESS(INDEX($L$2:$L$1001,MATCH(ROWS($J$2:J118),$J$2:$J$1001,0),0), INDEX($Q$1004:$U$1004,1,MATCH(COLUMNS($Q$1006:T1006),$Q$1006:$U$1006,0)))),"Fix")))</f>
        <v xml:space="preserve"> </v>
      </c>
      <c r="F118" s="3" t="str">
        <f ca="1">IF(OR(INDEX($K$2:$K$1001,MATCH(ROWS($J$2:J118),$J$2:$J$1001,0),1)&gt;=100000,INDEX($Q$1005:$U$1005,1,MATCH(COLUMNS($Q$1006:U1006),$Q$1006:$U$1006,0))&gt;=100000), " ",IF(INDEX($Q$2:$U$1001,MATCH(ROWS($J$2:J118),$J$2:$J$1001,0),MATCH(COLUMNS($Q$1006:U1006),$Q$1006:$U$1006,0)), HYPERLINK("#",""), HYPERLINK(CONCATENATE("#Metadata!", ADDRESS(INDEX($L$2:$L$1001,MATCH(ROWS($J$2:J118),$J$2:$J$1001,0),0), INDEX($Q$1004:$U$1004,1,MATCH(COLUMNS($Q$1006:U1006),$Q$1006:$U$1006,0)))),"Fix")))</f>
        <v xml:space="preserve"> </v>
      </c>
      <c r="J118">
        <f ca="1"/>
        <v>117</v>
      </c>
      <c r="K118">
        <v>100118</v>
      </c>
      <c r="L118">
        <v>118</v>
      </c>
      <c r="M118" t="b">
        <f t="shared" si="1"/>
        <v>1</v>
      </c>
      <c r="N118" t="b">
        <f>COUNTBLANK(Metadata!B118:F118)=COLUMNS(Metadata!B118:F118)</f>
        <v>1</v>
      </c>
      <c r="O118" t="str">
        <v/>
      </c>
      <c r="Q118" t="b">
        <f ca="1"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R118" t="b">
        <f>IF(Metadata!C118="",FALSE,TRUE)</f>
        <v>0</v>
      </c>
      <c r="S118" t="b">
        <f>OR(AND(IF(Metadata!D118="",FALSE,TRUE),EXACT(Metadata!D118,"missing: not collected")),AND(IF(Metadata!D118="",FALSE,TRUE),OR(EXACT(Metadata!D118,"t"),EXACT(Metadata!D118,"f"))))</f>
        <v>0</v>
      </c>
      <c r="T118" t="b">
        <f>AND(IF(Metadata!E118="",FALSE,TRUE),OR(EXACT(Metadata!E118,"a"),EXACT(Metadata!E118,"b")))</f>
        <v>0</v>
      </c>
      <c r="U118" t="b">
        <f>OR(AND(IF(Metadata!F118="",FALSE,TRUE),OR(EXACT(Metadata!F118,"missing: not collected"),EXACT(Metadata!F118,"missing: not provided"))),AND(IF(Metadata!F118="",FALSE,TRUE),OR(EXACT(Metadata!F118,"lo"),EXACT(Metadata!F118,"med"),EXACT(Metadata!F118,"hi"))))</f>
        <v>0</v>
      </c>
    </row>
    <row r="119" spans="1:21" x14ac:dyDescent="0.2">
      <c r="A119" s="4" t="str">
        <f ca="1">IF(B119=" "," ",HYPERLINK(CONCATENATE("#metadata!",ADDRESS(INDEX($L$2:$L$1001,MATCH(ROWS($J$2:J119),$J$2:$J$1001,0),0),1)),INDEX($O$2:$O$1001,MATCH(ROWS($J$2:J119),$J$2:$J$1001,0),0)))</f>
        <v xml:space="preserve"> </v>
      </c>
      <c r="B119" s="3" t="str">
        <f ca="1">IF(OR(INDEX($K$2:$K$1001,MATCH(ROWS($J$2:J119),$J$2:$J$1001,0),1)&gt;=100000,INDEX($Q$1005:$U$1005,1,MATCH(COLUMNS($Q$1006:Q1006),$Q$1006:$U$1006,0))&gt;=100000), " ",IF(INDEX($Q$2:$U$1001,MATCH(ROWS($J$2:J119),$J$2:$J$1001,0),MATCH(COLUMNS($Q$1006:Q1006),$Q$1006:$U$1006,0)), HYPERLINK("#",""), HYPERLINK(CONCATENATE("#Metadata!", ADDRESS(INDEX($L$2:$L$1001,MATCH(ROWS($J$2:J119),$J$2:$J$1001,0),0), INDEX($Q$1004:$U$1004,1,MATCH(COLUMNS($Q$1006:Q1006),$Q$1006:$U$1006,0)))),"Fix")))</f>
        <v xml:space="preserve"> </v>
      </c>
      <c r="C119" s="3" t="str">
        <f ca="1">IF(OR(INDEX($K$2:$K$1001,MATCH(ROWS($J$2:J119),$J$2:$J$1001,0),1)&gt;=100000,INDEX($Q$1005:$U$1005,1,MATCH(COLUMNS($Q$1006:R1006),$Q$1006:$U$1006,0))&gt;=100000), " ",IF(INDEX($Q$2:$U$1001,MATCH(ROWS($J$2:J119),$J$2:$J$1001,0),MATCH(COLUMNS($Q$1006:R1006),$Q$1006:$U$1006,0)), HYPERLINK("#",""), HYPERLINK(CONCATENATE("#Metadata!", ADDRESS(INDEX($L$2:$L$1001,MATCH(ROWS($J$2:J119),$J$2:$J$1001,0),0), INDEX($Q$1004:$U$1004,1,MATCH(COLUMNS($Q$1006:R1006),$Q$1006:$U$1006,0)))),"Fix")))</f>
        <v xml:space="preserve"> </v>
      </c>
      <c r="D119" s="3" t="str">
        <f ca="1">IF(OR(INDEX($K$2:$K$1001,MATCH(ROWS($J$2:J119),$J$2:$J$1001,0),1)&gt;=100000,INDEX($Q$1005:$U$1005,1,MATCH(COLUMNS($Q$1006:S1006),$Q$1006:$U$1006,0))&gt;=100000), " ",IF(INDEX($Q$2:$U$1001,MATCH(ROWS($J$2:J119),$J$2:$J$1001,0),MATCH(COLUMNS($Q$1006:S1006),$Q$1006:$U$1006,0)), HYPERLINK("#",""), HYPERLINK(CONCATENATE("#Metadata!", ADDRESS(INDEX($L$2:$L$1001,MATCH(ROWS($J$2:J119),$J$2:$J$1001,0),0), INDEX($Q$1004:$U$1004,1,MATCH(COLUMNS($Q$1006:S1006),$Q$1006:$U$1006,0)))),"Fix")))</f>
        <v xml:space="preserve"> </v>
      </c>
      <c r="E119" s="3" t="str">
        <f ca="1">IF(OR(INDEX($K$2:$K$1001,MATCH(ROWS($J$2:J119),$J$2:$J$1001,0),1)&gt;=100000,INDEX($Q$1005:$U$1005,1,MATCH(COLUMNS($Q$1006:T1006),$Q$1006:$U$1006,0))&gt;=100000), " ",IF(INDEX($Q$2:$U$1001,MATCH(ROWS($J$2:J119),$J$2:$J$1001,0),MATCH(COLUMNS($Q$1006:T1006),$Q$1006:$U$1006,0)), HYPERLINK("#",""), HYPERLINK(CONCATENATE("#Metadata!", ADDRESS(INDEX($L$2:$L$1001,MATCH(ROWS($J$2:J119),$J$2:$J$1001,0),0), INDEX($Q$1004:$U$1004,1,MATCH(COLUMNS($Q$1006:T1006),$Q$1006:$U$1006,0)))),"Fix")))</f>
        <v xml:space="preserve"> </v>
      </c>
      <c r="F119" s="3" t="str">
        <f ca="1">IF(OR(INDEX($K$2:$K$1001,MATCH(ROWS($J$2:J119),$J$2:$J$1001,0),1)&gt;=100000,INDEX($Q$1005:$U$1005,1,MATCH(COLUMNS($Q$1006:U1006),$Q$1006:$U$1006,0))&gt;=100000), " ",IF(INDEX($Q$2:$U$1001,MATCH(ROWS($J$2:J119),$J$2:$J$1001,0),MATCH(COLUMNS($Q$1006:U1006),$Q$1006:$U$1006,0)), HYPERLINK("#",""), HYPERLINK(CONCATENATE("#Metadata!", ADDRESS(INDEX($L$2:$L$1001,MATCH(ROWS($J$2:J119),$J$2:$J$1001,0),0), INDEX($Q$1004:$U$1004,1,MATCH(COLUMNS($Q$1006:U1006),$Q$1006:$U$1006,0)))),"Fix")))</f>
        <v xml:space="preserve"> </v>
      </c>
      <c r="J119">
        <f ca="1"/>
        <v>118</v>
      </c>
      <c r="K119">
        <v>100119</v>
      </c>
      <c r="L119">
        <v>119</v>
      </c>
      <c r="M119" t="b">
        <f t="shared" si="1"/>
        <v>1</v>
      </c>
      <c r="N119" t="b">
        <f>COUNTBLANK(Metadata!B119:F119)=COLUMNS(Metadata!B119:F119)</f>
        <v>1</v>
      </c>
      <c r="O119" t="str">
        <v/>
      </c>
      <c r="Q119" t="b">
        <f ca="1"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R119" t="b">
        <f>IF(Metadata!C119="",FALSE,TRUE)</f>
        <v>0</v>
      </c>
      <c r="S119" t="b">
        <f>OR(AND(IF(Metadata!D119="",FALSE,TRUE),EXACT(Metadata!D119,"missing: not collected")),AND(IF(Metadata!D119="",FALSE,TRUE),OR(EXACT(Metadata!D119,"t"),EXACT(Metadata!D119,"f"))))</f>
        <v>0</v>
      </c>
      <c r="T119" t="b">
        <f>AND(IF(Metadata!E119="",FALSE,TRUE),OR(EXACT(Metadata!E119,"a"),EXACT(Metadata!E119,"b")))</f>
        <v>0</v>
      </c>
      <c r="U119" t="b">
        <f>OR(AND(IF(Metadata!F119="",FALSE,TRUE),OR(EXACT(Metadata!F119,"missing: not collected"),EXACT(Metadata!F119,"missing: not provided"))),AND(IF(Metadata!F119="",FALSE,TRUE),OR(EXACT(Metadata!F119,"lo"),EXACT(Metadata!F119,"med"),EXACT(Metadata!F119,"hi"))))</f>
        <v>0</v>
      </c>
    </row>
    <row r="120" spans="1:21" x14ac:dyDescent="0.2">
      <c r="A120" s="4" t="str">
        <f ca="1">IF(B120=" "," ",HYPERLINK(CONCATENATE("#metadata!",ADDRESS(INDEX($L$2:$L$1001,MATCH(ROWS($J$2:J120),$J$2:$J$1001,0),0),1)),INDEX($O$2:$O$1001,MATCH(ROWS($J$2:J120),$J$2:$J$1001,0),0)))</f>
        <v xml:space="preserve"> </v>
      </c>
      <c r="B120" s="3" t="str">
        <f ca="1">IF(OR(INDEX($K$2:$K$1001,MATCH(ROWS($J$2:J120),$J$2:$J$1001,0),1)&gt;=100000,INDEX($Q$1005:$U$1005,1,MATCH(COLUMNS($Q$1006:Q1006),$Q$1006:$U$1006,0))&gt;=100000), " ",IF(INDEX($Q$2:$U$1001,MATCH(ROWS($J$2:J120),$J$2:$J$1001,0),MATCH(COLUMNS($Q$1006:Q1006),$Q$1006:$U$1006,0)), HYPERLINK("#",""), HYPERLINK(CONCATENATE("#Metadata!", ADDRESS(INDEX($L$2:$L$1001,MATCH(ROWS($J$2:J120),$J$2:$J$1001,0),0), INDEX($Q$1004:$U$1004,1,MATCH(COLUMNS($Q$1006:Q1006),$Q$1006:$U$1006,0)))),"Fix")))</f>
        <v xml:space="preserve"> </v>
      </c>
      <c r="C120" s="3" t="str">
        <f ca="1">IF(OR(INDEX($K$2:$K$1001,MATCH(ROWS($J$2:J120),$J$2:$J$1001,0),1)&gt;=100000,INDEX($Q$1005:$U$1005,1,MATCH(COLUMNS($Q$1006:R1006),$Q$1006:$U$1006,0))&gt;=100000), " ",IF(INDEX($Q$2:$U$1001,MATCH(ROWS($J$2:J120),$J$2:$J$1001,0),MATCH(COLUMNS($Q$1006:R1006),$Q$1006:$U$1006,0)), HYPERLINK("#",""), HYPERLINK(CONCATENATE("#Metadata!", ADDRESS(INDEX($L$2:$L$1001,MATCH(ROWS($J$2:J120),$J$2:$J$1001,0),0), INDEX($Q$1004:$U$1004,1,MATCH(COLUMNS($Q$1006:R1006),$Q$1006:$U$1006,0)))),"Fix")))</f>
        <v xml:space="preserve"> </v>
      </c>
      <c r="D120" s="3" t="str">
        <f ca="1">IF(OR(INDEX($K$2:$K$1001,MATCH(ROWS($J$2:J120),$J$2:$J$1001,0),1)&gt;=100000,INDEX($Q$1005:$U$1005,1,MATCH(COLUMNS($Q$1006:S1006),$Q$1006:$U$1006,0))&gt;=100000), " ",IF(INDEX($Q$2:$U$1001,MATCH(ROWS($J$2:J120),$J$2:$J$1001,0),MATCH(COLUMNS($Q$1006:S1006),$Q$1006:$U$1006,0)), HYPERLINK("#",""), HYPERLINK(CONCATENATE("#Metadata!", ADDRESS(INDEX($L$2:$L$1001,MATCH(ROWS($J$2:J120),$J$2:$J$1001,0),0), INDEX($Q$1004:$U$1004,1,MATCH(COLUMNS($Q$1006:S1006),$Q$1006:$U$1006,0)))),"Fix")))</f>
        <v xml:space="preserve"> </v>
      </c>
      <c r="E120" s="3" t="str">
        <f ca="1">IF(OR(INDEX($K$2:$K$1001,MATCH(ROWS($J$2:J120),$J$2:$J$1001,0),1)&gt;=100000,INDEX($Q$1005:$U$1005,1,MATCH(COLUMNS($Q$1006:T1006),$Q$1006:$U$1006,0))&gt;=100000), " ",IF(INDEX($Q$2:$U$1001,MATCH(ROWS($J$2:J120),$J$2:$J$1001,0),MATCH(COLUMNS($Q$1006:T1006),$Q$1006:$U$1006,0)), HYPERLINK("#",""), HYPERLINK(CONCATENATE("#Metadata!", ADDRESS(INDEX($L$2:$L$1001,MATCH(ROWS($J$2:J120),$J$2:$J$1001,0),0), INDEX($Q$1004:$U$1004,1,MATCH(COLUMNS($Q$1006:T1006),$Q$1006:$U$1006,0)))),"Fix")))</f>
        <v xml:space="preserve"> </v>
      </c>
      <c r="F120" s="3" t="str">
        <f ca="1">IF(OR(INDEX($K$2:$K$1001,MATCH(ROWS($J$2:J120),$J$2:$J$1001,0),1)&gt;=100000,INDEX($Q$1005:$U$1005,1,MATCH(COLUMNS($Q$1006:U1006),$Q$1006:$U$1006,0))&gt;=100000), " ",IF(INDEX($Q$2:$U$1001,MATCH(ROWS($J$2:J120),$J$2:$J$1001,0),MATCH(COLUMNS($Q$1006:U1006),$Q$1006:$U$1006,0)), HYPERLINK("#",""), HYPERLINK(CONCATENATE("#Metadata!", ADDRESS(INDEX($L$2:$L$1001,MATCH(ROWS($J$2:J120),$J$2:$J$1001,0),0), INDEX($Q$1004:$U$1004,1,MATCH(COLUMNS($Q$1006:U1006),$Q$1006:$U$1006,0)))),"Fix")))</f>
        <v xml:space="preserve"> </v>
      </c>
      <c r="J120">
        <f ca="1"/>
        <v>119</v>
      </c>
      <c r="K120">
        <v>100120</v>
      </c>
      <c r="L120">
        <v>120</v>
      </c>
      <c r="M120" t="b">
        <f t="shared" si="1"/>
        <v>1</v>
      </c>
      <c r="N120" t="b">
        <f>COUNTBLANK(Metadata!B120:F120)=COLUMNS(Metadata!B120:F120)</f>
        <v>1</v>
      </c>
      <c r="O120" t="str">
        <v/>
      </c>
      <c r="Q120" t="b">
        <f ca="1"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R120" t="b">
        <f>IF(Metadata!C120="",FALSE,TRUE)</f>
        <v>0</v>
      </c>
      <c r="S120" t="b">
        <f>OR(AND(IF(Metadata!D120="",FALSE,TRUE),EXACT(Metadata!D120,"missing: not collected")),AND(IF(Metadata!D120="",FALSE,TRUE),OR(EXACT(Metadata!D120,"t"),EXACT(Metadata!D120,"f"))))</f>
        <v>0</v>
      </c>
      <c r="T120" t="b">
        <f>AND(IF(Metadata!E120="",FALSE,TRUE),OR(EXACT(Metadata!E120,"a"),EXACT(Metadata!E120,"b")))</f>
        <v>0</v>
      </c>
      <c r="U120" t="b">
        <f>OR(AND(IF(Metadata!F120="",FALSE,TRUE),OR(EXACT(Metadata!F120,"missing: not collected"),EXACT(Metadata!F120,"missing: not provided"))),AND(IF(Metadata!F120="",FALSE,TRUE),OR(EXACT(Metadata!F120,"lo"),EXACT(Metadata!F120,"med"),EXACT(Metadata!F120,"hi"))))</f>
        <v>0</v>
      </c>
    </row>
    <row r="121" spans="1:21" x14ac:dyDescent="0.2">
      <c r="A121" s="4" t="str">
        <f ca="1">IF(B121=" "," ",HYPERLINK(CONCATENATE("#metadata!",ADDRESS(INDEX($L$2:$L$1001,MATCH(ROWS($J$2:J121),$J$2:$J$1001,0),0),1)),INDEX($O$2:$O$1001,MATCH(ROWS($J$2:J121),$J$2:$J$1001,0),0)))</f>
        <v xml:space="preserve"> </v>
      </c>
      <c r="B121" s="3" t="str">
        <f ca="1">IF(OR(INDEX($K$2:$K$1001,MATCH(ROWS($J$2:J121),$J$2:$J$1001,0),1)&gt;=100000,INDEX($Q$1005:$U$1005,1,MATCH(COLUMNS($Q$1006:Q1006),$Q$1006:$U$1006,0))&gt;=100000), " ",IF(INDEX($Q$2:$U$1001,MATCH(ROWS($J$2:J121),$J$2:$J$1001,0),MATCH(COLUMNS($Q$1006:Q1006),$Q$1006:$U$1006,0)), HYPERLINK("#",""), HYPERLINK(CONCATENATE("#Metadata!", ADDRESS(INDEX($L$2:$L$1001,MATCH(ROWS($J$2:J121),$J$2:$J$1001,0),0), INDEX($Q$1004:$U$1004,1,MATCH(COLUMNS($Q$1006:Q1006),$Q$1006:$U$1006,0)))),"Fix")))</f>
        <v xml:space="preserve"> </v>
      </c>
      <c r="C121" s="3" t="str">
        <f ca="1">IF(OR(INDEX($K$2:$K$1001,MATCH(ROWS($J$2:J121),$J$2:$J$1001,0),1)&gt;=100000,INDEX($Q$1005:$U$1005,1,MATCH(COLUMNS($Q$1006:R1006),$Q$1006:$U$1006,0))&gt;=100000), " ",IF(INDEX($Q$2:$U$1001,MATCH(ROWS($J$2:J121),$J$2:$J$1001,0),MATCH(COLUMNS($Q$1006:R1006),$Q$1006:$U$1006,0)), HYPERLINK("#",""), HYPERLINK(CONCATENATE("#Metadata!", ADDRESS(INDEX($L$2:$L$1001,MATCH(ROWS($J$2:J121),$J$2:$J$1001,0),0), INDEX($Q$1004:$U$1004,1,MATCH(COLUMNS($Q$1006:R1006),$Q$1006:$U$1006,0)))),"Fix")))</f>
        <v xml:space="preserve"> </v>
      </c>
      <c r="D121" s="3" t="str">
        <f ca="1">IF(OR(INDEX($K$2:$K$1001,MATCH(ROWS($J$2:J121),$J$2:$J$1001,0),1)&gt;=100000,INDEX($Q$1005:$U$1005,1,MATCH(COLUMNS($Q$1006:S1006),$Q$1006:$U$1006,0))&gt;=100000), " ",IF(INDEX($Q$2:$U$1001,MATCH(ROWS($J$2:J121),$J$2:$J$1001,0),MATCH(COLUMNS($Q$1006:S1006),$Q$1006:$U$1006,0)), HYPERLINK("#",""), HYPERLINK(CONCATENATE("#Metadata!", ADDRESS(INDEX($L$2:$L$1001,MATCH(ROWS($J$2:J121),$J$2:$J$1001,0),0), INDEX($Q$1004:$U$1004,1,MATCH(COLUMNS($Q$1006:S1006),$Q$1006:$U$1006,0)))),"Fix")))</f>
        <v xml:space="preserve"> </v>
      </c>
      <c r="E121" s="3" t="str">
        <f ca="1">IF(OR(INDEX($K$2:$K$1001,MATCH(ROWS($J$2:J121),$J$2:$J$1001,0),1)&gt;=100000,INDEX($Q$1005:$U$1005,1,MATCH(COLUMNS($Q$1006:T1006),$Q$1006:$U$1006,0))&gt;=100000), " ",IF(INDEX($Q$2:$U$1001,MATCH(ROWS($J$2:J121),$J$2:$J$1001,0),MATCH(COLUMNS($Q$1006:T1006),$Q$1006:$U$1006,0)), HYPERLINK("#",""), HYPERLINK(CONCATENATE("#Metadata!", ADDRESS(INDEX($L$2:$L$1001,MATCH(ROWS($J$2:J121),$J$2:$J$1001,0),0), INDEX($Q$1004:$U$1004,1,MATCH(COLUMNS($Q$1006:T1006),$Q$1006:$U$1006,0)))),"Fix")))</f>
        <v xml:space="preserve"> </v>
      </c>
      <c r="F121" s="3" t="str">
        <f ca="1">IF(OR(INDEX($K$2:$K$1001,MATCH(ROWS($J$2:J121),$J$2:$J$1001,0),1)&gt;=100000,INDEX($Q$1005:$U$1005,1,MATCH(COLUMNS($Q$1006:U1006),$Q$1006:$U$1006,0))&gt;=100000), " ",IF(INDEX($Q$2:$U$1001,MATCH(ROWS($J$2:J121),$J$2:$J$1001,0),MATCH(COLUMNS($Q$1006:U1006),$Q$1006:$U$1006,0)), HYPERLINK("#",""), HYPERLINK(CONCATENATE("#Metadata!", ADDRESS(INDEX($L$2:$L$1001,MATCH(ROWS($J$2:J121),$J$2:$J$1001,0),0), INDEX($Q$1004:$U$1004,1,MATCH(COLUMNS($Q$1006:U1006),$Q$1006:$U$1006,0)))),"Fix")))</f>
        <v xml:space="preserve"> </v>
      </c>
      <c r="J121">
        <f ca="1"/>
        <v>120</v>
      </c>
      <c r="K121">
        <v>100121</v>
      </c>
      <c r="L121">
        <v>121</v>
      </c>
      <c r="M121" t="b">
        <f t="shared" si="1"/>
        <v>1</v>
      </c>
      <c r="N121" t="b">
        <f>COUNTBLANK(Metadata!B121:F121)=COLUMNS(Metadata!B121:F121)</f>
        <v>1</v>
      </c>
      <c r="O121" t="str">
        <v/>
      </c>
      <c r="Q121" t="b">
        <f ca="1"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R121" t="b">
        <f>IF(Metadata!C121="",FALSE,TRUE)</f>
        <v>0</v>
      </c>
      <c r="S121" t="b">
        <f>OR(AND(IF(Metadata!D121="",FALSE,TRUE),EXACT(Metadata!D121,"missing: not collected")),AND(IF(Metadata!D121="",FALSE,TRUE),OR(EXACT(Metadata!D121,"t"),EXACT(Metadata!D121,"f"))))</f>
        <v>0</v>
      </c>
      <c r="T121" t="b">
        <f>AND(IF(Metadata!E121="",FALSE,TRUE),OR(EXACT(Metadata!E121,"a"),EXACT(Metadata!E121,"b")))</f>
        <v>0</v>
      </c>
      <c r="U121" t="b">
        <f>OR(AND(IF(Metadata!F121="",FALSE,TRUE),OR(EXACT(Metadata!F121,"missing: not collected"),EXACT(Metadata!F121,"missing: not provided"))),AND(IF(Metadata!F121="",FALSE,TRUE),OR(EXACT(Metadata!F121,"lo"),EXACT(Metadata!F121,"med"),EXACT(Metadata!F121,"hi"))))</f>
        <v>0</v>
      </c>
    </row>
    <row r="122" spans="1:21" x14ac:dyDescent="0.2">
      <c r="A122" s="4" t="str">
        <f ca="1">IF(B122=" "," ",HYPERLINK(CONCATENATE("#metadata!",ADDRESS(INDEX($L$2:$L$1001,MATCH(ROWS($J$2:J122),$J$2:$J$1001,0),0),1)),INDEX($O$2:$O$1001,MATCH(ROWS($J$2:J122),$J$2:$J$1001,0),0)))</f>
        <v xml:space="preserve"> </v>
      </c>
      <c r="B122" s="3" t="str">
        <f ca="1">IF(OR(INDEX($K$2:$K$1001,MATCH(ROWS($J$2:J122),$J$2:$J$1001,0),1)&gt;=100000,INDEX($Q$1005:$U$1005,1,MATCH(COLUMNS($Q$1006:Q1006),$Q$1006:$U$1006,0))&gt;=100000), " ",IF(INDEX($Q$2:$U$1001,MATCH(ROWS($J$2:J122),$J$2:$J$1001,0),MATCH(COLUMNS($Q$1006:Q1006),$Q$1006:$U$1006,0)), HYPERLINK("#",""), HYPERLINK(CONCATENATE("#Metadata!", ADDRESS(INDEX($L$2:$L$1001,MATCH(ROWS($J$2:J122),$J$2:$J$1001,0),0), INDEX($Q$1004:$U$1004,1,MATCH(COLUMNS($Q$1006:Q1006),$Q$1006:$U$1006,0)))),"Fix")))</f>
        <v xml:space="preserve"> </v>
      </c>
      <c r="C122" s="3" t="str">
        <f ca="1">IF(OR(INDEX($K$2:$K$1001,MATCH(ROWS($J$2:J122),$J$2:$J$1001,0),1)&gt;=100000,INDEX($Q$1005:$U$1005,1,MATCH(COLUMNS($Q$1006:R1006),$Q$1006:$U$1006,0))&gt;=100000), " ",IF(INDEX($Q$2:$U$1001,MATCH(ROWS($J$2:J122),$J$2:$J$1001,0),MATCH(COLUMNS($Q$1006:R1006),$Q$1006:$U$1006,0)), HYPERLINK("#",""), HYPERLINK(CONCATENATE("#Metadata!", ADDRESS(INDEX($L$2:$L$1001,MATCH(ROWS($J$2:J122),$J$2:$J$1001,0),0), INDEX($Q$1004:$U$1004,1,MATCH(COLUMNS($Q$1006:R1006),$Q$1006:$U$1006,0)))),"Fix")))</f>
        <v xml:space="preserve"> </v>
      </c>
      <c r="D122" s="3" t="str">
        <f ca="1">IF(OR(INDEX($K$2:$K$1001,MATCH(ROWS($J$2:J122),$J$2:$J$1001,0),1)&gt;=100000,INDEX($Q$1005:$U$1005,1,MATCH(COLUMNS($Q$1006:S1006),$Q$1006:$U$1006,0))&gt;=100000), " ",IF(INDEX($Q$2:$U$1001,MATCH(ROWS($J$2:J122),$J$2:$J$1001,0),MATCH(COLUMNS($Q$1006:S1006),$Q$1006:$U$1006,0)), HYPERLINK("#",""), HYPERLINK(CONCATENATE("#Metadata!", ADDRESS(INDEX($L$2:$L$1001,MATCH(ROWS($J$2:J122),$J$2:$J$1001,0),0), INDEX($Q$1004:$U$1004,1,MATCH(COLUMNS($Q$1006:S1006),$Q$1006:$U$1006,0)))),"Fix")))</f>
        <v xml:space="preserve"> </v>
      </c>
      <c r="E122" s="3" t="str">
        <f ca="1">IF(OR(INDEX($K$2:$K$1001,MATCH(ROWS($J$2:J122),$J$2:$J$1001,0),1)&gt;=100000,INDEX($Q$1005:$U$1005,1,MATCH(COLUMNS($Q$1006:T1006),$Q$1006:$U$1006,0))&gt;=100000), " ",IF(INDEX($Q$2:$U$1001,MATCH(ROWS($J$2:J122),$J$2:$J$1001,0),MATCH(COLUMNS($Q$1006:T1006),$Q$1006:$U$1006,0)), HYPERLINK("#",""), HYPERLINK(CONCATENATE("#Metadata!", ADDRESS(INDEX($L$2:$L$1001,MATCH(ROWS($J$2:J122),$J$2:$J$1001,0),0), INDEX($Q$1004:$U$1004,1,MATCH(COLUMNS($Q$1006:T1006),$Q$1006:$U$1006,0)))),"Fix")))</f>
        <v xml:space="preserve"> </v>
      </c>
      <c r="F122" s="3" t="str">
        <f ca="1">IF(OR(INDEX($K$2:$K$1001,MATCH(ROWS($J$2:J122),$J$2:$J$1001,0),1)&gt;=100000,INDEX($Q$1005:$U$1005,1,MATCH(COLUMNS($Q$1006:U1006),$Q$1006:$U$1006,0))&gt;=100000), " ",IF(INDEX($Q$2:$U$1001,MATCH(ROWS($J$2:J122),$J$2:$J$1001,0),MATCH(COLUMNS($Q$1006:U1006),$Q$1006:$U$1006,0)), HYPERLINK("#",""), HYPERLINK(CONCATENATE("#Metadata!", ADDRESS(INDEX($L$2:$L$1001,MATCH(ROWS($J$2:J122),$J$2:$J$1001,0),0), INDEX($Q$1004:$U$1004,1,MATCH(COLUMNS($Q$1006:U1006),$Q$1006:$U$1006,0)))),"Fix")))</f>
        <v xml:space="preserve"> </v>
      </c>
      <c r="J122">
        <f ca="1"/>
        <v>121</v>
      </c>
      <c r="K122">
        <v>100122</v>
      </c>
      <c r="L122">
        <v>122</v>
      </c>
      <c r="M122" t="b">
        <f t="shared" si="1"/>
        <v>1</v>
      </c>
      <c r="N122" t="b">
        <f>COUNTBLANK(Metadata!B122:F122)=COLUMNS(Metadata!B122:F122)</f>
        <v>1</v>
      </c>
      <c r="O122" t="str">
        <v/>
      </c>
      <c r="Q122" t="b">
        <f ca="1"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R122" t="b">
        <f>IF(Metadata!C122="",FALSE,TRUE)</f>
        <v>0</v>
      </c>
      <c r="S122" t="b">
        <f>OR(AND(IF(Metadata!D122="",FALSE,TRUE),EXACT(Metadata!D122,"missing: not collected")),AND(IF(Metadata!D122="",FALSE,TRUE),OR(EXACT(Metadata!D122,"t"),EXACT(Metadata!D122,"f"))))</f>
        <v>0</v>
      </c>
      <c r="T122" t="b">
        <f>AND(IF(Metadata!E122="",FALSE,TRUE),OR(EXACT(Metadata!E122,"a"),EXACT(Metadata!E122,"b")))</f>
        <v>0</v>
      </c>
      <c r="U122" t="b">
        <f>OR(AND(IF(Metadata!F122="",FALSE,TRUE),OR(EXACT(Metadata!F122,"missing: not collected"),EXACT(Metadata!F122,"missing: not provided"))),AND(IF(Metadata!F122="",FALSE,TRUE),OR(EXACT(Metadata!F122,"lo"),EXACT(Metadata!F122,"med"),EXACT(Metadata!F122,"hi"))))</f>
        <v>0</v>
      </c>
    </row>
    <row r="123" spans="1:21" x14ac:dyDescent="0.2">
      <c r="A123" s="4" t="str">
        <f ca="1">IF(B123=" "," ",HYPERLINK(CONCATENATE("#metadata!",ADDRESS(INDEX($L$2:$L$1001,MATCH(ROWS($J$2:J123),$J$2:$J$1001,0),0),1)),INDEX($O$2:$O$1001,MATCH(ROWS($J$2:J123),$J$2:$J$1001,0),0)))</f>
        <v xml:space="preserve"> </v>
      </c>
      <c r="B123" s="3" t="str">
        <f ca="1">IF(OR(INDEX($K$2:$K$1001,MATCH(ROWS($J$2:J123),$J$2:$J$1001,0),1)&gt;=100000,INDEX($Q$1005:$U$1005,1,MATCH(COLUMNS($Q$1006:Q1006),$Q$1006:$U$1006,0))&gt;=100000), " ",IF(INDEX($Q$2:$U$1001,MATCH(ROWS($J$2:J123),$J$2:$J$1001,0),MATCH(COLUMNS($Q$1006:Q1006),$Q$1006:$U$1006,0)), HYPERLINK("#",""), HYPERLINK(CONCATENATE("#Metadata!", ADDRESS(INDEX($L$2:$L$1001,MATCH(ROWS($J$2:J123),$J$2:$J$1001,0),0), INDEX($Q$1004:$U$1004,1,MATCH(COLUMNS($Q$1006:Q1006),$Q$1006:$U$1006,0)))),"Fix")))</f>
        <v xml:space="preserve"> </v>
      </c>
      <c r="C123" s="3" t="str">
        <f ca="1">IF(OR(INDEX($K$2:$K$1001,MATCH(ROWS($J$2:J123),$J$2:$J$1001,0),1)&gt;=100000,INDEX($Q$1005:$U$1005,1,MATCH(COLUMNS($Q$1006:R1006),$Q$1006:$U$1006,0))&gt;=100000), " ",IF(INDEX($Q$2:$U$1001,MATCH(ROWS($J$2:J123),$J$2:$J$1001,0),MATCH(COLUMNS($Q$1006:R1006),$Q$1006:$U$1006,0)), HYPERLINK("#",""), HYPERLINK(CONCATENATE("#Metadata!", ADDRESS(INDEX($L$2:$L$1001,MATCH(ROWS($J$2:J123),$J$2:$J$1001,0),0), INDEX($Q$1004:$U$1004,1,MATCH(COLUMNS($Q$1006:R1006),$Q$1006:$U$1006,0)))),"Fix")))</f>
        <v xml:space="preserve"> </v>
      </c>
      <c r="D123" s="3" t="str">
        <f ca="1">IF(OR(INDEX($K$2:$K$1001,MATCH(ROWS($J$2:J123),$J$2:$J$1001,0),1)&gt;=100000,INDEX($Q$1005:$U$1005,1,MATCH(COLUMNS($Q$1006:S1006),$Q$1006:$U$1006,0))&gt;=100000), " ",IF(INDEX($Q$2:$U$1001,MATCH(ROWS($J$2:J123),$J$2:$J$1001,0),MATCH(COLUMNS($Q$1006:S1006),$Q$1006:$U$1006,0)), HYPERLINK("#",""), HYPERLINK(CONCATENATE("#Metadata!", ADDRESS(INDEX($L$2:$L$1001,MATCH(ROWS($J$2:J123),$J$2:$J$1001,0),0), INDEX($Q$1004:$U$1004,1,MATCH(COLUMNS($Q$1006:S1006),$Q$1006:$U$1006,0)))),"Fix")))</f>
        <v xml:space="preserve"> </v>
      </c>
      <c r="E123" s="3" t="str">
        <f ca="1">IF(OR(INDEX($K$2:$K$1001,MATCH(ROWS($J$2:J123),$J$2:$J$1001,0),1)&gt;=100000,INDEX($Q$1005:$U$1005,1,MATCH(COLUMNS($Q$1006:T1006),$Q$1006:$U$1006,0))&gt;=100000), " ",IF(INDEX($Q$2:$U$1001,MATCH(ROWS($J$2:J123),$J$2:$J$1001,0),MATCH(COLUMNS($Q$1006:T1006),$Q$1006:$U$1006,0)), HYPERLINK("#",""), HYPERLINK(CONCATENATE("#Metadata!", ADDRESS(INDEX($L$2:$L$1001,MATCH(ROWS($J$2:J123),$J$2:$J$1001,0),0), INDEX($Q$1004:$U$1004,1,MATCH(COLUMNS($Q$1006:T1006),$Q$1006:$U$1006,0)))),"Fix")))</f>
        <v xml:space="preserve"> </v>
      </c>
      <c r="F123" s="3" t="str">
        <f ca="1">IF(OR(INDEX($K$2:$K$1001,MATCH(ROWS($J$2:J123),$J$2:$J$1001,0),1)&gt;=100000,INDEX($Q$1005:$U$1005,1,MATCH(COLUMNS($Q$1006:U1006),$Q$1006:$U$1006,0))&gt;=100000), " ",IF(INDEX($Q$2:$U$1001,MATCH(ROWS($J$2:J123),$J$2:$J$1001,0),MATCH(COLUMNS($Q$1006:U1006),$Q$1006:$U$1006,0)), HYPERLINK("#",""), HYPERLINK(CONCATENATE("#Metadata!", ADDRESS(INDEX($L$2:$L$1001,MATCH(ROWS($J$2:J123),$J$2:$J$1001,0),0), INDEX($Q$1004:$U$1004,1,MATCH(COLUMNS($Q$1006:U1006),$Q$1006:$U$1006,0)))),"Fix")))</f>
        <v xml:space="preserve"> </v>
      </c>
      <c r="J123">
        <f ca="1"/>
        <v>122</v>
      </c>
      <c r="K123">
        <v>100123</v>
      </c>
      <c r="L123">
        <v>123</v>
      </c>
      <c r="M123" t="b">
        <f t="shared" si="1"/>
        <v>1</v>
      </c>
      <c r="N123" t="b">
        <f>COUNTBLANK(Metadata!B123:F123)=COLUMNS(Metadata!B123:F123)</f>
        <v>1</v>
      </c>
      <c r="O123" t="str">
        <v/>
      </c>
      <c r="Q123" t="b">
        <f ca="1"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R123" t="b">
        <f>IF(Metadata!C123="",FALSE,TRUE)</f>
        <v>0</v>
      </c>
      <c r="S123" t="b">
        <f>OR(AND(IF(Metadata!D123="",FALSE,TRUE),EXACT(Metadata!D123,"missing: not collected")),AND(IF(Metadata!D123="",FALSE,TRUE),OR(EXACT(Metadata!D123,"t"),EXACT(Metadata!D123,"f"))))</f>
        <v>0</v>
      </c>
      <c r="T123" t="b">
        <f>AND(IF(Metadata!E123="",FALSE,TRUE),OR(EXACT(Metadata!E123,"a"),EXACT(Metadata!E123,"b")))</f>
        <v>0</v>
      </c>
      <c r="U123" t="b">
        <f>OR(AND(IF(Metadata!F123="",FALSE,TRUE),OR(EXACT(Metadata!F123,"missing: not collected"),EXACT(Metadata!F123,"missing: not provided"))),AND(IF(Metadata!F123="",FALSE,TRUE),OR(EXACT(Metadata!F123,"lo"),EXACT(Metadata!F123,"med"),EXACT(Metadata!F123,"hi"))))</f>
        <v>0</v>
      </c>
    </row>
    <row r="124" spans="1:21" x14ac:dyDescent="0.2">
      <c r="A124" s="4" t="str">
        <f ca="1">IF(B124=" "," ",HYPERLINK(CONCATENATE("#metadata!",ADDRESS(INDEX($L$2:$L$1001,MATCH(ROWS($J$2:J124),$J$2:$J$1001,0),0),1)),INDEX($O$2:$O$1001,MATCH(ROWS($J$2:J124),$J$2:$J$1001,0),0)))</f>
        <v xml:space="preserve"> </v>
      </c>
      <c r="B124" s="3" t="str">
        <f ca="1">IF(OR(INDEX($K$2:$K$1001,MATCH(ROWS($J$2:J124),$J$2:$J$1001,0),1)&gt;=100000,INDEX($Q$1005:$U$1005,1,MATCH(COLUMNS($Q$1006:Q1006),$Q$1006:$U$1006,0))&gt;=100000), " ",IF(INDEX($Q$2:$U$1001,MATCH(ROWS($J$2:J124),$J$2:$J$1001,0),MATCH(COLUMNS($Q$1006:Q1006),$Q$1006:$U$1006,0)), HYPERLINK("#",""), HYPERLINK(CONCATENATE("#Metadata!", ADDRESS(INDEX($L$2:$L$1001,MATCH(ROWS($J$2:J124),$J$2:$J$1001,0),0), INDEX($Q$1004:$U$1004,1,MATCH(COLUMNS($Q$1006:Q1006),$Q$1006:$U$1006,0)))),"Fix")))</f>
        <v xml:space="preserve"> </v>
      </c>
      <c r="C124" s="3" t="str">
        <f ca="1">IF(OR(INDEX($K$2:$K$1001,MATCH(ROWS($J$2:J124),$J$2:$J$1001,0),1)&gt;=100000,INDEX($Q$1005:$U$1005,1,MATCH(COLUMNS($Q$1006:R1006),$Q$1006:$U$1006,0))&gt;=100000), " ",IF(INDEX($Q$2:$U$1001,MATCH(ROWS($J$2:J124),$J$2:$J$1001,0),MATCH(COLUMNS($Q$1006:R1006),$Q$1006:$U$1006,0)), HYPERLINK("#",""), HYPERLINK(CONCATENATE("#Metadata!", ADDRESS(INDEX($L$2:$L$1001,MATCH(ROWS($J$2:J124),$J$2:$J$1001,0),0), INDEX($Q$1004:$U$1004,1,MATCH(COLUMNS($Q$1006:R1006),$Q$1006:$U$1006,0)))),"Fix")))</f>
        <v xml:space="preserve"> </v>
      </c>
      <c r="D124" s="3" t="str">
        <f ca="1">IF(OR(INDEX($K$2:$K$1001,MATCH(ROWS($J$2:J124),$J$2:$J$1001,0),1)&gt;=100000,INDEX($Q$1005:$U$1005,1,MATCH(COLUMNS($Q$1006:S1006),$Q$1006:$U$1006,0))&gt;=100000), " ",IF(INDEX($Q$2:$U$1001,MATCH(ROWS($J$2:J124),$J$2:$J$1001,0),MATCH(COLUMNS($Q$1006:S1006),$Q$1006:$U$1006,0)), HYPERLINK("#",""), HYPERLINK(CONCATENATE("#Metadata!", ADDRESS(INDEX($L$2:$L$1001,MATCH(ROWS($J$2:J124),$J$2:$J$1001,0),0), INDEX($Q$1004:$U$1004,1,MATCH(COLUMNS($Q$1006:S1006),$Q$1006:$U$1006,0)))),"Fix")))</f>
        <v xml:space="preserve"> </v>
      </c>
      <c r="E124" s="3" t="str">
        <f ca="1">IF(OR(INDEX($K$2:$K$1001,MATCH(ROWS($J$2:J124),$J$2:$J$1001,0),1)&gt;=100000,INDEX($Q$1005:$U$1005,1,MATCH(COLUMNS($Q$1006:T1006),$Q$1006:$U$1006,0))&gt;=100000), " ",IF(INDEX($Q$2:$U$1001,MATCH(ROWS($J$2:J124),$J$2:$J$1001,0),MATCH(COLUMNS($Q$1006:T1006),$Q$1006:$U$1006,0)), HYPERLINK("#",""), HYPERLINK(CONCATENATE("#Metadata!", ADDRESS(INDEX($L$2:$L$1001,MATCH(ROWS($J$2:J124),$J$2:$J$1001,0),0), INDEX($Q$1004:$U$1004,1,MATCH(COLUMNS($Q$1006:T1006),$Q$1006:$U$1006,0)))),"Fix")))</f>
        <v xml:space="preserve"> </v>
      </c>
      <c r="F124" s="3" t="str">
        <f ca="1">IF(OR(INDEX($K$2:$K$1001,MATCH(ROWS($J$2:J124),$J$2:$J$1001,0),1)&gt;=100000,INDEX($Q$1005:$U$1005,1,MATCH(COLUMNS($Q$1006:U1006),$Q$1006:$U$1006,0))&gt;=100000), " ",IF(INDEX($Q$2:$U$1001,MATCH(ROWS($J$2:J124),$J$2:$J$1001,0),MATCH(COLUMNS($Q$1006:U1006),$Q$1006:$U$1006,0)), HYPERLINK("#",""), HYPERLINK(CONCATENATE("#Metadata!", ADDRESS(INDEX($L$2:$L$1001,MATCH(ROWS($J$2:J124),$J$2:$J$1001,0),0), INDEX($Q$1004:$U$1004,1,MATCH(COLUMNS($Q$1006:U1006),$Q$1006:$U$1006,0)))),"Fix")))</f>
        <v xml:space="preserve"> </v>
      </c>
      <c r="J124">
        <f ca="1"/>
        <v>123</v>
      </c>
      <c r="K124">
        <v>100124</v>
      </c>
      <c r="L124">
        <v>124</v>
      </c>
      <c r="M124" t="b">
        <f t="shared" si="1"/>
        <v>1</v>
      </c>
      <c r="N124" t="b">
        <f>COUNTBLANK(Metadata!B124:F124)=COLUMNS(Metadata!B124:F124)</f>
        <v>1</v>
      </c>
      <c r="O124" t="str">
        <v/>
      </c>
      <c r="Q124" t="b">
        <f ca="1"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R124" t="b">
        <f>IF(Metadata!C124="",FALSE,TRUE)</f>
        <v>0</v>
      </c>
      <c r="S124" t="b">
        <f>OR(AND(IF(Metadata!D124="",FALSE,TRUE),EXACT(Metadata!D124,"missing: not collected")),AND(IF(Metadata!D124="",FALSE,TRUE),OR(EXACT(Metadata!D124,"t"),EXACT(Metadata!D124,"f"))))</f>
        <v>0</v>
      </c>
      <c r="T124" t="b">
        <f>AND(IF(Metadata!E124="",FALSE,TRUE),OR(EXACT(Metadata!E124,"a"),EXACT(Metadata!E124,"b")))</f>
        <v>0</v>
      </c>
      <c r="U124" t="b">
        <f>OR(AND(IF(Metadata!F124="",FALSE,TRUE),OR(EXACT(Metadata!F124,"missing: not collected"),EXACT(Metadata!F124,"missing: not provided"))),AND(IF(Metadata!F124="",FALSE,TRUE),OR(EXACT(Metadata!F124,"lo"),EXACT(Metadata!F124,"med"),EXACT(Metadata!F124,"hi"))))</f>
        <v>0</v>
      </c>
    </row>
    <row r="125" spans="1:21" x14ac:dyDescent="0.2">
      <c r="A125" s="4" t="str">
        <f ca="1">IF(B125=" "," ",HYPERLINK(CONCATENATE("#metadata!",ADDRESS(INDEX($L$2:$L$1001,MATCH(ROWS($J$2:J125),$J$2:$J$1001,0),0),1)),INDEX($O$2:$O$1001,MATCH(ROWS($J$2:J125),$J$2:$J$1001,0),0)))</f>
        <v xml:space="preserve"> </v>
      </c>
      <c r="B125" s="3" t="str">
        <f ca="1">IF(OR(INDEX($K$2:$K$1001,MATCH(ROWS($J$2:J125),$J$2:$J$1001,0),1)&gt;=100000,INDEX($Q$1005:$U$1005,1,MATCH(COLUMNS($Q$1006:Q1006),$Q$1006:$U$1006,0))&gt;=100000), " ",IF(INDEX($Q$2:$U$1001,MATCH(ROWS($J$2:J125),$J$2:$J$1001,0),MATCH(COLUMNS($Q$1006:Q1006),$Q$1006:$U$1006,0)), HYPERLINK("#",""), HYPERLINK(CONCATENATE("#Metadata!", ADDRESS(INDEX($L$2:$L$1001,MATCH(ROWS($J$2:J125),$J$2:$J$1001,0),0), INDEX($Q$1004:$U$1004,1,MATCH(COLUMNS($Q$1006:Q1006),$Q$1006:$U$1006,0)))),"Fix")))</f>
        <v xml:space="preserve"> </v>
      </c>
      <c r="C125" s="3" t="str">
        <f ca="1">IF(OR(INDEX($K$2:$K$1001,MATCH(ROWS($J$2:J125),$J$2:$J$1001,0),1)&gt;=100000,INDEX($Q$1005:$U$1005,1,MATCH(COLUMNS($Q$1006:R1006),$Q$1006:$U$1006,0))&gt;=100000), " ",IF(INDEX($Q$2:$U$1001,MATCH(ROWS($J$2:J125),$J$2:$J$1001,0),MATCH(COLUMNS($Q$1006:R1006),$Q$1006:$U$1006,0)), HYPERLINK("#",""), HYPERLINK(CONCATENATE("#Metadata!", ADDRESS(INDEX($L$2:$L$1001,MATCH(ROWS($J$2:J125),$J$2:$J$1001,0),0), INDEX($Q$1004:$U$1004,1,MATCH(COLUMNS($Q$1006:R1006),$Q$1006:$U$1006,0)))),"Fix")))</f>
        <v xml:space="preserve"> </v>
      </c>
      <c r="D125" s="3" t="str">
        <f ca="1">IF(OR(INDEX($K$2:$K$1001,MATCH(ROWS($J$2:J125),$J$2:$J$1001,0),1)&gt;=100000,INDEX($Q$1005:$U$1005,1,MATCH(COLUMNS($Q$1006:S1006),$Q$1006:$U$1006,0))&gt;=100000), " ",IF(INDEX($Q$2:$U$1001,MATCH(ROWS($J$2:J125),$J$2:$J$1001,0),MATCH(COLUMNS($Q$1006:S1006),$Q$1006:$U$1006,0)), HYPERLINK("#",""), HYPERLINK(CONCATENATE("#Metadata!", ADDRESS(INDEX($L$2:$L$1001,MATCH(ROWS($J$2:J125),$J$2:$J$1001,0),0), INDEX($Q$1004:$U$1004,1,MATCH(COLUMNS($Q$1006:S1006),$Q$1006:$U$1006,0)))),"Fix")))</f>
        <v xml:space="preserve"> </v>
      </c>
      <c r="E125" s="3" t="str">
        <f ca="1">IF(OR(INDEX($K$2:$K$1001,MATCH(ROWS($J$2:J125),$J$2:$J$1001,0),1)&gt;=100000,INDEX($Q$1005:$U$1005,1,MATCH(COLUMNS($Q$1006:T1006),$Q$1006:$U$1006,0))&gt;=100000), " ",IF(INDEX($Q$2:$U$1001,MATCH(ROWS($J$2:J125),$J$2:$J$1001,0),MATCH(COLUMNS($Q$1006:T1006),$Q$1006:$U$1006,0)), HYPERLINK("#",""), HYPERLINK(CONCATENATE("#Metadata!", ADDRESS(INDEX($L$2:$L$1001,MATCH(ROWS($J$2:J125),$J$2:$J$1001,0),0), INDEX($Q$1004:$U$1004,1,MATCH(COLUMNS($Q$1006:T1006),$Q$1006:$U$1006,0)))),"Fix")))</f>
        <v xml:space="preserve"> </v>
      </c>
      <c r="F125" s="3" t="str">
        <f ca="1">IF(OR(INDEX($K$2:$K$1001,MATCH(ROWS($J$2:J125),$J$2:$J$1001,0),1)&gt;=100000,INDEX($Q$1005:$U$1005,1,MATCH(COLUMNS($Q$1006:U1006),$Q$1006:$U$1006,0))&gt;=100000), " ",IF(INDEX($Q$2:$U$1001,MATCH(ROWS($J$2:J125),$J$2:$J$1001,0),MATCH(COLUMNS($Q$1006:U1006),$Q$1006:$U$1006,0)), HYPERLINK("#",""), HYPERLINK(CONCATENATE("#Metadata!", ADDRESS(INDEX($L$2:$L$1001,MATCH(ROWS($J$2:J125),$J$2:$J$1001,0),0), INDEX($Q$1004:$U$1004,1,MATCH(COLUMNS($Q$1006:U1006),$Q$1006:$U$1006,0)))),"Fix")))</f>
        <v xml:space="preserve"> </v>
      </c>
      <c r="J125">
        <f ca="1"/>
        <v>124</v>
      </c>
      <c r="K125">
        <v>100125</v>
      </c>
      <c r="L125">
        <v>125</v>
      </c>
      <c r="M125" t="b">
        <f t="shared" si="1"/>
        <v>1</v>
      </c>
      <c r="N125" t="b">
        <f>COUNTBLANK(Metadata!B125:F125)=COLUMNS(Metadata!B125:F125)</f>
        <v>1</v>
      </c>
      <c r="O125" t="str">
        <v/>
      </c>
      <c r="Q125" t="b">
        <f ca="1"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R125" t="b">
        <f>IF(Metadata!C125="",FALSE,TRUE)</f>
        <v>0</v>
      </c>
      <c r="S125" t="b">
        <f>OR(AND(IF(Metadata!D125="",FALSE,TRUE),EXACT(Metadata!D125,"missing: not collected")),AND(IF(Metadata!D125="",FALSE,TRUE),OR(EXACT(Metadata!D125,"t"),EXACT(Metadata!D125,"f"))))</f>
        <v>0</v>
      </c>
      <c r="T125" t="b">
        <f>AND(IF(Metadata!E125="",FALSE,TRUE),OR(EXACT(Metadata!E125,"a"),EXACT(Metadata!E125,"b")))</f>
        <v>0</v>
      </c>
      <c r="U125" t="b">
        <f>OR(AND(IF(Metadata!F125="",FALSE,TRUE),OR(EXACT(Metadata!F125,"missing: not collected"),EXACT(Metadata!F125,"missing: not provided"))),AND(IF(Metadata!F125="",FALSE,TRUE),OR(EXACT(Metadata!F125,"lo"),EXACT(Metadata!F125,"med"),EXACT(Metadata!F125,"hi"))))</f>
        <v>0</v>
      </c>
    </row>
    <row r="126" spans="1:21" x14ac:dyDescent="0.2">
      <c r="A126" s="4" t="str">
        <f ca="1">IF(B126=" "," ",HYPERLINK(CONCATENATE("#metadata!",ADDRESS(INDEX($L$2:$L$1001,MATCH(ROWS($J$2:J126),$J$2:$J$1001,0),0),1)),INDEX($O$2:$O$1001,MATCH(ROWS($J$2:J126),$J$2:$J$1001,0),0)))</f>
        <v xml:space="preserve"> </v>
      </c>
      <c r="B126" s="3" t="str">
        <f ca="1">IF(OR(INDEX($K$2:$K$1001,MATCH(ROWS($J$2:J126),$J$2:$J$1001,0),1)&gt;=100000,INDEX($Q$1005:$U$1005,1,MATCH(COLUMNS($Q$1006:Q1006),$Q$1006:$U$1006,0))&gt;=100000), " ",IF(INDEX($Q$2:$U$1001,MATCH(ROWS($J$2:J126),$J$2:$J$1001,0),MATCH(COLUMNS($Q$1006:Q1006),$Q$1006:$U$1006,0)), HYPERLINK("#",""), HYPERLINK(CONCATENATE("#Metadata!", ADDRESS(INDEX($L$2:$L$1001,MATCH(ROWS($J$2:J126),$J$2:$J$1001,0),0), INDEX($Q$1004:$U$1004,1,MATCH(COLUMNS($Q$1006:Q1006),$Q$1006:$U$1006,0)))),"Fix")))</f>
        <v xml:space="preserve"> </v>
      </c>
      <c r="C126" s="3" t="str">
        <f ca="1">IF(OR(INDEX($K$2:$K$1001,MATCH(ROWS($J$2:J126),$J$2:$J$1001,0),1)&gt;=100000,INDEX($Q$1005:$U$1005,1,MATCH(COLUMNS($Q$1006:R1006),$Q$1006:$U$1006,0))&gt;=100000), " ",IF(INDEX($Q$2:$U$1001,MATCH(ROWS($J$2:J126),$J$2:$J$1001,0),MATCH(COLUMNS($Q$1006:R1006),$Q$1006:$U$1006,0)), HYPERLINK("#",""), HYPERLINK(CONCATENATE("#Metadata!", ADDRESS(INDEX($L$2:$L$1001,MATCH(ROWS($J$2:J126),$J$2:$J$1001,0),0), INDEX($Q$1004:$U$1004,1,MATCH(COLUMNS($Q$1006:R1006),$Q$1006:$U$1006,0)))),"Fix")))</f>
        <v xml:space="preserve"> </v>
      </c>
      <c r="D126" s="3" t="str">
        <f ca="1">IF(OR(INDEX($K$2:$K$1001,MATCH(ROWS($J$2:J126),$J$2:$J$1001,0),1)&gt;=100000,INDEX($Q$1005:$U$1005,1,MATCH(COLUMNS($Q$1006:S1006),$Q$1006:$U$1006,0))&gt;=100000), " ",IF(INDEX($Q$2:$U$1001,MATCH(ROWS($J$2:J126),$J$2:$J$1001,0),MATCH(COLUMNS($Q$1006:S1006),$Q$1006:$U$1006,0)), HYPERLINK("#",""), HYPERLINK(CONCATENATE("#Metadata!", ADDRESS(INDEX($L$2:$L$1001,MATCH(ROWS($J$2:J126),$J$2:$J$1001,0),0), INDEX($Q$1004:$U$1004,1,MATCH(COLUMNS($Q$1006:S1006),$Q$1006:$U$1006,0)))),"Fix")))</f>
        <v xml:space="preserve"> </v>
      </c>
      <c r="E126" s="3" t="str">
        <f ca="1">IF(OR(INDEX($K$2:$K$1001,MATCH(ROWS($J$2:J126),$J$2:$J$1001,0),1)&gt;=100000,INDEX($Q$1005:$U$1005,1,MATCH(COLUMNS($Q$1006:T1006),$Q$1006:$U$1006,0))&gt;=100000), " ",IF(INDEX($Q$2:$U$1001,MATCH(ROWS($J$2:J126),$J$2:$J$1001,0),MATCH(COLUMNS($Q$1006:T1006),$Q$1006:$U$1006,0)), HYPERLINK("#",""), HYPERLINK(CONCATENATE("#Metadata!", ADDRESS(INDEX($L$2:$L$1001,MATCH(ROWS($J$2:J126),$J$2:$J$1001,0),0), INDEX($Q$1004:$U$1004,1,MATCH(COLUMNS($Q$1006:T1006),$Q$1006:$U$1006,0)))),"Fix")))</f>
        <v xml:space="preserve"> </v>
      </c>
      <c r="F126" s="3" t="str">
        <f ca="1">IF(OR(INDEX($K$2:$K$1001,MATCH(ROWS($J$2:J126),$J$2:$J$1001,0),1)&gt;=100000,INDEX($Q$1005:$U$1005,1,MATCH(COLUMNS($Q$1006:U1006),$Q$1006:$U$1006,0))&gt;=100000), " ",IF(INDEX($Q$2:$U$1001,MATCH(ROWS($J$2:J126),$J$2:$J$1001,0),MATCH(COLUMNS($Q$1006:U1006),$Q$1006:$U$1006,0)), HYPERLINK("#",""), HYPERLINK(CONCATENATE("#Metadata!", ADDRESS(INDEX($L$2:$L$1001,MATCH(ROWS($J$2:J126),$J$2:$J$1001,0),0), INDEX($Q$1004:$U$1004,1,MATCH(COLUMNS($Q$1006:U1006),$Q$1006:$U$1006,0)))),"Fix")))</f>
        <v xml:space="preserve"> </v>
      </c>
      <c r="J126">
        <f ca="1"/>
        <v>125</v>
      </c>
      <c r="K126">
        <v>100126</v>
      </c>
      <c r="L126">
        <v>126</v>
      </c>
      <c r="M126" t="b">
        <f t="shared" si="1"/>
        <v>1</v>
      </c>
      <c r="N126" t="b">
        <f>COUNTBLANK(Metadata!B126:F126)=COLUMNS(Metadata!B126:F126)</f>
        <v>1</v>
      </c>
      <c r="O126" t="str">
        <v/>
      </c>
      <c r="Q126" t="b">
        <f ca="1"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R126" t="b">
        <f>IF(Metadata!C126="",FALSE,TRUE)</f>
        <v>0</v>
      </c>
      <c r="S126" t="b">
        <f>OR(AND(IF(Metadata!D126="",FALSE,TRUE),EXACT(Metadata!D126,"missing: not collected")),AND(IF(Metadata!D126="",FALSE,TRUE),OR(EXACT(Metadata!D126,"t"),EXACT(Metadata!D126,"f"))))</f>
        <v>0</v>
      </c>
      <c r="T126" t="b">
        <f>AND(IF(Metadata!E126="",FALSE,TRUE),OR(EXACT(Metadata!E126,"a"),EXACT(Metadata!E126,"b")))</f>
        <v>0</v>
      </c>
      <c r="U126" t="b">
        <f>OR(AND(IF(Metadata!F126="",FALSE,TRUE),OR(EXACT(Metadata!F126,"missing: not collected"),EXACT(Metadata!F126,"missing: not provided"))),AND(IF(Metadata!F126="",FALSE,TRUE),OR(EXACT(Metadata!F126,"lo"),EXACT(Metadata!F126,"med"),EXACT(Metadata!F126,"hi"))))</f>
        <v>0</v>
      </c>
    </row>
    <row r="127" spans="1:21" x14ac:dyDescent="0.2">
      <c r="A127" s="4" t="str">
        <f ca="1">IF(B127=" "," ",HYPERLINK(CONCATENATE("#metadata!",ADDRESS(INDEX($L$2:$L$1001,MATCH(ROWS($J$2:J127),$J$2:$J$1001,0),0),1)),INDEX($O$2:$O$1001,MATCH(ROWS($J$2:J127),$J$2:$J$1001,0),0)))</f>
        <v xml:space="preserve"> </v>
      </c>
      <c r="B127" s="3" t="str">
        <f ca="1">IF(OR(INDEX($K$2:$K$1001,MATCH(ROWS($J$2:J127),$J$2:$J$1001,0),1)&gt;=100000,INDEX($Q$1005:$U$1005,1,MATCH(COLUMNS($Q$1006:Q1006),$Q$1006:$U$1006,0))&gt;=100000), " ",IF(INDEX($Q$2:$U$1001,MATCH(ROWS($J$2:J127),$J$2:$J$1001,0),MATCH(COLUMNS($Q$1006:Q1006),$Q$1006:$U$1006,0)), HYPERLINK("#",""), HYPERLINK(CONCATENATE("#Metadata!", ADDRESS(INDEX($L$2:$L$1001,MATCH(ROWS($J$2:J127),$J$2:$J$1001,0),0), INDEX($Q$1004:$U$1004,1,MATCH(COLUMNS($Q$1006:Q1006),$Q$1006:$U$1006,0)))),"Fix")))</f>
        <v xml:space="preserve"> </v>
      </c>
      <c r="C127" s="3" t="str">
        <f ca="1">IF(OR(INDEX($K$2:$K$1001,MATCH(ROWS($J$2:J127),$J$2:$J$1001,0),1)&gt;=100000,INDEX($Q$1005:$U$1005,1,MATCH(COLUMNS($Q$1006:R1006),$Q$1006:$U$1006,0))&gt;=100000), " ",IF(INDEX($Q$2:$U$1001,MATCH(ROWS($J$2:J127),$J$2:$J$1001,0),MATCH(COLUMNS($Q$1006:R1006),$Q$1006:$U$1006,0)), HYPERLINK("#",""), HYPERLINK(CONCATENATE("#Metadata!", ADDRESS(INDEX($L$2:$L$1001,MATCH(ROWS($J$2:J127),$J$2:$J$1001,0),0), INDEX($Q$1004:$U$1004,1,MATCH(COLUMNS($Q$1006:R1006),$Q$1006:$U$1006,0)))),"Fix")))</f>
        <v xml:space="preserve"> </v>
      </c>
      <c r="D127" s="3" t="str">
        <f ca="1">IF(OR(INDEX($K$2:$K$1001,MATCH(ROWS($J$2:J127),$J$2:$J$1001,0),1)&gt;=100000,INDEX($Q$1005:$U$1005,1,MATCH(COLUMNS($Q$1006:S1006),$Q$1006:$U$1006,0))&gt;=100000), " ",IF(INDEX($Q$2:$U$1001,MATCH(ROWS($J$2:J127),$J$2:$J$1001,0),MATCH(COLUMNS($Q$1006:S1006),$Q$1006:$U$1006,0)), HYPERLINK("#",""), HYPERLINK(CONCATENATE("#Metadata!", ADDRESS(INDEX($L$2:$L$1001,MATCH(ROWS($J$2:J127),$J$2:$J$1001,0),0), INDEX($Q$1004:$U$1004,1,MATCH(COLUMNS($Q$1006:S1006),$Q$1006:$U$1006,0)))),"Fix")))</f>
        <v xml:space="preserve"> </v>
      </c>
      <c r="E127" s="3" t="str">
        <f ca="1">IF(OR(INDEX($K$2:$K$1001,MATCH(ROWS($J$2:J127),$J$2:$J$1001,0),1)&gt;=100000,INDEX($Q$1005:$U$1005,1,MATCH(COLUMNS($Q$1006:T1006),$Q$1006:$U$1006,0))&gt;=100000), " ",IF(INDEX($Q$2:$U$1001,MATCH(ROWS($J$2:J127),$J$2:$J$1001,0),MATCH(COLUMNS($Q$1006:T1006),$Q$1006:$U$1006,0)), HYPERLINK("#",""), HYPERLINK(CONCATENATE("#Metadata!", ADDRESS(INDEX($L$2:$L$1001,MATCH(ROWS($J$2:J127),$J$2:$J$1001,0),0), INDEX($Q$1004:$U$1004,1,MATCH(COLUMNS($Q$1006:T1006),$Q$1006:$U$1006,0)))),"Fix")))</f>
        <v xml:space="preserve"> </v>
      </c>
      <c r="F127" s="3" t="str">
        <f ca="1">IF(OR(INDEX($K$2:$K$1001,MATCH(ROWS($J$2:J127),$J$2:$J$1001,0),1)&gt;=100000,INDEX($Q$1005:$U$1005,1,MATCH(COLUMNS($Q$1006:U1006),$Q$1006:$U$1006,0))&gt;=100000), " ",IF(INDEX($Q$2:$U$1001,MATCH(ROWS($J$2:J127),$J$2:$J$1001,0),MATCH(COLUMNS($Q$1006:U1006),$Q$1006:$U$1006,0)), HYPERLINK("#",""), HYPERLINK(CONCATENATE("#Metadata!", ADDRESS(INDEX($L$2:$L$1001,MATCH(ROWS($J$2:J127),$J$2:$J$1001,0),0), INDEX($Q$1004:$U$1004,1,MATCH(COLUMNS($Q$1006:U1006),$Q$1006:$U$1006,0)))),"Fix")))</f>
        <v xml:space="preserve"> </v>
      </c>
      <c r="J127">
        <f ca="1"/>
        <v>126</v>
      </c>
      <c r="K127">
        <v>100127</v>
      </c>
      <c r="L127">
        <v>127</v>
      </c>
      <c r="M127" t="b">
        <f t="shared" si="1"/>
        <v>1</v>
      </c>
      <c r="N127" t="b">
        <f>COUNTBLANK(Metadata!B127:F127)=COLUMNS(Metadata!B127:F127)</f>
        <v>1</v>
      </c>
      <c r="O127" t="str">
        <v/>
      </c>
      <c r="Q127" t="b">
        <f ca="1"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R127" t="b">
        <f>IF(Metadata!C127="",FALSE,TRUE)</f>
        <v>0</v>
      </c>
      <c r="S127" t="b">
        <f>OR(AND(IF(Metadata!D127="",FALSE,TRUE),EXACT(Metadata!D127,"missing: not collected")),AND(IF(Metadata!D127="",FALSE,TRUE),OR(EXACT(Metadata!D127,"t"),EXACT(Metadata!D127,"f"))))</f>
        <v>0</v>
      </c>
      <c r="T127" t="b">
        <f>AND(IF(Metadata!E127="",FALSE,TRUE),OR(EXACT(Metadata!E127,"a"),EXACT(Metadata!E127,"b")))</f>
        <v>0</v>
      </c>
      <c r="U127" t="b">
        <f>OR(AND(IF(Metadata!F127="",FALSE,TRUE),OR(EXACT(Metadata!F127,"missing: not collected"),EXACT(Metadata!F127,"missing: not provided"))),AND(IF(Metadata!F127="",FALSE,TRUE),OR(EXACT(Metadata!F127,"lo"),EXACT(Metadata!F127,"med"),EXACT(Metadata!F127,"hi"))))</f>
        <v>0</v>
      </c>
    </row>
    <row r="128" spans="1:21" x14ac:dyDescent="0.2">
      <c r="A128" s="4" t="str">
        <f ca="1">IF(B128=" "," ",HYPERLINK(CONCATENATE("#metadata!",ADDRESS(INDEX($L$2:$L$1001,MATCH(ROWS($J$2:J128),$J$2:$J$1001,0),0),1)),INDEX($O$2:$O$1001,MATCH(ROWS($J$2:J128),$J$2:$J$1001,0),0)))</f>
        <v xml:space="preserve"> </v>
      </c>
      <c r="B128" s="3" t="str">
        <f ca="1">IF(OR(INDEX($K$2:$K$1001,MATCH(ROWS($J$2:J128),$J$2:$J$1001,0),1)&gt;=100000,INDEX($Q$1005:$U$1005,1,MATCH(COLUMNS($Q$1006:Q1006),$Q$1006:$U$1006,0))&gt;=100000), " ",IF(INDEX($Q$2:$U$1001,MATCH(ROWS($J$2:J128),$J$2:$J$1001,0),MATCH(COLUMNS($Q$1006:Q1006),$Q$1006:$U$1006,0)), HYPERLINK("#",""), HYPERLINK(CONCATENATE("#Metadata!", ADDRESS(INDEX($L$2:$L$1001,MATCH(ROWS($J$2:J128),$J$2:$J$1001,0),0), INDEX($Q$1004:$U$1004,1,MATCH(COLUMNS($Q$1006:Q1006),$Q$1006:$U$1006,0)))),"Fix")))</f>
        <v xml:space="preserve"> </v>
      </c>
      <c r="C128" s="3" t="str">
        <f ca="1">IF(OR(INDEX($K$2:$K$1001,MATCH(ROWS($J$2:J128),$J$2:$J$1001,0),1)&gt;=100000,INDEX($Q$1005:$U$1005,1,MATCH(COLUMNS($Q$1006:R1006),$Q$1006:$U$1006,0))&gt;=100000), " ",IF(INDEX($Q$2:$U$1001,MATCH(ROWS($J$2:J128),$J$2:$J$1001,0),MATCH(COLUMNS($Q$1006:R1006),$Q$1006:$U$1006,0)), HYPERLINK("#",""), HYPERLINK(CONCATENATE("#Metadata!", ADDRESS(INDEX($L$2:$L$1001,MATCH(ROWS($J$2:J128),$J$2:$J$1001,0),0), INDEX($Q$1004:$U$1004,1,MATCH(COLUMNS($Q$1006:R1006),$Q$1006:$U$1006,0)))),"Fix")))</f>
        <v xml:space="preserve"> </v>
      </c>
      <c r="D128" s="3" t="str">
        <f ca="1">IF(OR(INDEX($K$2:$K$1001,MATCH(ROWS($J$2:J128),$J$2:$J$1001,0),1)&gt;=100000,INDEX($Q$1005:$U$1005,1,MATCH(COLUMNS($Q$1006:S1006),$Q$1006:$U$1006,0))&gt;=100000), " ",IF(INDEX($Q$2:$U$1001,MATCH(ROWS($J$2:J128),$J$2:$J$1001,0),MATCH(COLUMNS($Q$1006:S1006),$Q$1006:$U$1006,0)), HYPERLINK("#",""), HYPERLINK(CONCATENATE("#Metadata!", ADDRESS(INDEX($L$2:$L$1001,MATCH(ROWS($J$2:J128),$J$2:$J$1001,0),0), INDEX($Q$1004:$U$1004,1,MATCH(COLUMNS($Q$1006:S1006),$Q$1006:$U$1006,0)))),"Fix")))</f>
        <v xml:space="preserve"> </v>
      </c>
      <c r="E128" s="3" t="str">
        <f ca="1">IF(OR(INDEX($K$2:$K$1001,MATCH(ROWS($J$2:J128),$J$2:$J$1001,0),1)&gt;=100000,INDEX($Q$1005:$U$1005,1,MATCH(COLUMNS($Q$1006:T1006),$Q$1006:$U$1006,0))&gt;=100000), " ",IF(INDEX($Q$2:$U$1001,MATCH(ROWS($J$2:J128),$J$2:$J$1001,0),MATCH(COLUMNS($Q$1006:T1006),$Q$1006:$U$1006,0)), HYPERLINK("#",""), HYPERLINK(CONCATENATE("#Metadata!", ADDRESS(INDEX($L$2:$L$1001,MATCH(ROWS($J$2:J128),$J$2:$J$1001,0),0), INDEX($Q$1004:$U$1004,1,MATCH(COLUMNS($Q$1006:T1006),$Q$1006:$U$1006,0)))),"Fix")))</f>
        <v xml:space="preserve"> </v>
      </c>
      <c r="F128" s="3" t="str">
        <f ca="1">IF(OR(INDEX($K$2:$K$1001,MATCH(ROWS($J$2:J128),$J$2:$J$1001,0),1)&gt;=100000,INDEX($Q$1005:$U$1005,1,MATCH(COLUMNS($Q$1006:U1006),$Q$1006:$U$1006,0))&gt;=100000), " ",IF(INDEX($Q$2:$U$1001,MATCH(ROWS($J$2:J128),$J$2:$J$1001,0),MATCH(COLUMNS($Q$1006:U1006),$Q$1006:$U$1006,0)), HYPERLINK("#",""), HYPERLINK(CONCATENATE("#Metadata!", ADDRESS(INDEX($L$2:$L$1001,MATCH(ROWS($J$2:J128),$J$2:$J$1001,0),0), INDEX($Q$1004:$U$1004,1,MATCH(COLUMNS($Q$1006:U1006),$Q$1006:$U$1006,0)))),"Fix")))</f>
        <v xml:space="preserve"> </v>
      </c>
      <c r="J128">
        <f ca="1"/>
        <v>127</v>
      </c>
      <c r="K128">
        <v>100128</v>
      </c>
      <c r="L128">
        <v>128</v>
      </c>
      <c r="M128" t="b">
        <f t="shared" si="1"/>
        <v>1</v>
      </c>
      <c r="N128" t="b">
        <f>COUNTBLANK(Metadata!B128:F128)=COLUMNS(Metadata!B128:F128)</f>
        <v>1</v>
      </c>
      <c r="O128" t="str">
        <v/>
      </c>
      <c r="Q128" t="b">
        <f ca="1"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R128" t="b">
        <f>IF(Metadata!C128="",FALSE,TRUE)</f>
        <v>0</v>
      </c>
      <c r="S128" t="b">
        <f>OR(AND(IF(Metadata!D128="",FALSE,TRUE),EXACT(Metadata!D128,"missing: not collected")),AND(IF(Metadata!D128="",FALSE,TRUE),OR(EXACT(Metadata!D128,"t"),EXACT(Metadata!D128,"f"))))</f>
        <v>0</v>
      </c>
      <c r="T128" t="b">
        <f>AND(IF(Metadata!E128="",FALSE,TRUE),OR(EXACT(Metadata!E128,"a"),EXACT(Metadata!E128,"b")))</f>
        <v>0</v>
      </c>
      <c r="U128" t="b">
        <f>OR(AND(IF(Metadata!F128="",FALSE,TRUE),OR(EXACT(Metadata!F128,"missing: not collected"),EXACT(Metadata!F128,"missing: not provided"))),AND(IF(Metadata!F128="",FALSE,TRUE),OR(EXACT(Metadata!F128,"lo"),EXACT(Metadata!F128,"med"),EXACT(Metadata!F128,"hi"))))</f>
        <v>0</v>
      </c>
    </row>
    <row r="129" spans="1:21" x14ac:dyDescent="0.2">
      <c r="A129" s="4" t="str">
        <f ca="1">IF(B129=" "," ",HYPERLINK(CONCATENATE("#metadata!",ADDRESS(INDEX($L$2:$L$1001,MATCH(ROWS($J$2:J129),$J$2:$J$1001,0),0),1)),INDEX($O$2:$O$1001,MATCH(ROWS($J$2:J129),$J$2:$J$1001,0),0)))</f>
        <v xml:space="preserve"> </v>
      </c>
      <c r="B129" s="3" t="str">
        <f ca="1">IF(OR(INDEX($K$2:$K$1001,MATCH(ROWS($J$2:J129),$J$2:$J$1001,0),1)&gt;=100000,INDEX($Q$1005:$U$1005,1,MATCH(COLUMNS($Q$1006:Q1006),$Q$1006:$U$1006,0))&gt;=100000), " ",IF(INDEX($Q$2:$U$1001,MATCH(ROWS($J$2:J129),$J$2:$J$1001,0),MATCH(COLUMNS($Q$1006:Q1006),$Q$1006:$U$1006,0)), HYPERLINK("#",""), HYPERLINK(CONCATENATE("#Metadata!", ADDRESS(INDEX($L$2:$L$1001,MATCH(ROWS($J$2:J129),$J$2:$J$1001,0),0), INDEX($Q$1004:$U$1004,1,MATCH(COLUMNS($Q$1006:Q1006),$Q$1006:$U$1006,0)))),"Fix")))</f>
        <v xml:space="preserve"> </v>
      </c>
      <c r="C129" s="3" t="str">
        <f ca="1">IF(OR(INDEX($K$2:$K$1001,MATCH(ROWS($J$2:J129),$J$2:$J$1001,0),1)&gt;=100000,INDEX($Q$1005:$U$1005,1,MATCH(COLUMNS($Q$1006:R1006),$Q$1006:$U$1006,0))&gt;=100000), " ",IF(INDEX($Q$2:$U$1001,MATCH(ROWS($J$2:J129),$J$2:$J$1001,0),MATCH(COLUMNS($Q$1006:R1006),$Q$1006:$U$1006,0)), HYPERLINK("#",""), HYPERLINK(CONCATENATE("#Metadata!", ADDRESS(INDEX($L$2:$L$1001,MATCH(ROWS($J$2:J129),$J$2:$J$1001,0),0), INDEX($Q$1004:$U$1004,1,MATCH(COLUMNS($Q$1006:R1006),$Q$1006:$U$1006,0)))),"Fix")))</f>
        <v xml:space="preserve"> </v>
      </c>
      <c r="D129" s="3" t="str">
        <f ca="1">IF(OR(INDEX($K$2:$K$1001,MATCH(ROWS($J$2:J129),$J$2:$J$1001,0),1)&gt;=100000,INDEX($Q$1005:$U$1005,1,MATCH(COLUMNS($Q$1006:S1006),$Q$1006:$U$1006,0))&gt;=100000), " ",IF(INDEX($Q$2:$U$1001,MATCH(ROWS($J$2:J129),$J$2:$J$1001,0),MATCH(COLUMNS($Q$1006:S1006),$Q$1006:$U$1006,0)), HYPERLINK("#",""), HYPERLINK(CONCATENATE("#Metadata!", ADDRESS(INDEX($L$2:$L$1001,MATCH(ROWS($J$2:J129),$J$2:$J$1001,0),0), INDEX($Q$1004:$U$1004,1,MATCH(COLUMNS($Q$1006:S1006),$Q$1006:$U$1006,0)))),"Fix")))</f>
        <v xml:space="preserve"> </v>
      </c>
      <c r="E129" s="3" t="str">
        <f ca="1">IF(OR(INDEX($K$2:$K$1001,MATCH(ROWS($J$2:J129),$J$2:$J$1001,0),1)&gt;=100000,INDEX($Q$1005:$U$1005,1,MATCH(COLUMNS($Q$1006:T1006),$Q$1006:$U$1006,0))&gt;=100000), " ",IF(INDEX($Q$2:$U$1001,MATCH(ROWS($J$2:J129),$J$2:$J$1001,0),MATCH(COLUMNS($Q$1006:T1006),$Q$1006:$U$1006,0)), HYPERLINK("#",""), HYPERLINK(CONCATENATE("#Metadata!", ADDRESS(INDEX($L$2:$L$1001,MATCH(ROWS($J$2:J129),$J$2:$J$1001,0),0), INDEX($Q$1004:$U$1004,1,MATCH(COLUMNS($Q$1006:T1006),$Q$1006:$U$1006,0)))),"Fix")))</f>
        <v xml:space="preserve"> </v>
      </c>
      <c r="F129" s="3" t="str">
        <f ca="1">IF(OR(INDEX($K$2:$K$1001,MATCH(ROWS($J$2:J129),$J$2:$J$1001,0),1)&gt;=100000,INDEX($Q$1005:$U$1005,1,MATCH(COLUMNS($Q$1006:U1006),$Q$1006:$U$1006,0))&gt;=100000), " ",IF(INDEX($Q$2:$U$1001,MATCH(ROWS($J$2:J129),$J$2:$J$1001,0),MATCH(COLUMNS($Q$1006:U1006),$Q$1006:$U$1006,0)), HYPERLINK("#",""), HYPERLINK(CONCATENATE("#Metadata!", ADDRESS(INDEX($L$2:$L$1001,MATCH(ROWS($J$2:J129),$J$2:$J$1001,0),0), INDEX($Q$1004:$U$1004,1,MATCH(COLUMNS($Q$1006:U1006),$Q$1006:$U$1006,0)))),"Fix")))</f>
        <v xml:space="preserve"> </v>
      </c>
      <c r="J129">
        <f ca="1"/>
        <v>128</v>
      </c>
      <c r="K129">
        <v>100129</v>
      </c>
      <c r="L129">
        <v>129</v>
      </c>
      <c r="M129" t="b">
        <f t="shared" si="1"/>
        <v>1</v>
      </c>
      <c r="N129" t="b">
        <f>COUNTBLANK(Metadata!B129:F129)=COLUMNS(Metadata!B129:F129)</f>
        <v>1</v>
      </c>
      <c r="O129" t="str">
        <v/>
      </c>
      <c r="Q129" t="b">
        <f ca="1"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R129" t="b">
        <f>IF(Metadata!C129="",FALSE,TRUE)</f>
        <v>0</v>
      </c>
      <c r="S129" t="b">
        <f>OR(AND(IF(Metadata!D129="",FALSE,TRUE),EXACT(Metadata!D129,"missing: not collected")),AND(IF(Metadata!D129="",FALSE,TRUE),OR(EXACT(Metadata!D129,"t"),EXACT(Metadata!D129,"f"))))</f>
        <v>0</v>
      </c>
      <c r="T129" t="b">
        <f>AND(IF(Metadata!E129="",FALSE,TRUE),OR(EXACT(Metadata!E129,"a"),EXACT(Metadata!E129,"b")))</f>
        <v>0</v>
      </c>
      <c r="U129" t="b">
        <f>OR(AND(IF(Metadata!F129="",FALSE,TRUE),OR(EXACT(Metadata!F129,"missing: not collected"),EXACT(Metadata!F129,"missing: not provided"))),AND(IF(Metadata!F129="",FALSE,TRUE),OR(EXACT(Metadata!F129,"lo"),EXACT(Metadata!F129,"med"),EXACT(Metadata!F129,"hi"))))</f>
        <v>0</v>
      </c>
    </row>
    <row r="130" spans="1:21" x14ac:dyDescent="0.2">
      <c r="A130" s="4" t="str">
        <f ca="1">IF(B130=" "," ",HYPERLINK(CONCATENATE("#metadata!",ADDRESS(INDEX($L$2:$L$1001,MATCH(ROWS($J$2:J130),$J$2:$J$1001,0),0),1)),INDEX($O$2:$O$1001,MATCH(ROWS($J$2:J130),$J$2:$J$1001,0),0)))</f>
        <v xml:space="preserve"> </v>
      </c>
      <c r="B130" s="3" t="str">
        <f ca="1">IF(OR(INDEX($K$2:$K$1001,MATCH(ROWS($J$2:J130),$J$2:$J$1001,0),1)&gt;=100000,INDEX($Q$1005:$U$1005,1,MATCH(COLUMNS($Q$1006:Q1006),$Q$1006:$U$1006,0))&gt;=100000), " ",IF(INDEX($Q$2:$U$1001,MATCH(ROWS($J$2:J130),$J$2:$J$1001,0),MATCH(COLUMNS($Q$1006:Q1006),$Q$1006:$U$1006,0)), HYPERLINK("#",""), HYPERLINK(CONCATENATE("#Metadata!", ADDRESS(INDEX($L$2:$L$1001,MATCH(ROWS($J$2:J130),$J$2:$J$1001,0),0), INDEX($Q$1004:$U$1004,1,MATCH(COLUMNS($Q$1006:Q1006),$Q$1006:$U$1006,0)))),"Fix")))</f>
        <v xml:space="preserve"> </v>
      </c>
      <c r="C130" s="3" t="str">
        <f ca="1">IF(OR(INDEX($K$2:$K$1001,MATCH(ROWS($J$2:J130),$J$2:$J$1001,0),1)&gt;=100000,INDEX($Q$1005:$U$1005,1,MATCH(COLUMNS($Q$1006:R1006),$Q$1006:$U$1006,0))&gt;=100000), " ",IF(INDEX($Q$2:$U$1001,MATCH(ROWS($J$2:J130),$J$2:$J$1001,0),MATCH(COLUMNS($Q$1006:R1006),$Q$1006:$U$1006,0)), HYPERLINK("#",""), HYPERLINK(CONCATENATE("#Metadata!", ADDRESS(INDEX($L$2:$L$1001,MATCH(ROWS($J$2:J130),$J$2:$J$1001,0),0), INDEX($Q$1004:$U$1004,1,MATCH(COLUMNS($Q$1006:R1006),$Q$1006:$U$1006,0)))),"Fix")))</f>
        <v xml:space="preserve"> </v>
      </c>
      <c r="D130" s="3" t="str">
        <f ca="1">IF(OR(INDEX($K$2:$K$1001,MATCH(ROWS($J$2:J130),$J$2:$J$1001,0),1)&gt;=100000,INDEX($Q$1005:$U$1005,1,MATCH(COLUMNS($Q$1006:S1006),$Q$1006:$U$1006,0))&gt;=100000), " ",IF(INDEX($Q$2:$U$1001,MATCH(ROWS($J$2:J130),$J$2:$J$1001,0),MATCH(COLUMNS($Q$1006:S1006),$Q$1006:$U$1006,0)), HYPERLINK("#",""), HYPERLINK(CONCATENATE("#Metadata!", ADDRESS(INDEX($L$2:$L$1001,MATCH(ROWS($J$2:J130),$J$2:$J$1001,0),0), INDEX($Q$1004:$U$1004,1,MATCH(COLUMNS($Q$1006:S1006),$Q$1006:$U$1006,0)))),"Fix")))</f>
        <v xml:space="preserve"> </v>
      </c>
      <c r="E130" s="3" t="str">
        <f ca="1">IF(OR(INDEX($K$2:$K$1001,MATCH(ROWS($J$2:J130),$J$2:$J$1001,0),1)&gt;=100000,INDEX($Q$1005:$U$1005,1,MATCH(COLUMNS($Q$1006:T1006),$Q$1006:$U$1006,0))&gt;=100000), " ",IF(INDEX($Q$2:$U$1001,MATCH(ROWS($J$2:J130),$J$2:$J$1001,0),MATCH(COLUMNS($Q$1006:T1006),$Q$1006:$U$1006,0)), HYPERLINK("#",""), HYPERLINK(CONCATENATE("#Metadata!", ADDRESS(INDEX($L$2:$L$1001,MATCH(ROWS($J$2:J130),$J$2:$J$1001,0),0), INDEX($Q$1004:$U$1004,1,MATCH(COLUMNS($Q$1006:T1006),$Q$1006:$U$1006,0)))),"Fix")))</f>
        <v xml:space="preserve"> </v>
      </c>
      <c r="F130" s="3" t="str">
        <f ca="1">IF(OR(INDEX($K$2:$K$1001,MATCH(ROWS($J$2:J130),$J$2:$J$1001,0),1)&gt;=100000,INDEX($Q$1005:$U$1005,1,MATCH(COLUMNS($Q$1006:U1006),$Q$1006:$U$1006,0))&gt;=100000), " ",IF(INDEX($Q$2:$U$1001,MATCH(ROWS($J$2:J130),$J$2:$J$1001,0),MATCH(COLUMNS($Q$1006:U1006),$Q$1006:$U$1006,0)), HYPERLINK("#",""), HYPERLINK(CONCATENATE("#Metadata!", ADDRESS(INDEX($L$2:$L$1001,MATCH(ROWS($J$2:J130),$J$2:$J$1001,0),0), INDEX($Q$1004:$U$1004,1,MATCH(COLUMNS($Q$1006:U1006),$Q$1006:$U$1006,0)))),"Fix")))</f>
        <v xml:space="preserve"> </v>
      </c>
      <c r="J130">
        <f ca="1"/>
        <v>129</v>
      </c>
      <c r="K130">
        <v>100130</v>
      </c>
      <c r="L130">
        <v>130</v>
      </c>
      <c r="M130" t="b">
        <f t="shared" ref="M130:M193" si="2">IF(N130,TRUE,AND(Q130:U130))</f>
        <v>1</v>
      </c>
      <c r="N130" t="b">
        <f>COUNTBLANK(Metadata!B130:F130)=COLUMNS(Metadata!B130:F130)</f>
        <v>1</v>
      </c>
      <c r="O130" t="str">
        <v/>
      </c>
      <c r="Q130" t="b">
        <f ca="1"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R130" t="b">
        <f>IF(Metadata!C130="",FALSE,TRUE)</f>
        <v>0</v>
      </c>
      <c r="S130" t="b">
        <f>OR(AND(IF(Metadata!D130="",FALSE,TRUE),EXACT(Metadata!D130,"missing: not collected")),AND(IF(Metadata!D130="",FALSE,TRUE),OR(EXACT(Metadata!D130,"t"),EXACT(Metadata!D130,"f"))))</f>
        <v>0</v>
      </c>
      <c r="T130" t="b">
        <f>AND(IF(Metadata!E130="",FALSE,TRUE),OR(EXACT(Metadata!E130,"a"),EXACT(Metadata!E130,"b")))</f>
        <v>0</v>
      </c>
      <c r="U130" t="b">
        <f>OR(AND(IF(Metadata!F130="",FALSE,TRUE),OR(EXACT(Metadata!F130,"missing: not collected"),EXACT(Metadata!F130,"missing: not provided"))),AND(IF(Metadata!F130="",FALSE,TRUE),OR(EXACT(Metadata!F130,"lo"),EXACT(Metadata!F130,"med"),EXACT(Metadata!F130,"hi"))))</f>
        <v>0</v>
      </c>
    </row>
    <row r="131" spans="1:21" x14ac:dyDescent="0.2">
      <c r="A131" s="4" t="str">
        <f ca="1">IF(B131=" "," ",HYPERLINK(CONCATENATE("#metadata!",ADDRESS(INDEX($L$2:$L$1001,MATCH(ROWS($J$2:J131),$J$2:$J$1001,0),0),1)),INDEX($O$2:$O$1001,MATCH(ROWS($J$2:J131),$J$2:$J$1001,0),0)))</f>
        <v xml:space="preserve"> </v>
      </c>
      <c r="B131" s="3" t="str">
        <f ca="1">IF(OR(INDEX($K$2:$K$1001,MATCH(ROWS($J$2:J131),$J$2:$J$1001,0),1)&gt;=100000,INDEX($Q$1005:$U$1005,1,MATCH(COLUMNS($Q$1006:Q1006),$Q$1006:$U$1006,0))&gt;=100000), " ",IF(INDEX($Q$2:$U$1001,MATCH(ROWS($J$2:J131),$J$2:$J$1001,0),MATCH(COLUMNS($Q$1006:Q1006),$Q$1006:$U$1006,0)), HYPERLINK("#",""), HYPERLINK(CONCATENATE("#Metadata!", ADDRESS(INDEX($L$2:$L$1001,MATCH(ROWS($J$2:J131),$J$2:$J$1001,0),0), INDEX($Q$1004:$U$1004,1,MATCH(COLUMNS($Q$1006:Q1006),$Q$1006:$U$1006,0)))),"Fix")))</f>
        <v xml:space="preserve"> </v>
      </c>
      <c r="C131" s="3" t="str">
        <f ca="1">IF(OR(INDEX($K$2:$K$1001,MATCH(ROWS($J$2:J131),$J$2:$J$1001,0),1)&gt;=100000,INDEX($Q$1005:$U$1005,1,MATCH(COLUMNS($Q$1006:R1006),$Q$1006:$U$1006,0))&gt;=100000), " ",IF(INDEX($Q$2:$U$1001,MATCH(ROWS($J$2:J131),$J$2:$J$1001,0),MATCH(COLUMNS($Q$1006:R1006),$Q$1006:$U$1006,0)), HYPERLINK("#",""), HYPERLINK(CONCATENATE("#Metadata!", ADDRESS(INDEX($L$2:$L$1001,MATCH(ROWS($J$2:J131),$J$2:$J$1001,0),0), INDEX($Q$1004:$U$1004,1,MATCH(COLUMNS($Q$1006:R1006),$Q$1006:$U$1006,0)))),"Fix")))</f>
        <v xml:space="preserve"> </v>
      </c>
      <c r="D131" s="3" t="str">
        <f ca="1">IF(OR(INDEX($K$2:$K$1001,MATCH(ROWS($J$2:J131),$J$2:$J$1001,0),1)&gt;=100000,INDEX($Q$1005:$U$1005,1,MATCH(COLUMNS($Q$1006:S1006),$Q$1006:$U$1006,0))&gt;=100000), " ",IF(INDEX($Q$2:$U$1001,MATCH(ROWS($J$2:J131),$J$2:$J$1001,0),MATCH(COLUMNS($Q$1006:S1006),$Q$1006:$U$1006,0)), HYPERLINK("#",""), HYPERLINK(CONCATENATE("#Metadata!", ADDRESS(INDEX($L$2:$L$1001,MATCH(ROWS($J$2:J131),$J$2:$J$1001,0),0), INDEX($Q$1004:$U$1004,1,MATCH(COLUMNS($Q$1006:S1006),$Q$1006:$U$1006,0)))),"Fix")))</f>
        <v xml:space="preserve"> </v>
      </c>
      <c r="E131" s="3" t="str">
        <f ca="1">IF(OR(INDEX($K$2:$K$1001,MATCH(ROWS($J$2:J131),$J$2:$J$1001,0),1)&gt;=100000,INDEX($Q$1005:$U$1005,1,MATCH(COLUMNS($Q$1006:T1006),$Q$1006:$U$1006,0))&gt;=100000), " ",IF(INDEX($Q$2:$U$1001,MATCH(ROWS($J$2:J131),$J$2:$J$1001,0),MATCH(COLUMNS($Q$1006:T1006),$Q$1006:$U$1006,0)), HYPERLINK("#",""), HYPERLINK(CONCATENATE("#Metadata!", ADDRESS(INDEX($L$2:$L$1001,MATCH(ROWS($J$2:J131),$J$2:$J$1001,0),0), INDEX($Q$1004:$U$1004,1,MATCH(COLUMNS($Q$1006:T1006),$Q$1006:$U$1006,0)))),"Fix")))</f>
        <v xml:space="preserve"> </v>
      </c>
      <c r="F131" s="3" t="str">
        <f ca="1">IF(OR(INDEX($K$2:$K$1001,MATCH(ROWS($J$2:J131),$J$2:$J$1001,0),1)&gt;=100000,INDEX($Q$1005:$U$1005,1,MATCH(COLUMNS($Q$1006:U1006),$Q$1006:$U$1006,0))&gt;=100000), " ",IF(INDEX($Q$2:$U$1001,MATCH(ROWS($J$2:J131),$J$2:$J$1001,0),MATCH(COLUMNS($Q$1006:U1006),$Q$1006:$U$1006,0)), HYPERLINK("#",""), HYPERLINK(CONCATENATE("#Metadata!", ADDRESS(INDEX($L$2:$L$1001,MATCH(ROWS($J$2:J131),$J$2:$J$1001,0),0), INDEX($Q$1004:$U$1004,1,MATCH(COLUMNS($Q$1006:U1006),$Q$1006:$U$1006,0)))),"Fix")))</f>
        <v xml:space="preserve"> </v>
      </c>
      <c r="J131">
        <f ca="1"/>
        <v>130</v>
      </c>
      <c r="K131">
        <v>100131</v>
      </c>
      <c r="L131">
        <v>131</v>
      </c>
      <c r="M131" t="b">
        <f t="shared" si="2"/>
        <v>1</v>
      </c>
      <c r="N131" t="b">
        <f>COUNTBLANK(Metadata!B131:F131)=COLUMNS(Metadata!B131:F131)</f>
        <v>1</v>
      </c>
      <c r="O131" t="str">
        <v/>
      </c>
      <c r="Q131" t="b">
        <f ca="1"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R131" t="b">
        <f>IF(Metadata!C131="",FALSE,TRUE)</f>
        <v>0</v>
      </c>
      <c r="S131" t="b">
        <f>OR(AND(IF(Metadata!D131="",FALSE,TRUE),EXACT(Metadata!D131,"missing: not collected")),AND(IF(Metadata!D131="",FALSE,TRUE),OR(EXACT(Metadata!D131,"t"),EXACT(Metadata!D131,"f"))))</f>
        <v>0</v>
      </c>
      <c r="T131" t="b">
        <f>AND(IF(Metadata!E131="",FALSE,TRUE),OR(EXACT(Metadata!E131,"a"),EXACT(Metadata!E131,"b")))</f>
        <v>0</v>
      </c>
      <c r="U131" t="b">
        <f>OR(AND(IF(Metadata!F131="",FALSE,TRUE),OR(EXACT(Metadata!F131,"missing: not collected"),EXACT(Metadata!F131,"missing: not provided"))),AND(IF(Metadata!F131="",FALSE,TRUE),OR(EXACT(Metadata!F131,"lo"),EXACT(Metadata!F131,"med"),EXACT(Metadata!F131,"hi"))))</f>
        <v>0</v>
      </c>
    </row>
    <row r="132" spans="1:21" x14ac:dyDescent="0.2">
      <c r="A132" s="4" t="str">
        <f ca="1">IF(B132=" "," ",HYPERLINK(CONCATENATE("#metadata!",ADDRESS(INDEX($L$2:$L$1001,MATCH(ROWS($J$2:J132),$J$2:$J$1001,0),0),1)),INDEX($O$2:$O$1001,MATCH(ROWS($J$2:J132),$J$2:$J$1001,0),0)))</f>
        <v xml:space="preserve"> </v>
      </c>
      <c r="B132" s="3" t="str">
        <f ca="1">IF(OR(INDEX($K$2:$K$1001,MATCH(ROWS($J$2:J132),$J$2:$J$1001,0),1)&gt;=100000,INDEX($Q$1005:$U$1005,1,MATCH(COLUMNS($Q$1006:Q1006),$Q$1006:$U$1006,0))&gt;=100000), " ",IF(INDEX($Q$2:$U$1001,MATCH(ROWS($J$2:J132),$J$2:$J$1001,0),MATCH(COLUMNS($Q$1006:Q1006),$Q$1006:$U$1006,0)), HYPERLINK("#",""), HYPERLINK(CONCATENATE("#Metadata!", ADDRESS(INDEX($L$2:$L$1001,MATCH(ROWS($J$2:J132),$J$2:$J$1001,0),0), INDEX($Q$1004:$U$1004,1,MATCH(COLUMNS($Q$1006:Q1006),$Q$1006:$U$1006,0)))),"Fix")))</f>
        <v xml:space="preserve"> </v>
      </c>
      <c r="C132" s="3" t="str">
        <f ca="1">IF(OR(INDEX($K$2:$K$1001,MATCH(ROWS($J$2:J132),$J$2:$J$1001,0),1)&gt;=100000,INDEX($Q$1005:$U$1005,1,MATCH(COLUMNS($Q$1006:R1006),$Q$1006:$U$1006,0))&gt;=100000), " ",IF(INDEX($Q$2:$U$1001,MATCH(ROWS($J$2:J132),$J$2:$J$1001,0),MATCH(COLUMNS($Q$1006:R1006),$Q$1006:$U$1006,0)), HYPERLINK("#",""), HYPERLINK(CONCATENATE("#Metadata!", ADDRESS(INDEX($L$2:$L$1001,MATCH(ROWS($J$2:J132),$J$2:$J$1001,0),0), INDEX($Q$1004:$U$1004,1,MATCH(COLUMNS($Q$1006:R1006),$Q$1006:$U$1006,0)))),"Fix")))</f>
        <v xml:space="preserve"> </v>
      </c>
      <c r="D132" s="3" t="str">
        <f ca="1">IF(OR(INDEX($K$2:$K$1001,MATCH(ROWS($J$2:J132),$J$2:$J$1001,0),1)&gt;=100000,INDEX($Q$1005:$U$1005,1,MATCH(COLUMNS($Q$1006:S1006),$Q$1006:$U$1006,0))&gt;=100000), " ",IF(INDEX($Q$2:$U$1001,MATCH(ROWS($J$2:J132),$J$2:$J$1001,0),MATCH(COLUMNS($Q$1006:S1006),$Q$1006:$U$1006,0)), HYPERLINK("#",""), HYPERLINK(CONCATENATE("#Metadata!", ADDRESS(INDEX($L$2:$L$1001,MATCH(ROWS($J$2:J132),$J$2:$J$1001,0),0), INDEX($Q$1004:$U$1004,1,MATCH(COLUMNS($Q$1006:S1006),$Q$1006:$U$1006,0)))),"Fix")))</f>
        <v xml:space="preserve"> </v>
      </c>
      <c r="E132" s="3" t="str">
        <f ca="1">IF(OR(INDEX($K$2:$K$1001,MATCH(ROWS($J$2:J132),$J$2:$J$1001,0),1)&gt;=100000,INDEX($Q$1005:$U$1005,1,MATCH(COLUMNS($Q$1006:T1006),$Q$1006:$U$1006,0))&gt;=100000), " ",IF(INDEX($Q$2:$U$1001,MATCH(ROWS($J$2:J132),$J$2:$J$1001,0),MATCH(COLUMNS($Q$1006:T1006),$Q$1006:$U$1006,0)), HYPERLINK("#",""), HYPERLINK(CONCATENATE("#Metadata!", ADDRESS(INDEX($L$2:$L$1001,MATCH(ROWS($J$2:J132),$J$2:$J$1001,0),0), INDEX($Q$1004:$U$1004,1,MATCH(COLUMNS($Q$1006:T1006),$Q$1006:$U$1006,0)))),"Fix")))</f>
        <v xml:space="preserve"> </v>
      </c>
      <c r="F132" s="3" t="str">
        <f ca="1">IF(OR(INDEX($K$2:$K$1001,MATCH(ROWS($J$2:J132),$J$2:$J$1001,0),1)&gt;=100000,INDEX($Q$1005:$U$1005,1,MATCH(COLUMNS($Q$1006:U1006),$Q$1006:$U$1006,0))&gt;=100000), " ",IF(INDEX($Q$2:$U$1001,MATCH(ROWS($J$2:J132),$J$2:$J$1001,0),MATCH(COLUMNS($Q$1006:U1006),$Q$1006:$U$1006,0)), HYPERLINK("#",""), HYPERLINK(CONCATENATE("#Metadata!", ADDRESS(INDEX($L$2:$L$1001,MATCH(ROWS($J$2:J132),$J$2:$J$1001,0),0), INDEX($Q$1004:$U$1004,1,MATCH(COLUMNS($Q$1006:U1006),$Q$1006:$U$1006,0)))),"Fix")))</f>
        <v xml:space="preserve"> </v>
      </c>
      <c r="J132">
        <f ca="1"/>
        <v>131</v>
      </c>
      <c r="K132">
        <v>100132</v>
      </c>
      <c r="L132">
        <v>132</v>
      </c>
      <c r="M132" t="b">
        <f t="shared" si="2"/>
        <v>1</v>
      </c>
      <c r="N132" t="b">
        <f>COUNTBLANK(Metadata!B132:F132)=COLUMNS(Metadata!B132:F132)</f>
        <v>1</v>
      </c>
      <c r="O132" t="str">
        <v/>
      </c>
      <c r="Q132" t="b">
        <f ca="1"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R132" t="b">
        <f>IF(Metadata!C132="",FALSE,TRUE)</f>
        <v>0</v>
      </c>
      <c r="S132" t="b">
        <f>OR(AND(IF(Metadata!D132="",FALSE,TRUE),EXACT(Metadata!D132,"missing: not collected")),AND(IF(Metadata!D132="",FALSE,TRUE),OR(EXACT(Metadata!D132,"t"),EXACT(Metadata!D132,"f"))))</f>
        <v>0</v>
      </c>
      <c r="T132" t="b">
        <f>AND(IF(Metadata!E132="",FALSE,TRUE),OR(EXACT(Metadata!E132,"a"),EXACT(Metadata!E132,"b")))</f>
        <v>0</v>
      </c>
      <c r="U132" t="b">
        <f>OR(AND(IF(Metadata!F132="",FALSE,TRUE),OR(EXACT(Metadata!F132,"missing: not collected"),EXACT(Metadata!F132,"missing: not provided"))),AND(IF(Metadata!F132="",FALSE,TRUE),OR(EXACT(Metadata!F132,"lo"),EXACT(Metadata!F132,"med"),EXACT(Metadata!F132,"hi"))))</f>
        <v>0</v>
      </c>
    </row>
    <row r="133" spans="1:21" x14ac:dyDescent="0.2">
      <c r="A133" s="4" t="str">
        <f ca="1">IF(B133=" "," ",HYPERLINK(CONCATENATE("#metadata!",ADDRESS(INDEX($L$2:$L$1001,MATCH(ROWS($J$2:J133),$J$2:$J$1001,0),0),1)),INDEX($O$2:$O$1001,MATCH(ROWS($J$2:J133),$J$2:$J$1001,0),0)))</f>
        <v xml:space="preserve"> </v>
      </c>
      <c r="B133" s="3" t="str">
        <f ca="1">IF(OR(INDEX($K$2:$K$1001,MATCH(ROWS($J$2:J133),$J$2:$J$1001,0),1)&gt;=100000,INDEX($Q$1005:$U$1005,1,MATCH(COLUMNS($Q$1006:Q1006),$Q$1006:$U$1006,0))&gt;=100000), " ",IF(INDEX($Q$2:$U$1001,MATCH(ROWS($J$2:J133),$J$2:$J$1001,0),MATCH(COLUMNS($Q$1006:Q1006),$Q$1006:$U$1006,0)), HYPERLINK("#",""), HYPERLINK(CONCATENATE("#Metadata!", ADDRESS(INDEX($L$2:$L$1001,MATCH(ROWS($J$2:J133),$J$2:$J$1001,0),0), INDEX($Q$1004:$U$1004,1,MATCH(COLUMNS($Q$1006:Q1006),$Q$1006:$U$1006,0)))),"Fix")))</f>
        <v xml:space="preserve"> </v>
      </c>
      <c r="C133" s="3" t="str">
        <f ca="1">IF(OR(INDEX($K$2:$K$1001,MATCH(ROWS($J$2:J133),$J$2:$J$1001,0),1)&gt;=100000,INDEX($Q$1005:$U$1005,1,MATCH(COLUMNS($Q$1006:R1006),$Q$1006:$U$1006,0))&gt;=100000), " ",IF(INDEX($Q$2:$U$1001,MATCH(ROWS($J$2:J133),$J$2:$J$1001,0),MATCH(COLUMNS($Q$1006:R1006),$Q$1006:$U$1006,0)), HYPERLINK("#",""), HYPERLINK(CONCATENATE("#Metadata!", ADDRESS(INDEX($L$2:$L$1001,MATCH(ROWS($J$2:J133),$J$2:$J$1001,0),0), INDEX($Q$1004:$U$1004,1,MATCH(COLUMNS($Q$1006:R1006),$Q$1006:$U$1006,0)))),"Fix")))</f>
        <v xml:space="preserve"> </v>
      </c>
      <c r="D133" s="3" t="str">
        <f ca="1">IF(OR(INDEX($K$2:$K$1001,MATCH(ROWS($J$2:J133),$J$2:$J$1001,0),1)&gt;=100000,INDEX($Q$1005:$U$1005,1,MATCH(COLUMNS($Q$1006:S1006),$Q$1006:$U$1006,0))&gt;=100000), " ",IF(INDEX($Q$2:$U$1001,MATCH(ROWS($J$2:J133),$J$2:$J$1001,0),MATCH(COLUMNS($Q$1006:S1006),$Q$1006:$U$1006,0)), HYPERLINK("#",""), HYPERLINK(CONCATENATE("#Metadata!", ADDRESS(INDEX($L$2:$L$1001,MATCH(ROWS($J$2:J133),$J$2:$J$1001,0),0), INDEX($Q$1004:$U$1004,1,MATCH(COLUMNS($Q$1006:S1006),$Q$1006:$U$1006,0)))),"Fix")))</f>
        <v xml:space="preserve"> </v>
      </c>
      <c r="E133" s="3" t="str">
        <f ca="1">IF(OR(INDEX($K$2:$K$1001,MATCH(ROWS($J$2:J133),$J$2:$J$1001,0),1)&gt;=100000,INDEX($Q$1005:$U$1005,1,MATCH(COLUMNS($Q$1006:T1006),$Q$1006:$U$1006,0))&gt;=100000), " ",IF(INDEX($Q$2:$U$1001,MATCH(ROWS($J$2:J133),$J$2:$J$1001,0),MATCH(COLUMNS($Q$1006:T1006),$Q$1006:$U$1006,0)), HYPERLINK("#",""), HYPERLINK(CONCATENATE("#Metadata!", ADDRESS(INDEX($L$2:$L$1001,MATCH(ROWS($J$2:J133),$J$2:$J$1001,0),0), INDEX($Q$1004:$U$1004,1,MATCH(COLUMNS($Q$1006:T1006),$Q$1006:$U$1006,0)))),"Fix")))</f>
        <v xml:space="preserve"> </v>
      </c>
      <c r="F133" s="3" t="str">
        <f ca="1">IF(OR(INDEX($K$2:$K$1001,MATCH(ROWS($J$2:J133),$J$2:$J$1001,0),1)&gt;=100000,INDEX($Q$1005:$U$1005,1,MATCH(COLUMNS($Q$1006:U1006),$Q$1006:$U$1006,0))&gt;=100000), " ",IF(INDEX($Q$2:$U$1001,MATCH(ROWS($J$2:J133),$J$2:$J$1001,0),MATCH(COLUMNS($Q$1006:U1006),$Q$1006:$U$1006,0)), HYPERLINK("#",""), HYPERLINK(CONCATENATE("#Metadata!", ADDRESS(INDEX($L$2:$L$1001,MATCH(ROWS($J$2:J133),$J$2:$J$1001,0),0), INDEX($Q$1004:$U$1004,1,MATCH(COLUMNS($Q$1006:U1006),$Q$1006:$U$1006,0)))),"Fix")))</f>
        <v xml:space="preserve"> </v>
      </c>
      <c r="J133">
        <f ca="1"/>
        <v>132</v>
      </c>
      <c r="K133">
        <v>100133</v>
      </c>
      <c r="L133">
        <v>133</v>
      </c>
      <c r="M133" t="b">
        <f t="shared" si="2"/>
        <v>1</v>
      </c>
      <c r="N133" t="b">
        <f>COUNTBLANK(Metadata!B133:F133)=COLUMNS(Metadata!B133:F133)</f>
        <v>1</v>
      </c>
      <c r="O133" t="str">
        <v/>
      </c>
      <c r="Q133" t="b">
        <f ca="1"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R133" t="b">
        <f>IF(Metadata!C133="",FALSE,TRUE)</f>
        <v>0</v>
      </c>
      <c r="S133" t="b">
        <f>OR(AND(IF(Metadata!D133="",FALSE,TRUE),EXACT(Metadata!D133,"missing: not collected")),AND(IF(Metadata!D133="",FALSE,TRUE),OR(EXACT(Metadata!D133,"t"),EXACT(Metadata!D133,"f"))))</f>
        <v>0</v>
      </c>
      <c r="T133" t="b">
        <f>AND(IF(Metadata!E133="",FALSE,TRUE),OR(EXACT(Metadata!E133,"a"),EXACT(Metadata!E133,"b")))</f>
        <v>0</v>
      </c>
      <c r="U133" t="b">
        <f>OR(AND(IF(Metadata!F133="",FALSE,TRUE),OR(EXACT(Metadata!F133,"missing: not collected"),EXACT(Metadata!F133,"missing: not provided"))),AND(IF(Metadata!F133="",FALSE,TRUE),OR(EXACT(Metadata!F133,"lo"),EXACT(Metadata!F133,"med"),EXACT(Metadata!F133,"hi"))))</f>
        <v>0</v>
      </c>
    </row>
    <row r="134" spans="1:21" x14ac:dyDescent="0.2">
      <c r="A134" s="4" t="str">
        <f ca="1">IF(B134=" "," ",HYPERLINK(CONCATENATE("#metadata!",ADDRESS(INDEX($L$2:$L$1001,MATCH(ROWS($J$2:J134),$J$2:$J$1001,0),0),1)),INDEX($O$2:$O$1001,MATCH(ROWS($J$2:J134),$J$2:$J$1001,0),0)))</f>
        <v xml:space="preserve"> </v>
      </c>
      <c r="B134" s="3" t="str">
        <f ca="1">IF(OR(INDEX($K$2:$K$1001,MATCH(ROWS($J$2:J134),$J$2:$J$1001,0),1)&gt;=100000,INDEX($Q$1005:$U$1005,1,MATCH(COLUMNS($Q$1006:Q1006),$Q$1006:$U$1006,0))&gt;=100000), " ",IF(INDEX($Q$2:$U$1001,MATCH(ROWS($J$2:J134),$J$2:$J$1001,0),MATCH(COLUMNS($Q$1006:Q1006),$Q$1006:$U$1006,0)), HYPERLINK("#",""), HYPERLINK(CONCATENATE("#Metadata!", ADDRESS(INDEX($L$2:$L$1001,MATCH(ROWS($J$2:J134),$J$2:$J$1001,0),0), INDEX($Q$1004:$U$1004,1,MATCH(COLUMNS($Q$1006:Q1006),$Q$1006:$U$1006,0)))),"Fix")))</f>
        <v xml:space="preserve"> </v>
      </c>
      <c r="C134" s="3" t="str">
        <f ca="1">IF(OR(INDEX($K$2:$K$1001,MATCH(ROWS($J$2:J134),$J$2:$J$1001,0),1)&gt;=100000,INDEX($Q$1005:$U$1005,1,MATCH(COLUMNS($Q$1006:R1006),$Q$1006:$U$1006,0))&gt;=100000), " ",IF(INDEX($Q$2:$U$1001,MATCH(ROWS($J$2:J134),$J$2:$J$1001,0),MATCH(COLUMNS($Q$1006:R1006),$Q$1006:$U$1006,0)), HYPERLINK("#",""), HYPERLINK(CONCATENATE("#Metadata!", ADDRESS(INDEX($L$2:$L$1001,MATCH(ROWS($J$2:J134),$J$2:$J$1001,0),0), INDEX($Q$1004:$U$1004,1,MATCH(COLUMNS($Q$1006:R1006),$Q$1006:$U$1006,0)))),"Fix")))</f>
        <v xml:space="preserve"> </v>
      </c>
      <c r="D134" s="3" t="str">
        <f ca="1">IF(OR(INDEX($K$2:$K$1001,MATCH(ROWS($J$2:J134),$J$2:$J$1001,0),1)&gt;=100000,INDEX($Q$1005:$U$1005,1,MATCH(COLUMNS($Q$1006:S1006),$Q$1006:$U$1006,0))&gt;=100000), " ",IF(INDEX($Q$2:$U$1001,MATCH(ROWS($J$2:J134),$J$2:$J$1001,0),MATCH(COLUMNS($Q$1006:S1006),$Q$1006:$U$1006,0)), HYPERLINK("#",""), HYPERLINK(CONCATENATE("#Metadata!", ADDRESS(INDEX($L$2:$L$1001,MATCH(ROWS($J$2:J134),$J$2:$J$1001,0),0), INDEX($Q$1004:$U$1004,1,MATCH(COLUMNS($Q$1006:S1006),$Q$1006:$U$1006,0)))),"Fix")))</f>
        <v xml:space="preserve"> </v>
      </c>
      <c r="E134" s="3" t="str">
        <f ca="1">IF(OR(INDEX($K$2:$K$1001,MATCH(ROWS($J$2:J134),$J$2:$J$1001,0),1)&gt;=100000,INDEX($Q$1005:$U$1005,1,MATCH(COLUMNS($Q$1006:T1006),$Q$1006:$U$1006,0))&gt;=100000), " ",IF(INDEX($Q$2:$U$1001,MATCH(ROWS($J$2:J134),$J$2:$J$1001,0),MATCH(COLUMNS($Q$1006:T1006),$Q$1006:$U$1006,0)), HYPERLINK("#",""), HYPERLINK(CONCATENATE("#Metadata!", ADDRESS(INDEX($L$2:$L$1001,MATCH(ROWS($J$2:J134),$J$2:$J$1001,0),0), INDEX($Q$1004:$U$1004,1,MATCH(COLUMNS($Q$1006:T1006),$Q$1006:$U$1006,0)))),"Fix")))</f>
        <v xml:space="preserve"> </v>
      </c>
      <c r="F134" s="3" t="str">
        <f ca="1">IF(OR(INDEX($K$2:$K$1001,MATCH(ROWS($J$2:J134),$J$2:$J$1001,0),1)&gt;=100000,INDEX($Q$1005:$U$1005,1,MATCH(COLUMNS($Q$1006:U1006),$Q$1006:$U$1006,0))&gt;=100000), " ",IF(INDEX($Q$2:$U$1001,MATCH(ROWS($J$2:J134),$J$2:$J$1001,0),MATCH(COLUMNS($Q$1006:U1006),$Q$1006:$U$1006,0)), HYPERLINK("#",""), HYPERLINK(CONCATENATE("#Metadata!", ADDRESS(INDEX($L$2:$L$1001,MATCH(ROWS($J$2:J134),$J$2:$J$1001,0),0), INDEX($Q$1004:$U$1004,1,MATCH(COLUMNS($Q$1006:U1006),$Q$1006:$U$1006,0)))),"Fix")))</f>
        <v xml:space="preserve"> </v>
      </c>
      <c r="J134">
        <f ca="1"/>
        <v>133</v>
      </c>
      <c r="K134">
        <v>100134</v>
      </c>
      <c r="L134">
        <v>134</v>
      </c>
      <c r="M134" t="b">
        <f t="shared" si="2"/>
        <v>1</v>
      </c>
      <c r="N134" t="b">
        <f>COUNTBLANK(Metadata!B134:F134)=COLUMNS(Metadata!B134:F134)</f>
        <v>1</v>
      </c>
      <c r="O134" t="str">
        <v/>
      </c>
      <c r="Q134" t="b">
        <f ca="1"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R134" t="b">
        <f>IF(Metadata!C134="",FALSE,TRUE)</f>
        <v>0</v>
      </c>
      <c r="S134" t="b">
        <f>OR(AND(IF(Metadata!D134="",FALSE,TRUE),EXACT(Metadata!D134,"missing: not collected")),AND(IF(Metadata!D134="",FALSE,TRUE),OR(EXACT(Metadata!D134,"t"),EXACT(Metadata!D134,"f"))))</f>
        <v>0</v>
      </c>
      <c r="T134" t="b">
        <f>AND(IF(Metadata!E134="",FALSE,TRUE),OR(EXACT(Metadata!E134,"a"),EXACT(Metadata!E134,"b")))</f>
        <v>0</v>
      </c>
      <c r="U134" t="b">
        <f>OR(AND(IF(Metadata!F134="",FALSE,TRUE),OR(EXACT(Metadata!F134,"missing: not collected"),EXACT(Metadata!F134,"missing: not provided"))),AND(IF(Metadata!F134="",FALSE,TRUE),OR(EXACT(Metadata!F134,"lo"),EXACT(Metadata!F134,"med"),EXACT(Metadata!F134,"hi"))))</f>
        <v>0</v>
      </c>
    </row>
    <row r="135" spans="1:21" x14ac:dyDescent="0.2">
      <c r="A135" s="4" t="str">
        <f ca="1">IF(B135=" "," ",HYPERLINK(CONCATENATE("#metadata!",ADDRESS(INDEX($L$2:$L$1001,MATCH(ROWS($J$2:J135),$J$2:$J$1001,0),0),1)),INDEX($O$2:$O$1001,MATCH(ROWS($J$2:J135),$J$2:$J$1001,0),0)))</f>
        <v xml:space="preserve"> </v>
      </c>
      <c r="B135" s="3" t="str">
        <f ca="1">IF(OR(INDEX($K$2:$K$1001,MATCH(ROWS($J$2:J135),$J$2:$J$1001,0),1)&gt;=100000,INDEX($Q$1005:$U$1005,1,MATCH(COLUMNS($Q$1006:Q1006),$Q$1006:$U$1006,0))&gt;=100000), " ",IF(INDEX($Q$2:$U$1001,MATCH(ROWS($J$2:J135),$J$2:$J$1001,0),MATCH(COLUMNS($Q$1006:Q1006),$Q$1006:$U$1006,0)), HYPERLINK("#",""), HYPERLINK(CONCATENATE("#Metadata!", ADDRESS(INDEX($L$2:$L$1001,MATCH(ROWS($J$2:J135),$J$2:$J$1001,0),0), INDEX($Q$1004:$U$1004,1,MATCH(COLUMNS($Q$1006:Q1006),$Q$1006:$U$1006,0)))),"Fix")))</f>
        <v xml:space="preserve"> </v>
      </c>
      <c r="C135" s="3" t="str">
        <f ca="1">IF(OR(INDEX($K$2:$K$1001,MATCH(ROWS($J$2:J135),$J$2:$J$1001,0),1)&gt;=100000,INDEX($Q$1005:$U$1005,1,MATCH(COLUMNS($Q$1006:R1006),$Q$1006:$U$1006,0))&gt;=100000), " ",IF(INDEX($Q$2:$U$1001,MATCH(ROWS($J$2:J135),$J$2:$J$1001,0),MATCH(COLUMNS($Q$1006:R1006),$Q$1006:$U$1006,0)), HYPERLINK("#",""), HYPERLINK(CONCATENATE("#Metadata!", ADDRESS(INDEX($L$2:$L$1001,MATCH(ROWS($J$2:J135),$J$2:$J$1001,0),0), INDEX($Q$1004:$U$1004,1,MATCH(COLUMNS($Q$1006:R1006),$Q$1006:$U$1006,0)))),"Fix")))</f>
        <v xml:space="preserve"> </v>
      </c>
      <c r="D135" s="3" t="str">
        <f ca="1">IF(OR(INDEX($K$2:$K$1001,MATCH(ROWS($J$2:J135),$J$2:$J$1001,0),1)&gt;=100000,INDEX($Q$1005:$U$1005,1,MATCH(COLUMNS($Q$1006:S1006),$Q$1006:$U$1006,0))&gt;=100000), " ",IF(INDEX($Q$2:$U$1001,MATCH(ROWS($J$2:J135),$J$2:$J$1001,0),MATCH(COLUMNS($Q$1006:S1006),$Q$1006:$U$1006,0)), HYPERLINK("#",""), HYPERLINK(CONCATENATE("#Metadata!", ADDRESS(INDEX($L$2:$L$1001,MATCH(ROWS($J$2:J135),$J$2:$J$1001,0),0), INDEX($Q$1004:$U$1004,1,MATCH(COLUMNS($Q$1006:S1006),$Q$1006:$U$1006,0)))),"Fix")))</f>
        <v xml:space="preserve"> </v>
      </c>
      <c r="E135" s="3" t="str">
        <f ca="1">IF(OR(INDEX($K$2:$K$1001,MATCH(ROWS($J$2:J135),$J$2:$J$1001,0),1)&gt;=100000,INDEX($Q$1005:$U$1005,1,MATCH(COLUMNS($Q$1006:T1006),$Q$1006:$U$1006,0))&gt;=100000), " ",IF(INDEX($Q$2:$U$1001,MATCH(ROWS($J$2:J135),$J$2:$J$1001,0),MATCH(COLUMNS($Q$1006:T1006),$Q$1006:$U$1006,0)), HYPERLINK("#",""), HYPERLINK(CONCATENATE("#Metadata!", ADDRESS(INDEX($L$2:$L$1001,MATCH(ROWS($J$2:J135),$J$2:$J$1001,0),0), INDEX($Q$1004:$U$1004,1,MATCH(COLUMNS($Q$1006:T1006),$Q$1006:$U$1006,0)))),"Fix")))</f>
        <v xml:space="preserve"> </v>
      </c>
      <c r="F135" s="3" t="str">
        <f ca="1">IF(OR(INDEX($K$2:$K$1001,MATCH(ROWS($J$2:J135),$J$2:$J$1001,0),1)&gt;=100000,INDEX($Q$1005:$U$1005,1,MATCH(COLUMNS($Q$1006:U1006),$Q$1006:$U$1006,0))&gt;=100000), " ",IF(INDEX($Q$2:$U$1001,MATCH(ROWS($J$2:J135),$J$2:$J$1001,0),MATCH(COLUMNS($Q$1006:U1006),$Q$1006:$U$1006,0)), HYPERLINK("#",""), HYPERLINK(CONCATENATE("#Metadata!", ADDRESS(INDEX($L$2:$L$1001,MATCH(ROWS($J$2:J135),$J$2:$J$1001,0),0), INDEX($Q$1004:$U$1004,1,MATCH(COLUMNS($Q$1006:U1006),$Q$1006:$U$1006,0)))),"Fix")))</f>
        <v xml:space="preserve"> </v>
      </c>
      <c r="J135">
        <f ca="1"/>
        <v>134</v>
      </c>
      <c r="K135">
        <v>100135</v>
      </c>
      <c r="L135">
        <v>135</v>
      </c>
      <c r="M135" t="b">
        <f t="shared" si="2"/>
        <v>1</v>
      </c>
      <c r="N135" t="b">
        <f>COUNTBLANK(Metadata!B135:F135)=COLUMNS(Metadata!B135:F135)</f>
        <v>1</v>
      </c>
      <c r="O135" t="str">
        <v/>
      </c>
      <c r="Q135" t="b">
        <f ca="1"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R135" t="b">
        <f>IF(Metadata!C135="",FALSE,TRUE)</f>
        <v>0</v>
      </c>
      <c r="S135" t="b">
        <f>OR(AND(IF(Metadata!D135="",FALSE,TRUE),EXACT(Metadata!D135,"missing: not collected")),AND(IF(Metadata!D135="",FALSE,TRUE),OR(EXACT(Metadata!D135,"t"),EXACT(Metadata!D135,"f"))))</f>
        <v>0</v>
      </c>
      <c r="T135" t="b">
        <f>AND(IF(Metadata!E135="",FALSE,TRUE),OR(EXACT(Metadata!E135,"a"),EXACT(Metadata!E135,"b")))</f>
        <v>0</v>
      </c>
      <c r="U135" t="b">
        <f>OR(AND(IF(Metadata!F135="",FALSE,TRUE),OR(EXACT(Metadata!F135,"missing: not collected"),EXACT(Metadata!F135,"missing: not provided"))),AND(IF(Metadata!F135="",FALSE,TRUE),OR(EXACT(Metadata!F135,"lo"),EXACT(Metadata!F135,"med"),EXACT(Metadata!F135,"hi"))))</f>
        <v>0</v>
      </c>
    </row>
    <row r="136" spans="1:21" x14ac:dyDescent="0.2">
      <c r="A136" s="4" t="str">
        <f ca="1">IF(B136=" "," ",HYPERLINK(CONCATENATE("#metadata!",ADDRESS(INDEX($L$2:$L$1001,MATCH(ROWS($J$2:J136),$J$2:$J$1001,0),0),1)),INDEX($O$2:$O$1001,MATCH(ROWS($J$2:J136),$J$2:$J$1001,0),0)))</f>
        <v xml:space="preserve"> </v>
      </c>
      <c r="B136" s="3" t="str">
        <f ca="1">IF(OR(INDEX($K$2:$K$1001,MATCH(ROWS($J$2:J136),$J$2:$J$1001,0),1)&gt;=100000,INDEX($Q$1005:$U$1005,1,MATCH(COLUMNS($Q$1006:Q1006),$Q$1006:$U$1006,0))&gt;=100000), " ",IF(INDEX($Q$2:$U$1001,MATCH(ROWS($J$2:J136),$J$2:$J$1001,0),MATCH(COLUMNS($Q$1006:Q1006),$Q$1006:$U$1006,0)), HYPERLINK("#",""), HYPERLINK(CONCATENATE("#Metadata!", ADDRESS(INDEX($L$2:$L$1001,MATCH(ROWS($J$2:J136),$J$2:$J$1001,0),0), INDEX($Q$1004:$U$1004,1,MATCH(COLUMNS($Q$1006:Q1006),$Q$1006:$U$1006,0)))),"Fix")))</f>
        <v xml:space="preserve"> </v>
      </c>
      <c r="C136" s="3" t="str">
        <f ca="1">IF(OR(INDEX($K$2:$K$1001,MATCH(ROWS($J$2:J136),$J$2:$J$1001,0),1)&gt;=100000,INDEX($Q$1005:$U$1005,1,MATCH(COLUMNS($Q$1006:R1006),$Q$1006:$U$1006,0))&gt;=100000), " ",IF(INDEX($Q$2:$U$1001,MATCH(ROWS($J$2:J136),$J$2:$J$1001,0),MATCH(COLUMNS($Q$1006:R1006),$Q$1006:$U$1006,0)), HYPERLINK("#",""), HYPERLINK(CONCATENATE("#Metadata!", ADDRESS(INDEX($L$2:$L$1001,MATCH(ROWS($J$2:J136),$J$2:$J$1001,0),0), INDEX($Q$1004:$U$1004,1,MATCH(COLUMNS($Q$1006:R1006),$Q$1006:$U$1006,0)))),"Fix")))</f>
        <v xml:space="preserve"> </v>
      </c>
      <c r="D136" s="3" t="str">
        <f ca="1">IF(OR(INDEX($K$2:$K$1001,MATCH(ROWS($J$2:J136),$J$2:$J$1001,0),1)&gt;=100000,INDEX($Q$1005:$U$1005,1,MATCH(COLUMNS($Q$1006:S1006),$Q$1006:$U$1006,0))&gt;=100000), " ",IF(INDEX($Q$2:$U$1001,MATCH(ROWS($J$2:J136),$J$2:$J$1001,0),MATCH(COLUMNS($Q$1006:S1006),$Q$1006:$U$1006,0)), HYPERLINK("#",""), HYPERLINK(CONCATENATE("#Metadata!", ADDRESS(INDEX($L$2:$L$1001,MATCH(ROWS($J$2:J136),$J$2:$J$1001,0),0), INDEX($Q$1004:$U$1004,1,MATCH(COLUMNS($Q$1006:S1006),$Q$1006:$U$1006,0)))),"Fix")))</f>
        <v xml:space="preserve"> </v>
      </c>
      <c r="E136" s="3" t="str">
        <f ca="1">IF(OR(INDEX($K$2:$K$1001,MATCH(ROWS($J$2:J136),$J$2:$J$1001,0),1)&gt;=100000,INDEX($Q$1005:$U$1005,1,MATCH(COLUMNS($Q$1006:T1006),$Q$1006:$U$1006,0))&gt;=100000), " ",IF(INDEX($Q$2:$U$1001,MATCH(ROWS($J$2:J136),$J$2:$J$1001,0),MATCH(COLUMNS($Q$1006:T1006),$Q$1006:$U$1006,0)), HYPERLINK("#",""), HYPERLINK(CONCATENATE("#Metadata!", ADDRESS(INDEX($L$2:$L$1001,MATCH(ROWS($J$2:J136),$J$2:$J$1001,0),0), INDEX($Q$1004:$U$1004,1,MATCH(COLUMNS($Q$1006:T1006),$Q$1006:$U$1006,0)))),"Fix")))</f>
        <v xml:space="preserve"> </v>
      </c>
      <c r="F136" s="3" t="str">
        <f ca="1">IF(OR(INDEX($K$2:$K$1001,MATCH(ROWS($J$2:J136),$J$2:$J$1001,0),1)&gt;=100000,INDEX($Q$1005:$U$1005,1,MATCH(COLUMNS($Q$1006:U1006),$Q$1006:$U$1006,0))&gt;=100000), " ",IF(INDEX($Q$2:$U$1001,MATCH(ROWS($J$2:J136),$J$2:$J$1001,0),MATCH(COLUMNS($Q$1006:U1006),$Q$1006:$U$1006,0)), HYPERLINK("#",""), HYPERLINK(CONCATENATE("#Metadata!", ADDRESS(INDEX($L$2:$L$1001,MATCH(ROWS($J$2:J136),$J$2:$J$1001,0),0), INDEX($Q$1004:$U$1004,1,MATCH(COLUMNS($Q$1006:U1006),$Q$1006:$U$1006,0)))),"Fix")))</f>
        <v xml:space="preserve"> </v>
      </c>
      <c r="J136">
        <f ca="1"/>
        <v>135</v>
      </c>
      <c r="K136">
        <v>100136</v>
      </c>
      <c r="L136">
        <v>136</v>
      </c>
      <c r="M136" t="b">
        <f t="shared" si="2"/>
        <v>1</v>
      </c>
      <c r="N136" t="b">
        <f>COUNTBLANK(Metadata!B136:F136)=COLUMNS(Metadata!B136:F136)</f>
        <v>1</v>
      </c>
      <c r="O136" t="str">
        <v/>
      </c>
      <c r="Q136" t="b">
        <f ca="1"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R136" t="b">
        <f>IF(Metadata!C136="",FALSE,TRUE)</f>
        <v>0</v>
      </c>
      <c r="S136" t="b">
        <f>OR(AND(IF(Metadata!D136="",FALSE,TRUE),EXACT(Metadata!D136,"missing: not collected")),AND(IF(Metadata!D136="",FALSE,TRUE),OR(EXACT(Metadata!D136,"t"),EXACT(Metadata!D136,"f"))))</f>
        <v>0</v>
      </c>
      <c r="T136" t="b">
        <f>AND(IF(Metadata!E136="",FALSE,TRUE),OR(EXACT(Metadata!E136,"a"),EXACT(Metadata!E136,"b")))</f>
        <v>0</v>
      </c>
      <c r="U136" t="b">
        <f>OR(AND(IF(Metadata!F136="",FALSE,TRUE),OR(EXACT(Metadata!F136,"missing: not collected"),EXACT(Metadata!F136,"missing: not provided"))),AND(IF(Metadata!F136="",FALSE,TRUE),OR(EXACT(Metadata!F136,"lo"),EXACT(Metadata!F136,"med"),EXACT(Metadata!F136,"hi"))))</f>
        <v>0</v>
      </c>
    </row>
    <row r="137" spans="1:21" x14ac:dyDescent="0.2">
      <c r="A137" s="4" t="str">
        <f ca="1">IF(B137=" "," ",HYPERLINK(CONCATENATE("#metadata!",ADDRESS(INDEX($L$2:$L$1001,MATCH(ROWS($J$2:J137),$J$2:$J$1001,0),0),1)),INDEX($O$2:$O$1001,MATCH(ROWS($J$2:J137),$J$2:$J$1001,0),0)))</f>
        <v xml:space="preserve"> </v>
      </c>
      <c r="B137" s="3" t="str">
        <f ca="1">IF(OR(INDEX($K$2:$K$1001,MATCH(ROWS($J$2:J137),$J$2:$J$1001,0),1)&gt;=100000,INDEX($Q$1005:$U$1005,1,MATCH(COLUMNS($Q$1006:Q1006),$Q$1006:$U$1006,0))&gt;=100000), " ",IF(INDEX($Q$2:$U$1001,MATCH(ROWS($J$2:J137),$J$2:$J$1001,0),MATCH(COLUMNS($Q$1006:Q1006),$Q$1006:$U$1006,0)), HYPERLINK("#",""), HYPERLINK(CONCATENATE("#Metadata!", ADDRESS(INDEX($L$2:$L$1001,MATCH(ROWS($J$2:J137),$J$2:$J$1001,0),0), INDEX($Q$1004:$U$1004,1,MATCH(COLUMNS($Q$1006:Q1006),$Q$1006:$U$1006,0)))),"Fix")))</f>
        <v xml:space="preserve"> </v>
      </c>
      <c r="C137" s="3" t="str">
        <f ca="1">IF(OR(INDEX($K$2:$K$1001,MATCH(ROWS($J$2:J137),$J$2:$J$1001,0),1)&gt;=100000,INDEX($Q$1005:$U$1005,1,MATCH(COLUMNS($Q$1006:R1006),$Q$1006:$U$1006,0))&gt;=100000), " ",IF(INDEX($Q$2:$U$1001,MATCH(ROWS($J$2:J137),$J$2:$J$1001,0),MATCH(COLUMNS($Q$1006:R1006),$Q$1006:$U$1006,0)), HYPERLINK("#",""), HYPERLINK(CONCATENATE("#Metadata!", ADDRESS(INDEX($L$2:$L$1001,MATCH(ROWS($J$2:J137),$J$2:$J$1001,0),0), INDEX($Q$1004:$U$1004,1,MATCH(COLUMNS($Q$1006:R1006),$Q$1006:$U$1006,0)))),"Fix")))</f>
        <v xml:space="preserve"> </v>
      </c>
      <c r="D137" s="3" t="str">
        <f ca="1">IF(OR(INDEX($K$2:$K$1001,MATCH(ROWS($J$2:J137),$J$2:$J$1001,0),1)&gt;=100000,INDEX($Q$1005:$U$1005,1,MATCH(COLUMNS($Q$1006:S1006),$Q$1006:$U$1006,0))&gt;=100000), " ",IF(INDEX($Q$2:$U$1001,MATCH(ROWS($J$2:J137),$J$2:$J$1001,0),MATCH(COLUMNS($Q$1006:S1006),$Q$1006:$U$1006,0)), HYPERLINK("#",""), HYPERLINK(CONCATENATE("#Metadata!", ADDRESS(INDEX($L$2:$L$1001,MATCH(ROWS($J$2:J137),$J$2:$J$1001,0),0), INDEX($Q$1004:$U$1004,1,MATCH(COLUMNS($Q$1006:S1006),$Q$1006:$U$1006,0)))),"Fix")))</f>
        <v xml:space="preserve"> </v>
      </c>
      <c r="E137" s="3" t="str">
        <f ca="1">IF(OR(INDEX($K$2:$K$1001,MATCH(ROWS($J$2:J137),$J$2:$J$1001,0),1)&gt;=100000,INDEX($Q$1005:$U$1005,1,MATCH(COLUMNS($Q$1006:T1006),$Q$1006:$U$1006,0))&gt;=100000), " ",IF(INDEX($Q$2:$U$1001,MATCH(ROWS($J$2:J137),$J$2:$J$1001,0),MATCH(COLUMNS($Q$1006:T1006),$Q$1006:$U$1006,0)), HYPERLINK("#",""), HYPERLINK(CONCATENATE("#Metadata!", ADDRESS(INDEX($L$2:$L$1001,MATCH(ROWS($J$2:J137),$J$2:$J$1001,0),0), INDEX($Q$1004:$U$1004,1,MATCH(COLUMNS($Q$1006:T1006),$Q$1006:$U$1006,0)))),"Fix")))</f>
        <v xml:space="preserve"> </v>
      </c>
      <c r="F137" s="3" t="str">
        <f ca="1">IF(OR(INDEX($K$2:$K$1001,MATCH(ROWS($J$2:J137),$J$2:$J$1001,0),1)&gt;=100000,INDEX($Q$1005:$U$1005,1,MATCH(COLUMNS($Q$1006:U1006),$Q$1006:$U$1006,0))&gt;=100000), " ",IF(INDEX($Q$2:$U$1001,MATCH(ROWS($J$2:J137),$J$2:$J$1001,0),MATCH(COLUMNS($Q$1006:U1006),$Q$1006:$U$1006,0)), HYPERLINK("#",""), HYPERLINK(CONCATENATE("#Metadata!", ADDRESS(INDEX($L$2:$L$1001,MATCH(ROWS($J$2:J137),$J$2:$J$1001,0),0), INDEX($Q$1004:$U$1004,1,MATCH(COLUMNS($Q$1006:U1006),$Q$1006:$U$1006,0)))),"Fix")))</f>
        <v xml:space="preserve"> </v>
      </c>
      <c r="J137">
        <f ca="1"/>
        <v>136</v>
      </c>
      <c r="K137">
        <v>100137</v>
      </c>
      <c r="L137">
        <v>137</v>
      </c>
      <c r="M137" t="b">
        <f t="shared" si="2"/>
        <v>1</v>
      </c>
      <c r="N137" t="b">
        <f>COUNTBLANK(Metadata!B137:F137)=COLUMNS(Metadata!B137:F137)</f>
        <v>1</v>
      </c>
      <c r="O137" t="str">
        <v/>
      </c>
      <c r="Q137" t="b">
        <f ca="1"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R137" t="b">
        <f>IF(Metadata!C137="",FALSE,TRUE)</f>
        <v>0</v>
      </c>
      <c r="S137" t="b">
        <f>OR(AND(IF(Metadata!D137="",FALSE,TRUE),EXACT(Metadata!D137,"missing: not collected")),AND(IF(Metadata!D137="",FALSE,TRUE),OR(EXACT(Metadata!D137,"t"),EXACT(Metadata!D137,"f"))))</f>
        <v>0</v>
      </c>
      <c r="T137" t="b">
        <f>AND(IF(Metadata!E137="",FALSE,TRUE),OR(EXACT(Metadata!E137,"a"),EXACT(Metadata!E137,"b")))</f>
        <v>0</v>
      </c>
      <c r="U137" t="b">
        <f>OR(AND(IF(Metadata!F137="",FALSE,TRUE),OR(EXACT(Metadata!F137,"missing: not collected"),EXACT(Metadata!F137,"missing: not provided"))),AND(IF(Metadata!F137="",FALSE,TRUE),OR(EXACT(Metadata!F137,"lo"),EXACT(Metadata!F137,"med"),EXACT(Metadata!F137,"hi"))))</f>
        <v>0</v>
      </c>
    </row>
    <row r="138" spans="1:21" x14ac:dyDescent="0.2">
      <c r="A138" s="4" t="str">
        <f ca="1">IF(B138=" "," ",HYPERLINK(CONCATENATE("#metadata!",ADDRESS(INDEX($L$2:$L$1001,MATCH(ROWS($J$2:J138),$J$2:$J$1001,0),0),1)),INDEX($O$2:$O$1001,MATCH(ROWS($J$2:J138),$J$2:$J$1001,0),0)))</f>
        <v xml:space="preserve"> </v>
      </c>
      <c r="B138" s="3" t="str">
        <f ca="1">IF(OR(INDEX($K$2:$K$1001,MATCH(ROWS($J$2:J138),$J$2:$J$1001,0),1)&gt;=100000,INDEX($Q$1005:$U$1005,1,MATCH(COLUMNS($Q$1006:Q1006),$Q$1006:$U$1006,0))&gt;=100000), " ",IF(INDEX($Q$2:$U$1001,MATCH(ROWS($J$2:J138),$J$2:$J$1001,0),MATCH(COLUMNS($Q$1006:Q1006),$Q$1006:$U$1006,0)), HYPERLINK("#",""), HYPERLINK(CONCATENATE("#Metadata!", ADDRESS(INDEX($L$2:$L$1001,MATCH(ROWS($J$2:J138),$J$2:$J$1001,0),0), INDEX($Q$1004:$U$1004,1,MATCH(COLUMNS($Q$1006:Q1006),$Q$1006:$U$1006,0)))),"Fix")))</f>
        <v xml:space="preserve"> </v>
      </c>
      <c r="C138" s="3" t="str">
        <f ca="1">IF(OR(INDEX($K$2:$K$1001,MATCH(ROWS($J$2:J138),$J$2:$J$1001,0),1)&gt;=100000,INDEX($Q$1005:$U$1005,1,MATCH(COLUMNS($Q$1006:R1006),$Q$1006:$U$1006,0))&gt;=100000), " ",IF(INDEX($Q$2:$U$1001,MATCH(ROWS($J$2:J138),$J$2:$J$1001,0),MATCH(COLUMNS($Q$1006:R1006),$Q$1006:$U$1006,0)), HYPERLINK("#",""), HYPERLINK(CONCATENATE("#Metadata!", ADDRESS(INDEX($L$2:$L$1001,MATCH(ROWS($J$2:J138),$J$2:$J$1001,0),0), INDEX($Q$1004:$U$1004,1,MATCH(COLUMNS($Q$1006:R1006),$Q$1006:$U$1006,0)))),"Fix")))</f>
        <v xml:space="preserve"> </v>
      </c>
      <c r="D138" s="3" t="str">
        <f ca="1">IF(OR(INDEX($K$2:$K$1001,MATCH(ROWS($J$2:J138),$J$2:$J$1001,0),1)&gt;=100000,INDEX($Q$1005:$U$1005,1,MATCH(COLUMNS($Q$1006:S1006),$Q$1006:$U$1006,0))&gt;=100000), " ",IF(INDEX($Q$2:$U$1001,MATCH(ROWS($J$2:J138),$J$2:$J$1001,0),MATCH(COLUMNS($Q$1006:S1006),$Q$1006:$U$1006,0)), HYPERLINK("#",""), HYPERLINK(CONCATENATE("#Metadata!", ADDRESS(INDEX($L$2:$L$1001,MATCH(ROWS($J$2:J138),$J$2:$J$1001,0),0), INDEX($Q$1004:$U$1004,1,MATCH(COLUMNS($Q$1006:S1006),$Q$1006:$U$1006,0)))),"Fix")))</f>
        <v xml:space="preserve"> </v>
      </c>
      <c r="E138" s="3" t="str">
        <f ca="1">IF(OR(INDEX($K$2:$K$1001,MATCH(ROWS($J$2:J138),$J$2:$J$1001,0),1)&gt;=100000,INDEX($Q$1005:$U$1005,1,MATCH(COLUMNS($Q$1006:T1006),$Q$1006:$U$1006,0))&gt;=100000), " ",IF(INDEX($Q$2:$U$1001,MATCH(ROWS($J$2:J138),$J$2:$J$1001,0),MATCH(COLUMNS($Q$1006:T1006),$Q$1006:$U$1006,0)), HYPERLINK("#",""), HYPERLINK(CONCATENATE("#Metadata!", ADDRESS(INDEX($L$2:$L$1001,MATCH(ROWS($J$2:J138),$J$2:$J$1001,0),0), INDEX($Q$1004:$U$1004,1,MATCH(COLUMNS($Q$1006:T1006),$Q$1006:$U$1006,0)))),"Fix")))</f>
        <v xml:space="preserve"> </v>
      </c>
      <c r="F138" s="3" t="str">
        <f ca="1">IF(OR(INDEX($K$2:$K$1001,MATCH(ROWS($J$2:J138),$J$2:$J$1001,0),1)&gt;=100000,INDEX($Q$1005:$U$1005,1,MATCH(COLUMNS($Q$1006:U1006),$Q$1006:$U$1006,0))&gt;=100000), " ",IF(INDEX($Q$2:$U$1001,MATCH(ROWS($J$2:J138),$J$2:$J$1001,0),MATCH(COLUMNS($Q$1006:U1006),$Q$1006:$U$1006,0)), HYPERLINK("#",""), HYPERLINK(CONCATENATE("#Metadata!", ADDRESS(INDEX($L$2:$L$1001,MATCH(ROWS($J$2:J138),$J$2:$J$1001,0),0), INDEX($Q$1004:$U$1004,1,MATCH(COLUMNS($Q$1006:U1006),$Q$1006:$U$1006,0)))),"Fix")))</f>
        <v xml:space="preserve"> </v>
      </c>
      <c r="J138">
        <f ca="1"/>
        <v>137</v>
      </c>
      <c r="K138">
        <v>100138</v>
      </c>
      <c r="L138">
        <v>138</v>
      </c>
      <c r="M138" t="b">
        <f t="shared" si="2"/>
        <v>1</v>
      </c>
      <c r="N138" t="b">
        <f>COUNTBLANK(Metadata!B138:F138)=COLUMNS(Metadata!B138:F138)</f>
        <v>1</v>
      </c>
      <c r="O138" t="str">
        <v/>
      </c>
      <c r="Q138" t="b">
        <f ca="1"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R138" t="b">
        <f>IF(Metadata!C138="",FALSE,TRUE)</f>
        <v>0</v>
      </c>
      <c r="S138" t="b">
        <f>OR(AND(IF(Metadata!D138="",FALSE,TRUE),EXACT(Metadata!D138,"missing: not collected")),AND(IF(Metadata!D138="",FALSE,TRUE),OR(EXACT(Metadata!D138,"t"),EXACT(Metadata!D138,"f"))))</f>
        <v>0</v>
      </c>
      <c r="T138" t="b">
        <f>AND(IF(Metadata!E138="",FALSE,TRUE),OR(EXACT(Metadata!E138,"a"),EXACT(Metadata!E138,"b")))</f>
        <v>0</v>
      </c>
      <c r="U138" t="b">
        <f>OR(AND(IF(Metadata!F138="",FALSE,TRUE),OR(EXACT(Metadata!F138,"missing: not collected"),EXACT(Metadata!F138,"missing: not provided"))),AND(IF(Metadata!F138="",FALSE,TRUE),OR(EXACT(Metadata!F138,"lo"),EXACT(Metadata!F138,"med"),EXACT(Metadata!F138,"hi"))))</f>
        <v>0</v>
      </c>
    </row>
    <row r="139" spans="1:21" x14ac:dyDescent="0.2">
      <c r="A139" s="4" t="str">
        <f ca="1">IF(B139=" "," ",HYPERLINK(CONCATENATE("#metadata!",ADDRESS(INDEX($L$2:$L$1001,MATCH(ROWS($J$2:J139),$J$2:$J$1001,0),0),1)),INDEX($O$2:$O$1001,MATCH(ROWS($J$2:J139),$J$2:$J$1001,0),0)))</f>
        <v xml:space="preserve"> </v>
      </c>
      <c r="B139" s="3" t="str">
        <f ca="1">IF(OR(INDEX($K$2:$K$1001,MATCH(ROWS($J$2:J139),$J$2:$J$1001,0),1)&gt;=100000,INDEX($Q$1005:$U$1005,1,MATCH(COLUMNS($Q$1006:Q1006),$Q$1006:$U$1006,0))&gt;=100000), " ",IF(INDEX($Q$2:$U$1001,MATCH(ROWS($J$2:J139),$J$2:$J$1001,0),MATCH(COLUMNS($Q$1006:Q1006),$Q$1006:$U$1006,0)), HYPERLINK("#",""), HYPERLINK(CONCATENATE("#Metadata!", ADDRESS(INDEX($L$2:$L$1001,MATCH(ROWS($J$2:J139),$J$2:$J$1001,0),0), INDEX($Q$1004:$U$1004,1,MATCH(COLUMNS($Q$1006:Q1006),$Q$1006:$U$1006,0)))),"Fix")))</f>
        <v xml:space="preserve"> </v>
      </c>
      <c r="C139" s="3" t="str">
        <f ca="1">IF(OR(INDEX($K$2:$K$1001,MATCH(ROWS($J$2:J139),$J$2:$J$1001,0),1)&gt;=100000,INDEX($Q$1005:$U$1005,1,MATCH(COLUMNS($Q$1006:R1006),$Q$1006:$U$1006,0))&gt;=100000), " ",IF(INDEX($Q$2:$U$1001,MATCH(ROWS($J$2:J139),$J$2:$J$1001,0),MATCH(COLUMNS($Q$1006:R1006),$Q$1006:$U$1006,0)), HYPERLINK("#",""), HYPERLINK(CONCATENATE("#Metadata!", ADDRESS(INDEX($L$2:$L$1001,MATCH(ROWS($J$2:J139),$J$2:$J$1001,0),0), INDEX($Q$1004:$U$1004,1,MATCH(COLUMNS($Q$1006:R1006),$Q$1006:$U$1006,0)))),"Fix")))</f>
        <v xml:space="preserve"> </v>
      </c>
      <c r="D139" s="3" t="str">
        <f ca="1">IF(OR(INDEX($K$2:$K$1001,MATCH(ROWS($J$2:J139),$J$2:$J$1001,0),1)&gt;=100000,INDEX($Q$1005:$U$1005,1,MATCH(COLUMNS($Q$1006:S1006),$Q$1006:$U$1006,0))&gt;=100000), " ",IF(INDEX($Q$2:$U$1001,MATCH(ROWS($J$2:J139),$J$2:$J$1001,0),MATCH(COLUMNS($Q$1006:S1006),$Q$1006:$U$1006,0)), HYPERLINK("#",""), HYPERLINK(CONCATENATE("#Metadata!", ADDRESS(INDEX($L$2:$L$1001,MATCH(ROWS($J$2:J139),$J$2:$J$1001,0),0), INDEX($Q$1004:$U$1004,1,MATCH(COLUMNS($Q$1006:S1006),$Q$1006:$U$1006,0)))),"Fix")))</f>
        <v xml:space="preserve"> </v>
      </c>
      <c r="E139" s="3" t="str">
        <f ca="1">IF(OR(INDEX($K$2:$K$1001,MATCH(ROWS($J$2:J139),$J$2:$J$1001,0),1)&gt;=100000,INDEX($Q$1005:$U$1005,1,MATCH(COLUMNS($Q$1006:T1006),$Q$1006:$U$1006,0))&gt;=100000), " ",IF(INDEX($Q$2:$U$1001,MATCH(ROWS($J$2:J139),$J$2:$J$1001,0),MATCH(COLUMNS($Q$1006:T1006),$Q$1006:$U$1006,0)), HYPERLINK("#",""), HYPERLINK(CONCATENATE("#Metadata!", ADDRESS(INDEX($L$2:$L$1001,MATCH(ROWS($J$2:J139),$J$2:$J$1001,0),0), INDEX($Q$1004:$U$1004,1,MATCH(COLUMNS($Q$1006:T1006),$Q$1006:$U$1006,0)))),"Fix")))</f>
        <v xml:space="preserve"> </v>
      </c>
      <c r="F139" s="3" t="str">
        <f ca="1">IF(OR(INDEX($K$2:$K$1001,MATCH(ROWS($J$2:J139),$J$2:$J$1001,0),1)&gt;=100000,INDEX($Q$1005:$U$1005,1,MATCH(COLUMNS($Q$1006:U1006),$Q$1006:$U$1006,0))&gt;=100000), " ",IF(INDEX($Q$2:$U$1001,MATCH(ROWS($J$2:J139),$J$2:$J$1001,0),MATCH(COLUMNS($Q$1006:U1006),$Q$1006:$U$1006,0)), HYPERLINK("#",""), HYPERLINK(CONCATENATE("#Metadata!", ADDRESS(INDEX($L$2:$L$1001,MATCH(ROWS($J$2:J139),$J$2:$J$1001,0),0), INDEX($Q$1004:$U$1004,1,MATCH(COLUMNS($Q$1006:U1006),$Q$1006:$U$1006,0)))),"Fix")))</f>
        <v xml:space="preserve"> </v>
      </c>
      <c r="J139">
        <f ca="1"/>
        <v>138</v>
      </c>
      <c r="K139">
        <v>100139</v>
      </c>
      <c r="L139">
        <v>139</v>
      </c>
      <c r="M139" t="b">
        <f t="shared" si="2"/>
        <v>1</v>
      </c>
      <c r="N139" t="b">
        <f>COUNTBLANK(Metadata!B139:F139)=COLUMNS(Metadata!B139:F139)</f>
        <v>1</v>
      </c>
      <c r="O139" t="str">
        <v/>
      </c>
      <c r="Q139" t="b">
        <f ca="1"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R139" t="b">
        <f>IF(Metadata!C139="",FALSE,TRUE)</f>
        <v>0</v>
      </c>
      <c r="S139" t="b">
        <f>OR(AND(IF(Metadata!D139="",FALSE,TRUE),EXACT(Metadata!D139,"missing: not collected")),AND(IF(Metadata!D139="",FALSE,TRUE),OR(EXACT(Metadata!D139,"t"),EXACT(Metadata!D139,"f"))))</f>
        <v>0</v>
      </c>
      <c r="T139" t="b">
        <f>AND(IF(Metadata!E139="",FALSE,TRUE),OR(EXACT(Metadata!E139,"a"),EXACT(Metadata!E139,"b")))</f>
        <v>0</v>
      </c>
      <c r="U139" t="b">
        <f>OR(AND(IF(Metadata!F139="",FALSE,TRUE),OR(EXACT(Metadata!F139,"missing: not collected"),EXACT(Metadata!F139,"missing: not provided"))),AND(IF(Metadata!F139="",FALSE,TRUE),OR(EXACT(Metadata!F139,"lo"),EXACT(Metadata!F139,"med"),EXACT(Metadata!F139,"hi"))))</f>
        <v>0</v>
      </c>
    </row>
    <row r="140" spans="1:21" x14ac:dyDescent="0.2">
      <c r="A140" s="4" t="str">
        <f ca="1">IF(B140=" "," ",HYPERLINK(CONCATENATE("#metadata!",ADDRESS(INDEX($L$2:$L$1001,MATCH(ROWS($J$2:J140),$J$2:$J$1001,0),0),1)),INDEX($O$2:$O$1001,MATCH(ROWS($J$2:J140),$J$2:$J$1001,0),0)))</f>
        <v xml:space="preserve"> </v>
      </c>
      <c r="B140" s="3" t="str">
        <f ca="1">IF(OR(INDEX($K$2:$K$1001,MATCH(ROWS($J$2:J140),$J$2:$J$1001,0),1)&gt;=100000,INDEX($Q$1005:$U$1005,1,MATCH(COLUMNS($Q$1006:Q1006),$Q$1006:$U$1006,0))&gt;=100000), " ",IF(INDEX($Q$2:$U$1001,MATCH(ROWS($J$2:J140),$J$2:$J$1001,0),MATCH(COLUMNS($Q$1006:Q1006),$Q$1006:$U$1006,0)), HYPERLINK("#",""), HYPERLINK(CONCATENATE("#Metadata!", ADDRESS(INDEX($L$2:$L$1001,MATCH(ROWS($J$2:J140),$J$2:$J$1001,0),0), INDEX($Q$1004:$U$1004,1,MATCH(COLUMNS($Q$1006:Q1006),$Q$1006:$U$1006,0)))),"Fix")))</f>
        <v xml:space="preserve"> </v>
      </c>
      <c r="C140" s="3" t="str">
        <f ca="1">IF(OR(INDEX($K$2:$K$1001,MATCH(ROWS($J$2:J140),$J$2:$J$1001,0),1)&gt;=100000,INDEX($Q$1005:$U$1005,1,MATCH(COLUMNS($Q$1006:R1006),$Q$1006:$U$1006,0))&gt;=100000), " ",IF(INDEX($Q$2:$U$1001,MATCH(ROWS($J$2:J140),$J$2:$J$1001,0),MATCH(COLUMNS($Q$1006:R1006),$Q$1006:$U$1006,0)), HYPERLINK("#",""), HYPERLINK(CONCATENATE("#Metadata!", ADDRESS(INDEX($L$2:$L$1001,MATCH(ROWS($J$2:J140),$J$2:$J$1001,0),0), INDEX($Q$1004:$U$1004,1,MATCH(COLUMNS($Q$1006:R1006),$Q$1006:$U$1006,0)))),"Fix")))</f>
        <v xml:space="preserve"> </v>
      </c>
      <c r="D140" s="3" t="str">
        <f ca="1">IF(OR(INDEX($K$2:$K$1001,MATCH(ROWS($J$2:J140),$J$2:$J$1001,0),1)&gt;=100000,INDEX($Q$1005:$U$1005,1,MATCH(COLUMNS($Q$1006:S1006),$Q$1006:$U$1006,0))&gt;=100000), " ",IF(INDEX($Q$2:$U$1001,MATCH(ROWS($J$2:J140),$J$2:$J$1001,0),MATCH(COLUMNS($Q$1006:S1006),$Q$1006:$U$1006,0)), HYPERLINK("#",""), HYPERLINK(CONCATENATE("#Metadata!", ADDRESS(INDEX($L$2:$L$1001,MATCH(ROWS($J$2:J140),$J$2:$J$1001,0),0), INDEX($Q$1004:$U$1004,1,MATCH(COLUMNS($Q$1006:S1006),$Q$1006:$U$1006,0)))),"Fix")))</f>
        <v xml:space="preserve"> </v>
      </c>
      <c r="E140" s="3" t="str">
        <f ca="1">IF(OR(INDEX($K$2:$K$1001,MATCH(ROWS($J$2:J140),$J$2:$J$1001,0),1)&gt;=100000,INDEX($Q$1005:$U$1005,1,MATCH(COLUMNS($Q$1006:T1006),$Q$1006:$U$1006,0))&gt;=100000), " ",IF(INDEX($Q$2:$U$1001,MATCH(ROWS($J$2:J140),$J$2:$J$1001,0),MATCH(COLUMNS($Q$1006:T1006),$Q$1006:$U$1006,0)), HYPERLINK("#",""), HYPERLINK(CONCATENATE("#Metadata!", ADDRESS(INDEX($L$2:$L$1001,MATCH(ROWS($J$2:J140),$J$2:$J$1001,0),0), INDEX($Q$1004:$U$1004,1,MATCH(COLUMNS($Q$1006:T1006),$Q$1006:$U$1006,0)))),"Fix")))</f>
        <v xml:space="preserve"> </v>
      </c>
      <c r="F140" s="3" t="str">
        <f ca="1">IF(OR(INDEX($K$2:$K$1001,MATCH(ROWS($J$2:J140),$J$2:$J$1001,0),1)&gt;=100000,INDEX($Q$1005:$U$1005,1,MATCH(COLUMNS($Q$1006:U1006),$Q$1006:$U$1006,0))&gt;=100000), " ",IF(INDEX($Q$2:$U$1001,MATCH(ROWS($J$2:J140),$J$2:$J$1001,0),MATCH(COLUMNS($Q$1006:U1006),$Q$1006:$U$1006,0)), HYPERLINK("#",""), HYPERLINK(CONCATENATE("#Metadata!", ADDRESS(INDEX($L$2:$L$1001,MATCH(ROWS($J$2:J140),$J$2:$J$1001,0),0), INDEX($Q$1004:$U$1004,1,MATCH(COLUMNS($Q$1006:U1006),$Q$1006:$U$1006,0)))),"Fix")))</f>
        <v xml:space="preserve"> </v>
      </c>
      <c r="J140">
        <f ca="1"/>
        <v>139</v>
      </c>
      <c r="K140">
        <v>100140</v>
      </c>
      <c r="L140">
        <v>140</v>
      </c>
      <c r="M140" t="b">
        <f t="shared" si="2"/>
        <v>1</v>
      </c>
      <c r="N140" t="b">
        <f>COUNTBLANK(Metadata!B140:F140)=COLUMNS(Metadata!B140:F140)</f>
        <v>1</v>
      </c>
      <c r="O140" t="str">
        <v/>
      </c>
      <c r="Q140" t="b">
        <f ca="1"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R140" t="b">
        <f>IF(Metadata!C140="",FALSE,TRUE)</f>
        <v>0</v>
      </c>
      <c r="S140" t="b">
        <f>OR(AND(IF(Metadata!D140="",FALSE,TRUE),EXACT(Metadata!D140,"missing: not collected")),AND(IF(Metadata!D140="",FALSE,TRUE),OR(EXACT(Metadata!D140,"t"),EXACT(Metadata!D140,"f"))))</f>
        <v>0</v>
      </c>
      <c r="T140" t="b">
        <f>AND(IF(Metadata!E140="",FALSE,TRUE),OR(EXACT(Metadata!E140,"a"),EXACT(Metadata!E140,"b")))</f>
        <v>0</v>
      </c>
      <c r="U140" t="b">
        <f>OR(AND(IF(Metadata!F140="",FALSE,TRUE),OR(EXACT(Metadata!F140,"missing: not collected"),EXACT(Metadata!F140,"missing: not provided"))),AND(IF(Metadata!F140="",FALSE,TRUE),OR(EXACT(Metadata!F140,"lo"),EXACT(Metadata!F140,"med"),EXACT(Metadata!F140,"hi"))))</f>
        <v>0</v>
      </c>
    </row>
    <row r="141" spans="1:21" x14ac:dyDescent="0.2">
      <c r="A141" s="4" t="str">
        <f ca="1">IF(B141=" "," ",HYPERLINK(CONCATENATE("#metadata!",ADDRESS(INDEX($L$2:$L$1001,MATCH(ROWS($J$2:J141),$J$2:$J$1001,0),0),1)),INDEX($O$2:$O$1001,MATCH(ROWS($J$2:J141),$J$2:$J$1001,0),0)))</f>
        <v xml:space="preserve"> </v>
      </c>
      <c r="B141" s="3" t="str">
        <f ca="1">IF(OR(INDEX($K$2:$K$1001,MATCH(ROWS($J$2:J141),$J$2:$J$1001,0),1)&gt;=100000,INDEX($Q$1005:$U$1005,1,MATCH(COLUMNS($Q$1006:Q1006),$Q$1006:$U$1006,0))&gt;=100000), " ",IF(INDEX($Q$2:$U$1001,MATCH(ROWS($J$2:J141),$J$2:$J$1001,0),MATCH(COLUMNS($Q$1006:Q1006),$Q$1006:$U$1006,0)), HYPERLINK("#",""), HYPERLINK(CONCATENATE("#Metadata!", ADDRESS(INDEX($L$2:$L$1001,MATCH(ROWS($J$2:J141),$J$2:$J$1001,0),0), INDEX($Q$1004:$U$1004,1,MATCH(COLUMNS($Q$1006:Q1006),$Q$1006:$U$1006,0)))),"Fix")))</f>
        <v xml:space="preserve"> </v>
      </c>
      <c r="C141" s="3" t="str">
        <f ca="1">IF(OR(INDEX($K$2:$K$1001,MATCH(ROWS($J$2:J141),$J$2:$J$1001,0),1)&gt;=100000,INDEX($Q$1005:$U$1005,1,MATCH(COLUMNS($Q$1006:R1006),$Q$1006:$U$1006,0))&gt;=100000), " ",IF(INDEX($Q$2:$U$1001,MATCH(ROWS($J$2:J141),$J$2:$J$1001,0),MATCH(COLUMNS($Q$1006:R1006),$Q$1006:$U$1006,0)), HYPERLINK("#",""), HYPERLINK(CONCATENATE("#Metadata!", ADDRESS(INDEX($L$2:$L$1001,MATCH(ROWS($J$2:J141),$J$2:$J$1001,0),0), INDEX($Q$1004:$U$1004,1,MATCH(COLUMNS($Q$1006:R1006),$Q$1006:$U$1006,0)))),"Fix")))</f>
        <v xml:space="preserve"> </v>
      </c>
      <c r="D141" s="3" t="str">
        <f ca="1">IF(OR(INDEX($K$2:$K$1001,MATCH(ROWS($J$2:J141),$J$2:$J$1001,0),1)&gt;=100000,INDEX($Q$1005:$U$1005,1,MATCH(COLUMNS($Q$1006:S1006),$Q$1006:$U$1006,0))&gt;=100000), " ",IF(INDEX($Q$2:$U$1001,MATCH(ROWS($J$2:J141),$J$2:$J$1001,0),MATCH(COLUMNS($Q$1006:S1006),$Q$1006:$U$1006,0)), HYPERLINK("#",""), HYPERLINK(CONCATENATE("#Metadata!", ADDRESS(INDEX($L$2:$L$1001,MATCH(ROWS($J$2:J141),$J$2:$J$1001,0),0), INDEX($Q$1004:$U$1004,1,MATCH(COLUMNS($Q$1006:S1006),$Q$1006:$U$1006,0)))),"Fix")))</f>
        <v xml:space="preserve"> </v>
      </c>
      <c r="E141" s="3" t="str">
        <f ca="1">IF(OR(INDEX($K$2:$K$1001,MATCH(ROWS($J$2:J141),$J$2:$J$1001,0),1)&gt;=100000,INDEX($Q$1005:$U$1005,1,MATCH(COLUMNS($Q$1006:T1006),$Q$1006:$U$1006,0))&gt;=100000), " ",IF(INDEX($Q$2:$U$1001,MATCH(ROWS($J$2:J141),$J$2:$J$1001,0),MATCH(COLUMNS($Q$1006:T1006),$Q$1006:$U$1006,0)), HYPERLINK("#",""), HYPERLINK(CONCATENATE("#Metadata!", ADDRESS(INDEX($L$2:$L$1001,MATCH(ROWS($J$2:J141),$J$2:$J$1001,0),0), INDEX($Q$1004:$U$1004,1,MATCH(COLUMNS($Q$1006:T1006),$Q$1006:$U$1006,0)))),"Fix")))</f>
        <v xml:space="preserve"> </v>
      </c>
      <c r="F141" s="3" t="str">
        <f ca="1">IF(OR(INDEX($K$2:$K$1001,MATCH(ROWS($J$2:J141),$J$2:$J$1001,0),1)&gt;=100000,INDEX($Q$1005:$U$1005,1,MATCH(COLUMNS($Q$1006:U1006),$Q$1006:$U$1006,0))&gt;=100000), " ",IF(INDEX($Q$2:$U$1001,MATCH(ROWS($J$2:J141),$J$2:$J$1001,0),MATCH(COLUMNS($Q$1006:U1006),$Q$1006:$U$1006,0)), HYPERLINK("#",""), HYPERLINK(CONCATENATE("#Metadata!", ADDRESS(INDEX($L$2:$L$1001,MATCH(ROWS($J$2:J141),$J$2:$J$1001,0),0), INDEX($Q$1004:$U$1004,1,MATCH(COLUMNS($Q$1006:U1006),$Q$1006:$U$1006,0)))),"Fix")))</f>
        <v xml:space="preserve"> </v>
      </c>
      <c r="J141">
        <f ca="1"/>
        <v>140</v>
      </c>
      <c r="K141">
        <v>100141</v>
      </c>
      <c r="L141">
        <v>141</v>
      </c>
      <c r="M141" t="b">
        <f t="shared" si="2"/>
        <v>1</v>
      </c>
      <c r="N141" t="b">
        <f>COUNTBLANK(Metadata!B141:F141)=COLUMNS(Metadata!B141:F141)</f>
        <v>1</v>
      </c>
      <c r="O141" t="str">
        <v/>
      </c>
      <c r="Q141" t="b">
        <f ca="1"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R141" t="b">
        <f>IF(Metadata!C141="",FALSE,TRUE)</f>
        <v>0</v>
      </c>
      <c r="S141" t="b">
        <f>OR(AND(IF(Metadata!D141="",FALSE,TRUE),EXACT(Metadata!D141,"missing: not collected")),AND(IF(Metadata!D141="",FALSE,TRUE),OR(EXACT(Metadata!D141,"t"),EXACT(Metadata!D141,"f"))))</f>
        <v>0</v>
      </c>
      <c r="T141" t="b">
        <f>AND(IF(Metadata!E141="",FALSE,TRUE),OR(EXACT(Metadata!E141,"a"),EXACT(Metadata!E141,"b")))</f>
        <v>0</v>
      </c>
      <c r="U141" t="b">
        <f>OR(AND(IF(Metadata!F141="",FALSE,TRUE),OR(EXACT(Metadata!F141,"missing: not collected"),EXACT(Metadata!F141,"missing: not provided"))),AND(IF(Metadata!F141="",FALSE,TRUE),OR(EXACT(Metadata!F141,"lo"),EXACT(Metadata!F141,"med"),EXACT(Metadata!F141,"hi"))))</f>
        <v>0</v>
      </c>
    </row>
    <row r="142" spans="1:21" x14ac:dyDescent="0.2">
      <c r="A142" s="4" t="str">
        <f ca="1">IF(B142=" "," ",HYPERLINK(CONCATENATE("#metadata!",ADDRESS(INDEX($L$2:$L$1001,MATCH(ROWS($J$2:J142),$J$2:$J$1001,0),0),1)),INDEX($O$2:$O$1001,MATCH(ROWS($J$2:J142),$J$2:$J$1001,0),0)))</f>
        <v xml:space="preserve"> </v>
      </c>
      <c r="B142" s="3" t="str">
        <f ca="1">IF(OR(INDEX($K$2:$K$1001,MATCH(ROWS($J$2:J142),$J$2:$J$1001,0),1)&gt;=100000,INDEX($Q$1005:$U$1005,1,MATCH(COLUMNS($Q$1006:Q1006),$Q$1006:$U$1006,0))&gt;=100000), " ",IF(INDEX($Q$2:$U$1001,MATCH(ROWS($J$2:J142),$J$2:$J$1001,0),MATCH(COLUMNS($Q$1006:Q1006),$Q$1006:$U$1006,0)), HYPERLINK("#",""), HYPERLINK(CONCATENATE("#Metadata!", ADDRESS(INDEX($L$2:$L$1001,MATCH(ROWS($J$2:J142),$J$2:$J$1001,0),0), INDEX($Q$1004:$U$1004,1,MATCH(COLUMNS($Q$1006:Q1006),$Q$1006:$U$1006,0)))),"Fix")))</f>
        <v xml:space="preserve"> </v>
      </c>
      <c r="C142" s="3" t="str">
        <f ca="1">IF(OR(INDEX($K$2:$K$1001,MATCH(ROWS($J$2:J142),$J$2:$J$1001,0),1)&gt;=100000,INDEX($Q$1005:$U$1005,1,MATCH(COLUMNS($Q$1006:R1006),$Q$1006:$U$1006,0))&gt;=100000), " ",IF(INDEX($Q$2:$U$1001,MATCH(ROWS($J$2:J142),$J$2:$J$1001,0),MATCH(COLUMNS($Q$1006:R1006),$Q$1006:$U$1006,0)), HYPERLINK("#",""), HYPERLINK(CONCATENATE("#Metadata!", ADDRESS(INDEX($L$2:$L$1001,MATCH(ROWS($J$2:J142),$J$2:$J$1001,0),0), INDEX($Q$1004:$U$1004,1,MATCH(COLUMNS($Q$1006:R1006),$Q$1006:$U$1006,0)))),"Fix")))</f>
        <v xml:space="preserve"> </v>
      </c>
      <c r="D142" s="3" t="str">
        <f ca="1">IF(OR(INDEX($K$2:$K$1001,MATCH(ROWS($J$2:J142),$J$2:$J$1001,0),1)&gt;=100000,INDEX($Q$1005:$U$1005,1,MATCH(COLUMNS($Q$1006:S1006),$Q$1006:$U$1006,0))&gt;=100000), " ",IF(INDEX($Q$2:$U$1001,MATCH(ROWS($J$2:J142),$J$2:$J$1001,0),MATCH(COLUMNS($Q$1006:S1006),$Q$1006:$U$1006,0)), HYPERLINK("#",""), HYPERLINK(CONCATENATE("#Metadata!", ADDRESS(INDEX($L$2:$L$1001,MATCH(ROWS($J$2:J142),$J$2:$J$1001,0),0), INDEX($Q$1004:$U$1004,1,MATCH(COLUMNS($Q$1006:S1006),$Q$1006:$U$1006,0)))),"Fix")))</f>
        <v xml:space="preserve"> </v>
      </c>
      <c r="E142" s="3" t="str">
        <f ca="1">IF(OR(INDEX($K$2:$K$1001,MATCH(ROWS($J$2:J142),$J$2:$J$1001,0),1)&gt;=100000,INDEX($Q$1005:$U$1005,1,MATCH(COLUMNS($Q$1006:T1006),$Q$1006:$U$1006,0))&gt;=100000), " ",IF(INDEX($Q$2:$U$1001,MATCH(ROWS($J$2:J142),$J$2:$J$1001,0),MATCH(COLUMNS($Q$1006:T1006),$Q$1006:$U$1006,0)), HYPERLINK("#",""), HYPERLINK(CONCATENATE("#Metadata!", ADDRESS(INDEX($L$2:$L$1001,MATCH(ROWS($J$2:J142),$J$2:$J$1001,0),0), INDEX($Q$1004:$U$1004,1,MATCH(COLUMNS($Q$1006:T1006),$Q$1006:$U$1006,0)))),"Fix")))</f>
        <v xml:space="preserve"> </v>
      </c>
      <c r="F142" s="3" t="str">
        <f ca="1">IF(OR(INDEX($K$2:$K$1001,MATCH(ROWS($J$2:J142),$J$2:$J$1001,0),1)&gt;=100000,INDEX($Q$1005:$U$1005,1,MATCH(COLUMNS($Q$1006:U1006),$Q$1006:$U$1006,0))&gt;=100000), " ",IF(INDEX($Q$2:$U$1001,MATCH(ROWS($J$2:J142),$J$2:$J$1001,0),MATCH(COLUMNS($Q$1006:U1006),$Q$1006:$U$1006,0)), HYPERLINK("#",""), HYPERLINK(CONCATENATE("#Metadata!", ADDRESS(INDEX($L$2:$L$1001,MATCH(ROWS($J$2:J142),$J$2:$J$1001,0),0), INDEX($Q$1004:$U$1004,1,MATCH(COLUMNS($Q$1006:U1006),$Q$1006:$U$1006,0)))),"Fix")))</f>
        <v xml:space="preserve"> </v>
      </c>
      <c r="J142">
        <f ca="1"/>
        <v>141</v>
      </c>
      <c r="K142">
        <v>100142</v>
      </c>
      <c r="L142">
        <v>142</v>
      </c>
      <c r="M142" t="b">
        <f t="shared" si="2"/>
        <v>1</v>
      </c>
      <c r="N142" t="b">
        <f>COUNTBLANK(Metadata!B142:F142)=COLUMNS(Metadata!B142:F142)</f>
        <v>1</v>
      </c>
      <c r="O142" t="str">
        <v/>
      </c>
      <c r="Q142" t="b">
        <f ca="1"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R142" t="b">
        <f>IF(Metadata!C142="",FALSE,TRUE)</f>
        <v>0</v>
      </c>
      <c r="S142" t="b">
        <f>OR(AND(IF(Metadata!D142="",FALSE,TRUE),EXACT(Metadata!D142,"missing: not collected")),AND(IF(Metadata!D142="",FALSE,TRUE),OR(EXACT(Metadata!D142,"t"),EXACT(Metadata!D142,"f"))))</f>
        <v>0</v>
      </c>
      <c r="T142" t="b">
        <f>AND(IF(Metadata!E142="",FALSE,TRUE),OR(EXACT(Metadata!E142,"a"),EXACT(Metadata!E142,"b")))</f>
        <v>0</v>
      </c>
      <c r="U142" t="b">
        <f>OR(AND(IF(Metadata!F142="",FALSE,TRUE),OR(EXACT(Metadata!F142,"missing: not collected"),EXACT(Metadata!F142,"missing: not provided"))),AND(IF(Metadata!F142="",FALSE,TRUE),OR(EXACT(Metadata!F142,"lo"),EXACT(Metadata!F142,"med"),EXACT(Metadata!F142,"hi"))))</f>
        <v>0</v>
      </c>
    </row>
    <row r="143" spans="1:21" x14ac:dyDescent="0.2">
      <c r="A143" s="4" t="str">
        <f ca="1">IF(B143=" "," ",HYPERLINK(CONCATENATE("#metadata!",ADDRESS(INDEX($L$2:$L$1001,MATCH(ROWS($J$2:J143),$J$2:$J$1001,0),0),1)),INDEX($O$2:$O$1001,MATCH(ROWS($J$2:J143),$J$2:$J$1001,0),0)))</f>
        <v xml:space="preserve"> </v>
      </c>
      <c r="B143" s="3" t="str">
        <f ca="1">IF(OR(INDEX($K$2:$K$1001,MATCH(ROWS($J$2:J143),$J$2:$J$1001,0),1)&gt;=100000,INDEX($Q$1005:$U$1005,1,MATCH(COLUMNS($Q$1006:Q1006),$Q$1006:$U$1006,0))&gt;=100000), " ",IF(INDEX($Q$2:$U$1001,MATCH(ROWS($J$2:J143),$J$2:$J$1001,0),MATCH(COLUMNS($Q$1006:Q1006),$Q$1006:$U$1006,0)), HYPERLINK("#",""), HYPERLINK(CONCATENATE("#Metadata!", ADDRESS(INDEX($L$2:$L$1001,MATCH(ROWS($J$2:J143),$J$2:$J$1001,0),0), INDEX($Q$1004:$U$1004,1,MATCH(COLUMNS($Q$1006:Q1006),$Q$1006:$U$1006,0)))),"Fix")))</f>
        <v xml:space="preserve"> </v>
      </c>
      <c r="C143" s="3" t="str">
        <f ca="1">IF(OR(INDEX($K$2:$K$1001,MATCH(ROWS($J$2:J143),$J$2:$J$1001,0),1)&gt;=100000,INDEX($Q$1005:$U$1005,1,MATCH(COLUMNS($Q$1006:R1006),$Q$1006:$U$1006,0))&gt;=100000), " ",IF(INDEX($Q$2:$U$1001,MATCH(ROWS($J$2:J143),$J$2:$J$1001,0),MATCH(COLUMNS($Q$1006:R1006),$Q$1006:$U$1006,0)), HYPERLINK("#",""), HYPERLINK(CONCATENATE("#Metadata!", ADDRESS(INDEX($L$2:$L$1001,MATCH(ROWS($J$2:J143),$J$2:$J$1001,0),0), INDEX($Q$1004:$U$1004,1,MATCH(COLUMNS($Q$1006:R1006),$Q$1006:$U$1006,0)))),"Fix")))</f>
        <v xml:space="preserve"> </v>
      </c>
      <c r="D143" s="3" t="str">
        <f ca="1">IF(OR(INDEX($K$2:$K$1001,MATCH(ROWS($J$2:J143),$J$2:$J$1001,0),1)&gt;=100000,INDEX($Q$1005:$U$1005,1,MATCH(COLUMNS($Q$1006:S1006),$Q$1006:$U$1006,0))&gt;=100000), " ",IF(INDEX($Q$2:$U$1001,MATCH(ROWS($J$2:J143),$J$2:$J$1001,0),MATCH(COLUMNS($Q$1006:S1006),$Q$1006:$U$1006,0)), HYPERLINK("#",""), HYPERLINK(CONCATENATE("#Metadata!", ADDRESS(INDEX($L$2:$L$1001,MATCH(ROWS($J$2:J143),$J$2:$J$1001,0),0), INDEX($Q$1004:$U$1004,1,MATCH(COLUMNS($Q$1006:S1006),$Q$1006:$U$1006,0)))),"Fix")))</f>
        <v xml:space="preserve"> </v>
      </c>
      <c r="E143" s="3" t="str">
        <f ca="1">IF(OR(INDEX($K$2:$K$1001,MATCH(ROWS($J$2:J143),$J$2:$J$1001,0),1)&gt;=100000,INDEX($Q$1005:$U$1005,1,MATCH(COLUMNS($Q$1006:T1006),$Q$1006:$U$1006,0))&gt;=100000), " ",IF(INDEX($Q$2:$U$1001,MATCH(ROWS($J$2:J143),$J$2:$J$1001,0),MATCH(COLUMNS($Q$1006:T1006),$Q$1006:$U$1006,0)), HYPERLINK("#",""), HYPERLINK(CONCATENATE("#Metadata!", ADDRESS(INDEX($L$2:$L$1001,MATCH(ROWS($J$2:J143),$J$2:$J$1001,0),0), INDEX($Q$1004:$U$1004,1,MATCH(COLUMNS($Q$1006:T1006),$Q$1006:$U$1006,0)))),"Fix")))</f>
        <v xml:space="preserve"> </v>
      </c>
      <c r="F143" s="3" t="str">
        <f ca="1">IF(OR(INDEX($K$2:$K$1001,MATCH(ROWS($J$2:J143),$J$2:$J$1001,0),1)&gt;=100000,INDEX($Q$1005:$U$1005,1,MATCH(COLUMNS($Q$1006:U1006),$Q$1006:$U$1006,0))&gt;=100000), " ",IF(INDEX($Q$2:$U$1001,MATCH(ROWS($J$2:J143),$J$2:$J$1001,0),MATCH(COLUMNS($Q$1006:U1006),$Q$1006:$U$1006,0)), HYPERLINK("#",""), HYPERLINK(CONCATENATE("#Metadata!", ADDRESS(INDEX($L$2:$L$1001,MATCH(ROWS($J$2:J143),$J$2:$J$1001,0),0), INDEX($Q$1004:$U$1004,1,MATCH(COLUMNS($Q$1006:U1006),$Q$1006:$U$1006,0)))),"Fix")))</f>
        <v xml:space="preserve"> </v>
      </c>
      <c r="J143">
        <f ca="1"/>
        <v>142</v>
      </c>
      <c r="K143">
        <v>100143</v>
      </c>
      <c r="L143">
        <v>143</v>
      </c>
      <c r="M143" t="b">
        <f t="shared" si="2"/>
        <v>1</v>
      </c>
      <c r="N143" t="b">
        <f>COUNTBLANK(Metadata!B143:F143)=COLUMNS(Metadata!B143:F143)</f>
        <v>1</v>
      </c>
      <c r="O143" t="str">
        <v/>
      </c>
      <c r="Q143" t="b">
        <f ca="1"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R143" t="b">
        <f>IF(Metadata!C143="",FALSE,TRUE)</f>
        <v>0</v>
      </c>
      <c r="S143" t="b">
        <f>OR(AND(IF(Metadata!D143="",FALSE,TRUE),EXACT(Metadata!D143,"missing: not collected")),AND(IF(Metadata!D143="",FALSE,TRUE),OR(EXACT(Metadata!D143,"t"),EXACT(Metadata!D143,"f"))))</f>
        <v>0</v>
      </c>
      <c r="T143" t="b">
        <f>AND(IF(Metadata!E143="",FALSE,TRUE),OR(EXACT(Metadata!E143,"a"),EXACT(Metadata!E143,"b")))</f>
        <v>0</v>
      </c>
      <c r="U143" t="b">
        <f>OR(AND(IF(Metadata!F143="",FALSE,TRUE),OR(EXACT(Metadata!F143,"missing: not collected"),EXACT(Metadata!F143,"missing: not provided"))),AND(IF(Metadata!F143="",FALSE,TRUE),OR(EXACT(Metadata!F143,"lo"),EXACT(Metadata!F143,"med"),EXACT(Metadata!F143,"hi"))))</f>
        <v>0</v>
      </c>
    </row>
    <row r="144" spans="1:21" x14ac:dyDescent="0.2">
      <c r="A144" s="4" t="str">
        <f ca="1">IF(B144=" "," ",HYPERLINK(CONCATENATE("#metadata!",ADDRESS(INDEX($L$2:$L$1001,MATCH(ROWS($J$2:J144),$J$2:$J$1001,0),0),1)),INDEX($O$2:$O$1001,MATCH(ROWS($J$2:J144),$J$2:$J$1001,0),0)))</f>
        <v xml:space="preserve"> </v>
      </c>
      <c r="B144" s="3" t="str">
        <f ca="1">IF(OR(INDEX($K$2:$K$1001,MATCH(ROWS($J$2:J144),$J$2:$J$1001,0),1)&gt;=100000,INDEX($Q$1005:$U$1005,1,MATCH(COLUMNS($Q$1006:Q1006),$Q$1006:$U$1006,0))&gt;=100000), " ",IF(INDEX($Q$2:$U$1001,MATCH(ROWS($J$2:J144),$J$2:$J$1001,0),MATCH(COLUMNS($Q$1006:Q1006),$Q$1006:$U$1006,0)), HYPERLINK("#",""), HYPERLINK(CONCATENATE("#Metadata!", ADDRESS(INDEX($L$2:$L$1001,MATCH(ROWS($J$2:J144),$J$2:$J$1001,0),0), INDEX($Q$1004:$U$1004,1,MATCH(COLUMNS($Q$1006:Q1006),$Q$1006:$U$1006,0)))),"Fix")))</f>
        <v xml:space="preserve"> </v>
      </c>
      <c r="C144" s="3" t="str">
        <f ca="1">IF(OR(INDEX($K$2:$K$1001,MATCH(ROWS($J$2:J144),$J$2:$J$1001,0),1)&gt;=100000,INDEX($Q$1005:$U$1005,1,MATCH(COLUMNS($Q$1006:R1006),$Q$1006:$U$1006,0))&gt;=100000), " ",IF(INDEX($Q$2:$U$1001,MATCH(ROWS($J$2:J144),$J$2:$J$1001,0),MATCH(COLUMNS($Q$1006:R1006),$Q$1006:$U$1006,0)), HYPERLINK("#",""), HYPERLINK(CONCATENATE("#Metadata!", ADDRESS(INDEX($L$2:$L$1001,MATCH(ROWS($J$2:J144),$J$2:$J$1001,0),0), INDEX($Q$1004:$U$1004,1,MATCH(COLUMNS($Q$1006:R1006),$Q$1006:$U$1006,0)))),"Fix")))</f>
        <v xml:space="preserve"> </v>
      </c>
      <c r="D144" s="3" t="str">
        <f ca="1">IF(OR(INDEX($K$2:$K$1001,MATCH(ROWS($J$2:J144),$J$2:$J$1001,0),1)&gt;=100000,INDEX($Q$1005:$U$1005,1,MATCH(COLUMNS($Q$1006:S1006),$Q$1006:$U$1006,0))&gt;=100000), " ",IF(INDEX($Q$2:$U$1001,MATCH(ROWS($J$2:J144),$J$2:$J$1001,0),MATCH(COLUMNS($Q$1006:S1006),$Q$1006:$U$1006,0)), HYPERLINK("#",""), HYPERLINK(CONCATENATE("#Metadata!", ADDRESS(INDEX($L$2:$L$1001,MATCH(ROWS($J$2:J144),$J$2:$J$1001,0),0), INDEX($Q$1004:$U$1004,1,MATCH(COLUMNS($Q$1006:S1006),$Q$1006:$U$1006,0)))),"Fix")))</f>
        <v xml:space="preserve"> </v>
      </c>
      <c r="E144" s="3" t="str">
        <f ca="1">IF(OR(INDEX($K$2:$K$1001,MATCH(ROWS($J$2:J144),$J$2:$J$1001,0),1)&gt;=100000,INDEX($Q$1005:$U$1005,1,MATCH(COLUMNS($Q$1006:T1006),$Q$1006:$U$1006,0))&gt;=100000), " ",IF(INDEX($Q$2:$U$1001,MATCH(ROWS($J$2:J144),$J$2:$J$1001,0),MATCH(COLUMNS($Q$1006:T1006),$Q$1006:$U$1006,0)), HYPERLINK("#",""), HYPERLINK(CONCATENATE("#Metadata!", ADDRESS(INDEX($L$2:$L$1001,MATCH(ROWS($J$2:J144),$J$2:$J$1001,0),0), INDEX($Q$1004:$U$1004,1,MATCH(COLUMNS($Q$1006:T1006),$Q$1006:$U$1006,0)))),"Fix")))</f>
        <v xml:space="preserve"> </v>
      </c>
      <c r="F144" s="3" t="str">
        <f ca="1">IF(OR(INDEX($K$2:$K$1001,MATCH(ROWS($J$2:J144),$J$2:$J$1001,0),1)&gt;=100000,INDEX($Q$1005:$U$1005,1,MATCH(COLUMNS($Q$1006:U1006),$Q$1006:$U$1006,0))&gt;=100000), " ",IF(INDEX($Q$2:$U$1001,MATCH(ROWS($J$2:J144),$J$2:$J$1001,0),MATCH(COLUMNS($Q$1006:U1006),$Q$1006:$U$1006,0)), HYPERLINK("#",""), HYPERLINK(CONCATENATE("#Metadata!", ADDRESS(INDEX($L$2:$L$1001,MATCH(ROWS($J$2:J144),$J$2:$J$1001,0),0), INDEX($Q$1004:$U$1004,1,MATCH(COLUMNS($Q$1006:U1006),$Q$1006:$U$1006,0)))),"Fix")))</f>
        <v xml:space="preserve"> </v>
      </c>
      <c r="J144">
        <f ca="1"/>
        <v>143</v>
      </c>
      <c r="K144">
        <v>100144</v>
      </c>
      <c r="L144">
        <v>144</v>
      </c>
      <c r="M144" t="b">
        <f t="shared" si="2"/>
        <v>1</v>
      </c>
      <c r="N144" t="b">
        <f>COUNTBLANK(Metadata!B144:F144)=COLUMNS(Metadata!B144:F144)</f>
        <v>1</v>
      </c>
      <c r="O144" t="str">
        <v/>
      </c>
      <c r="Q144" t="b">
        <f ca="1"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R144" t="b">
        <f>IF(Metadata!C144="",FALSE,TRUE)</f>
        <v>0</v>
      </c>
      <c r="S144" t="b">
        <f>OR(AND(IF(Metadata!D144="",FALSE,TRUE),EXACT(Metadata!D144,"missing: not collected")),AND(IF(Metadata!D144="",FALSE,TRUE),OR(EXACT(Metadata!D144,"t"),EXACT(Metadata!D144,"f"))))</f>
        <v>0</v>
      </c>
      <c r="T144" t="b">
        <f>AND(IF(Metadata!E144="",FALSE,TRUE),OR(EXACT(Metadata!E144,"a"),EXACT(Metadata!E144,"b")))</f>
        <v>0</v>
      </c>
      <c r="U144" t="b">
        <f>OR(AND(IF(Metadata!F144="",FALSE,TRUE),OR(EXACT(Metadata!F144,"missing: not collected"),EXACT(Metadata!F144,"missing: not provided"))),AND(IF(Metadata!F144="",FALSE,TRUE),OR(EXACT(Metadata!F144,"lo"),EXACT(Metadata!F144,"med"),EXACT(Metadata!F144,"hi"))))</f>
        <v>0</v>
      </c>
    </row>
    <row r="145" spans="1:21" x14ac:dyDescent="0.2">
      <c r="A145" s="4" t="str">
        <f ca="1">IF(B145=" "," ",HYPERLINK(CONCATENATE("#metadata!",ADDRESS(INDEX($L$2:$L$1001,MATCH(ROWS($J$2:J145),$J$2:$J$1001,0),0),1)),INDEX($O$2:$O$1001,MATCH(ROWS($J$2:J145),$J$2:$J$1001,0),0)))</f>
        <v xml:space="preserve"> </v>
      </c>
      <c r="B145" s="3" t="str">
        <f ca="1">IF(OR(INDEX($K$2:$K$1001,MATCH(ROWS($J$2:J145),$J$2:$J$1001,0),1)&gt;=100000,INDEX($Q$1005:$U$1005,1,MATCH(COLUMNS($Q$1006:Q1006),$Q$1006:$U$1006,0))&gt;=100000), " ",IF(INDEX($Q$2:$U$1001,MATCH(ROWS($J$2:J145),$J$2:$J$1001,0),MATCH(COLUMNS($Q$1006:Q1006),$Q$1006:$U$1006,0)), HYPERLINK("#",""), HYPERLINK(CONCATENATE("#Metadata!", ADDRESS(INDEX($L$2:$L$1001,MATCH(ROWS($J$2:J145),$J$2:$J$1001,0),0), INDEX($Q$1004:$U$1004,1,MATCH(COLUMNS($Q$1006:Q1006),$Q$1006:$U$1006,0)))),"Fix")))</f>
        <v xml:space="preserve"> </v>
      </c>
      <c r="C145" s="3" t="str">
        <f ca="1">IF(OR(INDEX($K$2:$K$1001,MATCH(ROWS($J$2:J145),$J$2:$J$1001,0),1)&gt;=100000,INDEX($Q$1005:$U$1005,1,MATCH(COLUMNS($Q$1006:R1006),$Q$1006:$U$1006,0))&gt;=100000), " ",IF(INDEX($Q$2:$U$1001,MATCH(ROWS($J$2:J145),$J$2:$J$1001,0),MATCH(COLUMNS($Q$1006:R1006),$Q$1006:$U$1006,0)), HYPERLINK("#",""), HYPERLINK(CONCATENATE("#Metadata!", ADDRESS(INDEX($L$2:$L$1001,MATCH(ROWS($J$2:J145),$J$2:$J$1001,0),0), INDEX($Q$1004:$U$1004,1,MATCH(COLUMNS($Q$1006:R1006),$Q$1006:$U$1006,0)))),"Fix")))</f>
        <v xml:space="preserve"> </v>
      </c>
      <c r="D145" s="3" t="str">
        <f ca="1">IF(OR(INDEX($K$2:$K$1001,MATCH(ROWS($J$2:J145),$J$2:$J$1001,0),1)&gt;=100000,INDEX($Q$1005:$U$1005,1,MATCH(COLUMNS($Q$1006:S1006),$Q$1006:$U$1006,0))&gt;=100000), " ",IF(INDEX($Q$2:$U$1001,MATCH(ROWS($J$2:J145),$J$2:$J$1001,0),MATCH(COLUMNS($Q$1006:S1006),$Q$1006:$U$1006,0)), HYPERLINK("#",""), HYPERLINK(CONCATENATE("#Metadata!", ADDRESS(INDEX($L$2:$L$1001,MATCH(ROWS($J$2:J145),$J$2:$J$1001,0),0), INDEX($Q$1004:$U$1004,1,MATCH(COLUMNS($Q$1006:S1006),$Q$1006:$U$1006,0)))),"Fix")))</f>
        <v xml:space="preserve"> </v>
      </c>
      <c r="E145" s="3" t="str">
        <f ca="1">IF(OR(INDEX($K$2:$K$1001,MATCH(ROWS($J$2:J145),$J$2:$J$1001,0),1)&gt;=100000,INDEX($Q$1005:$U$1005,1,MATCH(COLUMNS($Q$1006:T1006),$Q$1006:$U$1006,0))&gt;=100000), " ",IF(INDEX($Q$2:$U$1001,MATCH(ROWS($J$2:J145),$J$2:$J$1001,0),MATCH(COLUMNS($Q$1006:T1006),$Q$1006:$U$1006,0)), HYPERLINK("#",""), HYPERLINK(CONCATENATE("#Metadata!", ADDRESS(INDEX($L$2:$L$1001,MATCH(ROWS($J$2:J145),$J$2:$J$1001,0),0), INDEX($Q$1004:$U$1004,1,MATCH(COLUMNS($Q$1006:T1006),$Q$1006:$U$1006,0)))),"Fix")))</f>
        <v xml:space="preserve"> </v>
      </c>
      <c r="F145" s="3" t="str">
        <f ca="1">IF(OR(INDEX($K$2:$K$1001,MATCH(ROWS($J$2:J145),$J$2:$J$1001,0),1)&gt;=100000,INDEX($Q$1005:$U$1005,1,MATCH(COLUMNS($Q$1006:U1006),$Q$1006:$U$1006,0))&gt;=100000), " ",IF(INDEX($Q$2:$U$1001,MATCH(ROWS($J$2:J145),$J$2:$J$1001,0),MATCH(COLUMNS($Q$1006:U1006),$Q$1006:$U$1006,0)), HYPERLINK("#",""), HYPERLINK(CONCATENATE("#Metadata!", ADDRESS(INDEX($L$2:$L$1001,MATCH(ROWS($J$2:J145),$J$2:$J$1001,0),0), INDEX($Q$1004:$U$1004,1,MATCH(COLUMNS($Q$1006:U1006),$Q$1006:$U$1006,0)))),"Fix")))</f>
        <v xml:space="preserve"> </v>
      </c>
      <c r="J145">
        <f ca="1"/>
        <v>144</v>
      </c>
      <c r="K145">
        <v>100145</v>
      </c>
      <c r="L145">
        <v>145</v>
      </c>
      <c r="M145" t="b">
        <f t="shared" si="2"/>
        <v>1</v>
      </c>
      <c r="N145" t="b">
        <f>COUNTBLANK(Metadata!B145:F145)=COLUMNS(Metadata!B145:F145)</f>
        <v>1</v>
      </c>
      <c r="O145" t="str">
        <v/>
      </c>
      <c r="Q145" t="b">
        <f ca="1"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R145" t="b">
        <f>IF(Metadata!C145="",FALSE,TRUE)</f>
        <v>0</v>
      </c>
      <c r="S145" t="b">
        <f>OR(AND(IF(Metadata!D145="",FALSE,TRUE),EXACT(Metadata!D145,"missing: not collected")),AND(IF(Metadata!D145="",FALSE,TRUE),OR(EXACT(Metadata!D145,"t"),EXACT(Metadata!D145,"f"))))</f>
        <v>0</v>
      </c>
      <c r="T145" t="b">
        <f>AND(IF(Metadata!E145="",FALSE,TRUE),OR(EXACT(Metadata!E145,"a"),EXACT(Metadata!E145,"b")))</f>
        <v>0</v>
      </c>
      <c r="U145" t="b">
        <f>OR(AND(IF(Metadata!F145="",FALSE,TRUE),OR(EXACT(Metadata!F145,"missing: not collected"),EXACT(Metadata!F145,"missing: not provided"))),AND(IF(Metadata!F145="",FALSE,TRUE),OR(EXACT(Metadata!F145,"lo"),EXACT(Metadata!F145,"med"),EXACT(Metadata!F145,"hi"))))</f>
        <v>0</v>
      </c>
    </row>
    <row r="146" spans="1:21" x14ac:dyDescent="0.2">
      <c r="A146" s="4" t="str">
        <f ca="1">IF(B146=" "," ",HYPERLINK(CONCATENATE("#metadata!",ADDRESS(INDEX($L$2:$L$1001,MATCH(ROWS($J$2:J146),$J$2:$J$1001,0),0),1)),INDEX($O$2:$O$1001,MATCH(ROWS($J$2:J146),$J$2:$J$1001,0),0)))</f>
        <v xml:space="preserve"> </v>
      </c>
      <c r="B146" s="3" t="str">
        <f ca="1">IF(OR(INDEX($K$2:$K$1001,MATCH(ROWS($J$2:J146),$J$2:$J$1001,0),1)&gt;=100000,INDEX($Q$1005:$U$1005,1,MATCH(COLUMNS($Q$1006:Q1006),$Q$1006:$U$1006,0))&gt;=100000), " ",IF(INDEX($Q$2:$U$1001,MATCH(ROWS($J$2:J146),$J$2:$J$1001,0),MATCH(COLUMNS($Q$1006:Q1006),$Q$1006:$U$1006,0)), HYPERLINK("#",""), HYPERLINK(CONCATENATE("#Metadata!", ADDRESS(INDEX($L$2:$L$1001,MATCH(ROWS($J$2:J146),$J$2:$J$1001,0),0), INDEX($Q$1004:$U$1004,1,MATCH(COLUMNS($Q$1006:Q1006),$Q$1006:$U$1006,0)))),"Fix")))</f>
        <v xml:space="preserve"> </v>
      </c>
      <c r="C146" s="3" t="str">
        <f ca="1">IF(OR(INDEX($K$2:$K$1001,MATCH(ROWS($J$2:J146),$J$2:$J$1001,0),1)&gt;=100000,INDEX($Q$1005:$U$1005,1,MATCH(COLUMNS($Q$1006:R1006),$Q$1006:$U$1006,0))&gt;=100000), " ",IF(INDEX($Q$2:$U$1001,MATCH(ROWS($J$2:J146),$J$2:$J$1001,0),MATCH(COLUMNS($Q$1006:R1006),$Q$1006:$U$1006,0)), HYPERLINK("#",""), HYPERLINK(CONCATENATE("#Metadata!", ADDRESS(INDEX($L$2:$L$1001,MATCH(ROWS($J$2:J146),$J$2:$J$1001,0),0), INDEX($Q$1004:$U$1004,1,MATCH(COLUMNS($Q$1006:R1006),$Q$1006:$U$1006,0)))),"Fix")))</f>
        <v xml:space="preserve"> </v>
      </c>
      <c r="D146" s="3" t="str">
        <f ca="1">IF(OR(INDEX($K$2:$K$1001,MATCH(ROWS($J$2:J146),$J$2:$J$1001,0),1)&gt;=100000,INDEX($Q$1005:$U$1005,1,MATCH(COLUMNS($Q$1006:S1006),$Q$1006:$U$1006,0))&gt;=100000), " ",IF(INDEX($Q$2:$U$1001,MATCH(ROWS($J$2:J146),$J$2:$J$1001,0),MATCH(COLUMNS($Q$1006:S1006),$Q$1006:$U$1006,0)), HYPERLINK("#",""), HYPERLINK(CONCATENATE("#Metadata!", ADDRESS(INDEX($L$2:$L$1001,MATCH(ROWS($J$2:J146),$J$2:$J$1001,0),0), INDEX($Q$1004:$U$1004,1,MATCH(COLUMNS($Q$1006:S1006),$Q$1006:$U$1006,0)))),"Fix")))</f>
        <v xml:space="preserve"> </v>
      </c>
      <c r="E146" s="3" t="str">
        <f ca="1">IF(OR(INDEX($K$2:$K$1001,MATCH(ROWS($J$2:J146),$J$2:$J$1001,0),1)&gt;=100000,INDEX($Q$1005:$U$1005,1,MATCH(COLUMNS($Q$1006:T1006),$Q$1006:$U$1006,0))&gt;=100000), " ",IF(INDEX($Q$2:$U$1001,MATCH(ROWS($J$2:J146),$J$2:$J$1001,0),MATCH(COLUMNS($Q$1006:T1006),$Q$1006:$U$1006,0)), HYPERLINK("#",""), HYPERLINK(CONCATENATE("#Metadata!", ADDRESS(INDEX($L$2:$L$1001,MATCH(ROWS($J$2:J146),$J$2:$J$1001,0),0), INDEX($Q$1004:$U$1004,1,MATCH(COLUMNS($Q$1006:T1006),$Q$1006:$U$1006,0)))),"Fix")))</f>
        <v xml:space="preserve"> </v>
      </c>
      <c r="F146" s="3" t="str">
        <f ca="1">IF(OR(INDEX($K$2:$K$1001,MATCH(ROWS($J$2:J146),$J$2:$J$1001,0),1)&gt;=100000,INDEX($Q$1005:$U$1005,1,MATCH(COLUMNS($Q$1006:U1006),$Q$1006:$U$1006,0))&gt;=100000), " ",IF(INDEX($Q$2:$U$1001,MATCH(ROWS($J$2:J146),$J$2:$J$1001,0),MATCH(COLUMNS($Q$1006:U1006),$Q$1006:$U$1006,0)), HYPERLINK("#",""), HYPERLINK(CONCATENATE("#Metadata!", ADDRESS(INDEX($L$2:$L$1001,MATCH(ROWS($J$2:J146),$J$2:$J$1001,0),0), INDEX($Q$1004:$U$1004,1,MATCH(COLUMNS($Q$1006:U1006),$Q$1006:$U$1006,0)))),"Fix")))</f>
        <v xml:space="preserve"> </v>
      </c>
      <c r="J146">
        <f ca="1"/>
        <v>145</v>
      </c>
      <c r="K146">
        <v>100146</v>
      </c>
      <c r="L146">
        <v>146</v>
      </c>
      <c r="M146" t="b">
        <f t="shared" si="2"/>
        <v>1</v>
      </c>
      <c r="N146" t="b">
        <f>COUNTBLANK(Metadata!B146:F146)=COLUMNS(Metadata!B146:F146)</f>
        <v>1</v>
      </c>
      <c r="O146" t="str">
        <v/>
      </c>
      <c r="Q146" t="b">
        <f ca="1"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R146" t="b">
        <f>IF(Metadata!C146="",FALSE,TRUE)</f>
        <v>0</v>
      </c>
      <c r="S146" t="b">
        <f>OR(AND(IF(Metadata!D146="",FALSE,TRUE),EXACT(Metadata!D146,"missing: not collected")),AND(IF(Metadata!D146="",FALSE,TRUE),OR(EXACT(Metadata!D146,"t"),EXACT(Metadata!D146,"f"))))</f>
        <v>0</v>
      </c>
      <c r="T146" t="b">
        <f>AND(IF(Metadata!E146="",FALSE,TRUE),OR(EXACT(Metadata!E146,"a"),EXACT(Metadata!E146,"b")))</f>
        <v>0</v>
      </c>
      <c r="U146" t="b">
        <f>OR(AND(IF(Metadata!F146="",FALSE,TRUE),OR(EXACT(Metadata!F146,"missing: not collected"),EXACT(Metadata!F146,"missing: not provided"))),AND(IF(Metadata!F146="",FALSE,TRUE),OR(EXACT(Metadata!F146,"lo"),EXACT(Metadata!F146,"med"),EXACT(Metadata!F146,"hi"))))</f>
        <v>0</v>
      </c>
    </row>
    <row r="147" spans="1:21" x14ac:dyDescent="0.2">
      <c r="A147" s="4" t="str">
        <f ca="1">IF(B147=" "," ",HYPERLINK(CONCATENATE("#metadata!",ADDRESS(INDEX($L$2:$L$1001,MATCH(ROWS($J$2:J147),$J$2:$J$1001,0),0),1)),INDEX($O$2:$O$1001,MATCH(ROWS($J$2:J147),$J$2:$J$1001,0),0)))</f>
        <v xml:space="preserve"> </v>
      </c>
      <c r="B147" s="3" t="str">
        <f ca="1">IF(OR(INDEX($K$2:$K$1001,MATCH(ROWS($J$2:J147),$J$2:$J$1001,0),1)&gt;=100000,INDEX($Q$1005:$U$1005,1,MATCH(COLUMNS($Q$1006:Q1006),$Q$1006:$U$1006,0))&gt;=100000), " ",IF(INDEX($Q$2:$U$1001,MATCH(ROWS($J$2:J147),$J$2:$J$1001,0),MATCH(COLUMNS($Q$1006:Q1006),$Q$1006:$U$1006,0)), HYPERLINK("#",""), HYPERLINK(CONCATENATE("#Metadata!", ADDRESS(INDEX($L$2:$L$1001,MATCH(ROWS($J$2:J147),$J$2:$J$1001,0),0), INDEX($Q$1004:$U$1004,1,MATCH(COLUMNS($Q$1006:Q1006),$Q$1006:$U$1006,0)))),"Fix")))</f>
        <v xml:space="preserve"> </v>
      </c>
      <c r="C147" s="3" t="str">
        <f ca="1">IF(OR(INDEX($K$2:$K$1001,MATCH(ROWS($J$2:J147),$J$2:$J$1001,0),1)&gt;=100000,INDEX($Q$1005:$U$1005,1,MATCH(COLUMNS($Q$1006:R1006),$Q$1006:$U$1006,0))&gt;=100000), " ",IF(INDEX($Q$2:$U$1001,MATCH(ROWS($J$2:J147),$J$2:$J$1001,0),MATCH(COLUMNS($Q$1006:R1006),$Q$1006:$U$1006,0)), HYPERLINK("#",""), HYPERLINK(CONCATENATE("#Metadata!", ADDRESS(INDEX($L$2:$L$1001,MATCH(ROWS($J$2:J147),$J$2:$J$1001,0),0), INDEX($Q$1004:$U$1004,1,MATCH(COLUMNS($Q$1006:R1006),$Q$1006:$U$1006,0)))),"Fix")))</f>
        <v xml:space="preserve"> </v>
      </c>
      <c r="D147" s="3" t="str">
        <f ca="1">IF(OR(INDEX($K$2:$K$1001,MATCH(ROWS($J$2:J147),$J$2:$J$1001,0),1)&gt;=100000,INDEX($Q$1005:$U$1005,1,MATCH(COLUMNS($Q$1006:S1006),$Q$1006:$U$1006,0))&gt;=100000), " ",IF(INDEX($Q$2:$U$1001,MATCH(ROWS($J$2:J147),$J$2:$J$1001,0),MATCH(COLUMNS($Q$1006:S1006),$Q$1006:$U$1006,0)), HYPERLINK("#",""), HYPERLINK(CONCATENATE("#Metadata!", ADDRESS(INDEX($L$2:$L$1001,MATCH(ROWS($J$2:J147),$J$2:$J$1001,0),0), INDEX($Q$1004:$U$1004,1,MATCH(COLUMNS($Q$1006:S1006),$Q$1006:$U$1006,0)))),"Fix")))</f>
        <v xml:space="preserve"> </v>
      </c>
      <c r="E147" s="3" t="str">
        <f ca="1">IF(OR(INDEX($K$2:$K$1001,MATCH(ROWS($J$2:J147),$J$2:$J$1001,0),1)&gt;=100000,INDEX($Q$1005:$U$1005,1,MATCH(COLUMNS($Q$1006:T1006),$Q$1006:$U$1006,0))&gt;=100000), " ",IF(INDEX($Q$2:$U$1001,MATCH(ROWS($J$2:J147),$J$2:$J$1001,0),MATCH(COLUMNS($Q$1006:T1006),$Q$1006:$U$1006,0)), HYPERLINK("#",""), HYPERLINK(CONCATENATE("#Metadata!", ADDRESS(INDEX($L$2:$L$1001,MATCH(ROWS($J$2:J147),$J$2:$J$1001,0),0), INDEX($Q$1004:$U$1004,1,MATCH(COLUMNS($Q$1006:T1006),$Q$1006:$U$1006,0)))),"Fix")))</f>
        <v xml:space="preserve"> </v>
      </c>
      <c r="F147" s="3" t="str">
        <f ca="1">IF(OR(INDEX($K$2:$K$1001,MATCH(ROWS($J$2:J147),$J$2:$J$1001,0),1)&gt;=100000,INDEX($Q$1005:$U$1005,1,MATCH(COLUMNS($Q$1006:U1006),$Q$1006:$U$1006,0))&gt;=100000), " ",IF(INDEX($Q$2:$U$1001,MATCH(ROWS($J$2:J147),$J$2:$J$1001,0),MATCH(COLUMNS($Q$1006:U1006),$Q$1006:$U$1006,0)), HYPERLINK("#",""), HYPERLINK(CONCATENATE("#Metadata!", ADDRESS(INDEX($L$2:$L$1001,MATCH(ROWS($J$2:J147),$J$2:$J$1001,0),0), INDEX($Q$1004:$U$1004,1,MATCH(COLUMNS($Q$1006:U1006),$Q$1006:$U$1006,0)))),"Fix")))</f>
        <v xml:space="preserve"> </v>
      </c>
      <c r="J147">
        <f ca="1"/>
        <v>146</v>
      </c>
      <c r="K147">
        <v>100147</v>
      </c>
      <c r="L147">
        <v>147</v>
      </c>
      <c r="M147" t="b">
        <f t="shared" si="2"/>
        <v>1</v>
      </c>
      <c r="N147" t="b">
        <f>COUNTBLANK(Metadata!B147:F147)=COLUMNS(Metadata!B147:F147)</f>
        <v>1</v>
      </c>
      <c r="O147" t="str">
        <v/>
      </c>
      <c r="Q147" t="b">
        <f ca="1"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R147" t="b">
        <f>IF(Metadata!C147="",FALSE,TRUE)</f>
        <v>0</v>
      </c>
      <c r="S147" t="b">
        <f>OR(AND(IF(Metadata!D147="",FALSE,TRUE),EXACT(Metadata!D147,"missing: not collected")),AND(IF(Metadata!D147="",FALSE,TRUE),OR(EXACT(Metadata!D147,"t"),EXACT(Metadata!D147,"f"))))</f>
        <v>0</v>
      </c>
      <c r="T147" t="b">
        <f>AND(IF(Metadata!E147="",FALSE,TRUE),OR(EXACT(Metadata!E147,"a"),EXACT(Metadata!E147,"b")))</f>
        <v>0</v>
      </c>
      <c r="U147" t="b">
        <f>OR(AND(IF(Metadata!F147="",FALSE,TRUE),OR(EXACT(Metadata!F147,"missing: not collected"),EXACT(Metadata!F147,"missing: not provided"))),AND(IF(Metadata!F147="",FALSE,TRUE),OR(EXACT(Metadata!F147,"lo"),EXACT(Metadata!F147,"med"),EXACT(Metadata!F147,"hi"))))</f>
        <v>0</v>
      </c>
    </row>
    <row r="148" spans="1:21" x14ac:dyDescent="0.2">
      <c r="A148" s="4" t="str">
        <f ca="1">IF(B148=" "," ",HYPERLINK(CONCATENATE("#metadata!",ADDRESS(INDEX($L$2:$L$1001,MATCH(ROWS($J$2:J148),$J$2:$J$1001,0),0),1)),INDEX($O$2:$O$1001,MATCH(ROWS($J$2:J148),$J$2:$J$1001,0),0)))</f>
        <v xml:space="preserve"> </v>
      </c>
      <c r="B148" s="3" t="str">
        <f ca="1">IF(OR(INDEX($K$2:$K$1001,MATCH(ROWS($J$2:J148),$J$2:$J$1001,0),1)&gt;=100000,INDEX($Q$1005:$U$1005,1,MATCH(COLUMNS($Q$1006:Q1006),$Q$1006:$U$1006,0))&gt;=100000), " ",IF(INDEX($Q$2:$U$1001,MATCH(ROWS($J$2:J148),$J$2:$J$1001,0),MATCH(COLUMNS($Q$1006:Q1006),$Q$1006:$U$1006,0)), HYPERLINK("#",""), HYPERLINK(CONCATENATE("#Metadata!", ADDRESS(INDEX($L$2:$L$1001,MATCH(ROWS($J$2:J148),$J$2:$J$1001,0),0), INDEX($Q$1004:$U$1004,1,MATCH(COLUMNS($Q$1006:Q1006),$Q$1006:$U$1006,0)))),"Fix")))</f>
        <v xml:space="preserve"> </v>
      </c>
      <c r="C148" s="3" t="str">
        <f ca="1">IF(OR(INDEX($K$2:$K$1001,MATCH(ROWS($J$2:J148),$J$2:$J$1001,0),1)&gt;=100000,INDEX($Q$1005:$U$1005,1,MATCH(COLUMNS($Q$1006:R1006),$Q$1006:$U$1006,0))&gt;=100000), " ",IF(INDEX($Q$2:$U$1001,MATCH(ROWS($J$2:J148),$J$2:$J$1001,0),MATCH(COLUMNS($Q$1006:R1006),$Q$1006:$U$1006,0)), HYPERLINK("#",""), HYPERLINK(CONCATENATE("#Metadata!", ADDRESS(INDEX($L$2:$L$1001,MATCH(ROWS($J$2:J148),$J$2:$J$1001,0),0), INDEX($Q$1004:$U$1004,1,MATCH(COLUMNS($Q$1006:R1006),$Q$1006:$U$1006,0)))),"Fix")))</f>
        <v xml:space="preserve"> </v>
      </c>
      <c r="D148" s="3" t="str">
        <f ca="1">IF(OR(INDEX($K$2:$K$1001,MATCH(ROWS($J$2:J148),$J$2:$J$1001,0),1)&gt;=100000,INDEX($Q$1005:$U$1005,1,MATCH(COLUMNS($Q$1006:S1006),$Q$1006:$U$1006,0))&gt;=100000), " ",IF(INDEX($Q$2:$U$1001,MATCH(ROWS($J$2:J148),$J$2:$J$1001,0),MATCH(COLUMNS($Q$1006:S1006),$Q$1006:$U$1006,0)), HYPERLINK("#",""), HYPERLINK(CONCATENATE("#Metadata!", ADDRESS(INDEX($L$2:$L$1001,MATCH(ROWS($J$2:J148),$J$2:$J$1001,0),0), INDEX($Q$1004:$U$1004,1,MATCH(COLUMNS($Q$1006:S1006),$Q$1006:$U$1006,0)))),"Fix")))</f>
        <v xml:space="preserve"> </v>
      </c>
      <c r="E148" s="3" t="str">
        <f ca="1">IF(OR(INDEX($K$2:$K$1001,MATCH(ROWS($J$2:J148),$J$2:$J$1001,0),1)&gt;=100000,INDEX($Q$1005:$U$1005,1,MATCH(COLUMNS($Q$1006:T1006),$Q$1006:$U$1006,0))&gt;=100000), " ",IF(INDEX($Q$2:$U$1001,MATCH(ROWS($J$2:J148),$J$2:$J$1001,0),MATCH(COLUMNS($Q$1006:T1006),$Q$1006:$U$1006,0)), HYPERLINK("#",""), HYPERLINK(CONCATENATE("#Metadata!", ADDRESS(INDEX($L$2:$L$1001,MATCH(ROWS($J$2:J148),$J$2:$J$1001,0),0), INDEX($Q$1004:$U$1004,1,MATCH(COLUMNS($Q$1006:T1006),$Q$1006:$U$1006,0)))),"Fix")))</f>
        <v xml:space="preserve"> </v>
      </c>
      <c r="F148" s="3" t="str">
        <f ca="1">IF(OR(INDEX($K$2:$K$1001,MATCH(ROWS($J$2:J148),$J$2:$J$1001,0),1)&gt;=100000,INDEX($Q$1005:$U$1005,1,MATCH(COLUMNS($Q$1006:U1006),$Q$1006:$U$1006,0))&gt;=100000), " ",IF(INDEX($Q$2:$U$1001,MATCH(ROWS($J$2:J148),$J$2:$J$1001,0),MATCH(COLUMNS($Q$1006:U1006),$Q$1006:$U$1006,0)), HYPERLINK("#",""), HYPERLINK(CONCATENATE("#Metadata!", ADDRESS(INDEX($L$2:$L$1001,MATCH(ROWS($J$2:J148),$J$2:$J$1001,0),0), INDEX($Q$1004:$U$1004,1,MATCH(COLUMNS($Q$1006:U1006),$Q$1006:$U$1006,0)))),"Fix")))</f>
        <v xml:space="preserve"> </v>
      </c>
      <c r="J148">
        <f ca="1"/>
        <v>147</v>
      </c>
      <c r="K148">
        <v>100148</v>
      </c>
      <c r="L148">
        <v>148</v>
      </c>
      <c r="M148" t="b">
        <f t="shared" si="2"/>
        <v>1</v>
      </c>
      <c r="N148" t="b">
        <f>COUNTBLANK(Metadata!B148:F148)=COLUMNS(Metadata!B148:F148)</f>
        <v>1</v>
      </c>
      <c r="O148" t="str">
        <v/>
      </c>
      <c r="Q148" t="b">
        <f ca="1"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R148" t="b">
        <f>IF(Metadata!C148="",FALSE,TRUE)</f>
        <v>0</v>
      </c>
      <c r="S148" t="b">
        <f>OR(AND(IF(Metadata!D148="",FALSE,TRUE),EXACT(Metadata!D148,"missing: not collected")),AND(IF(Metadata!D148="",FALSE,TRUE),OR(EXACT(Metadata!D148,"t"),EXACT(Metadata!D148,"f"))))</f>
        <v>0</v>
      </c>
      <c r="T148" t="b">
        <f>AND(IF(Metadata!E148="",FALSE,TRUE),OR(EXACT(Metadata!E148,"a"),EXACT(Metadata!E148,"b")))</f>
        <v>0</v>
      </c>
      <c r="U148" t="b">
        <f>OR(AND(IF(Metadata!F148="",FALSE,TRUE),OR(EXACT(Metadata!F148,"missing: not collected"),EXACT(Metadata!F148,"missing: not provided"))),AND(IF(Metadata!F148="",FALSE,TRUE),OR(EXACT(Metadata!F148,"lo"),EXACT(Metadata!F148,"med"),EXACT(Metadata!F148,"hi"))))</f>
        <v>0</v>
      </c>
    </row>
    <row r="149" spans="1:21" x14ac:dyDescent="0.2">
      <c r="A149" s="4" t="str">
        <f ca="1">IF(B149=" "," ",HYPERLINK(CONCATENATE("#metadata!",ADDRESS(INDEX($L$2:$L$1001,MATCH(ROWS($J$2:J149),$J$2:$J$1001,0),0),1)),INDEX($O$2:$O$1001,MATCH(ROWS($J$2:J149),$J$2:$J$1001,0),0)))</f>
        <v xml:space="preserve"> </v>
      </c>
      <c r="B149" s="3" t="str">
        <f ca="1">IF(OR(INDEX($K$2:$K$1001,MATCH(ROWS($J$2:J149),$J$2:$J$1001,0),1)&gt;=100000,INDEX($Q$1005:$U$1005,1,MATCH(COLUMNS($Q$1006:Q1006),$Q$1006:$U$1006,0))&gt;=100000), " ",IF(INDEX($Q$2:$U$1001,MATCH(ROWS($J$2:J149),$J$2:$J$1001,0),MATCH(COLUMNS($Q$1006:Q1006),$Q$1006:$U$1006,0)), HYPERLINK("#",""), HYPERLINK(CONCATENATE("#Metadata!", ADDRESS(INDEX($L$2:$L$1001,MATCH(ROWS($J$2:J149),$J$2:$J$1001,0),0), INDEX($Q$1004:$U$1004,1,MATCH(COLUMNS($Q$1006:Q1006),$Q$1006:$U$1006,0)))),"Fix")))</f>
        <v xml:space="preserve"> </v>
      </c>
      <c r="C149" s="3" t="str">
        <f ca="1">IF(OR(INDEX($K$2:$K$1001,MATCH(ROWS($J$2:J149),$J$2:$J$1001,0),1)&gt;=100000,INDEX($Q$1005:$U$1005,1,MATCH(COLUMNS($Q$1006:R1006),$Q$1006:$U$1006,0))&gt;=100000), " ",IF(INDEX($Q$2:$U$1001,MATCH(ROWS($J$2:J149),$J$2:$J$1001,0),MATCH(COLUMNS($Q$1006:R1006),$Q$1006:$U$1006,0)), HYPERLINK("#",""), HYPERLINK(CONCATENATE("#Metadata!", ADDRESS(INDEX($L$2:$L$1001,MATCH(ROWS($J$2:J149),$J$2:$J$1001,0),0), INDEX($Q$1004:$U$1004,1,MATCH(COLUMNS($Q$1006:R1006),$Q$1006:$U$1006,0)))),"Fix")))</f>
        <v xml:space="preserve"> </v>
      </c>
      <c r="D149" s="3" t="str">
        <f ca="1">IF(OR(INDEX($K$2:$K$1001,MATCH(ROWS($J$2:J149),$J$2:$J$1001,0),1)&gt;=100000,INDEX($Q$1005:$U$1005,1,MATCH(COLUMNS($Q$1006:S1006),$Q$1006:$U$1006,0))&gt;=100000), " ",IF(INDEX($Q$2:$U$1001,MATCH(ROWS($J$2:J149),$J$2:$J$1001,0),MATCH(COLUMNS($Q$1006:S1006),$Q$1006:$U$1006,0)), HYPERLINK("#",""), HYPERLINK(CONCATENATE("#Metadata!", ADDRESS(INDEX($L$2:$L$1001,MATCH(ROWS($J$2:J149),$J$2:$J$1001,0),0), INDEX($Q$1004:$U$1004,1,MATCH(COLUMNS($Q$1006:S1006),$Q$1006:$U$1006,0)))),"Fix")))</f>
        <v xml:space="preserve"> </v>
      </c>
      <c r="E149" s="3" t="str">
        <f ca="1">IF(OR(INDEX($K$2:$K$1001,MATCH(ROWS($J$2:J149),$J$2:$J$1001,0),1)&gt;=100000,INDEX($Q$1005:$U$1005,1,MATCH(COLUMNS($Q$1006:T1006),$Q$1006:$U$1006,0))&gt;=100000), " ",IF(INDEX($Q$2:$U$1001,MATCH(ROWS($J$2:J149),$J$2:$J$1001,0),MATCH(COLUMNS($Q$1006:T1006),$Q$1006:$U$1006,0)), HYPERLINK("#",""), HYPERLINK(CONCATENATE("#Metadata!", ADDRESS(INDEX($L$2:$L$1001,MATCH(ROWS($J$2:J149),$J$2:$J$1001,0),0), INDEX($Q$1004:$U$1004,1,MATCH(COLUMNS($Q$1006:T1006),$Q$1006:$U$1006,0)))),"Fix")))</f>
        <v xml:space="preserve"> </v>
      </c>
      <c r="F149" s="3" t="str">
        <f ca="1">IF(OR(INDEX($K$2:$K$1001,MATCH(ROWS($J$2:J149),$J$2:$J$1001,0),1)&gt;=100000,INDEX($Q$1005:$U$1005,1,MATCH(COLUMNS($Q$1006:U1006),$Q$1006:$U$1006,0))&gt;=100000), " ",IF(INDEX($Q$2:$U$1001,MATCH(ROWS($J$2:J149),$J$2:$J$1001,0),MATCH(COLUMNS($Q$1006:U1006),$Q$1006:$U$1006,0)), HYPERLINK("#",""), HYPERLINK(CONCATENATE("#Metadata!", ADDRESS(INDEX($L$2:$L$1001,MATCH(ROWS($J$2:J149),$J$2:$J$1001,0),0), INDEX($Q$1004:$U$1004,1,MATCH(COLUMNS($Q$1006:U1006),$Q$1006:$U$1006,0)))),"Fix")))</f>
        <v xml:space="preserve"> </v>
      </c>
      <c r="J149">
        <f ca="1"/>
        <v>148</v>
      </c>
      <c r="K149">
        <v>100149</v>
      </c>
      <c r="L149">
        <v>149</v>
      </c>
      <c r="M149" t="b">
        <f t="shared" si="2"/>
        <v>1</v>
      </c>
      <c r="N149" t="b">
        <f>COUNTBLANK(Metadata!B149:F149)=COLUMNS(Metadata!B149:F149)</f>
        <v>1</v>
      </c>
      <c r="O149" t="str">
        <v/>
      </c>
      <c r="Q149" t="b">
        <f ca="1"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R149" t="b">
        <f>IF(Metadata!C149="",FALSE,TRUE)</f>
        <v>0</v>
      </c>
      <c r="S149" t="b">
        <f>OR(AND(IF(Metadata!D149="",FALSE,TRUE),EXACT(Metadata!D149,"missing: not collected")),AND(IF(Metadata!D149="",FALSE,TRUE),OR(EXACT(Metadata!D149,"t"),EXACT(Metadata!D149,"f"))))</f>
        <v>0</v>
      </c>
      <c r="T149" t="b">
        <f>AND(IF(Metadata!E149="",FALSE,TRUE),OR(EXACT(Metadata!E149,"a"),EXACT(Metadata!E149,"b")))</f>
        <v>0</v>
      </c>
      <c r="U149" t="b">
        <f>OR(AND(IF(Metadata!F149="",FALSE,TRUE),OR(EXACT(Metadata!F149,"missing: not collected"),EXACT(Metadata!F149,"missing: not provided"))),AND(IF(Metadata!F149="",FALSE,TRUE),OR(EXACT(Metadata!F149,"lo"),EXACT(Metadata!F149,"med"),EXACT(Metadata!F149,"hi"))))</f>
        <v>0</v>
      </c>
    </row>
    <row r="150" spans="1:21" x14ac:dyDescent="0.2">
      <c r="A150" s="4" t="str">
        <f ca="1">IF(B150=" "," ",HYPERLINK(CONCATENATE("#metadata!",ADDRESS(INDEX($L$2:$L$1001,MATCH(ROWS($J$2:J150),$J$2:$J$1001,0),0),1)),INDEX($O$2:$O$1001,MATCH(ROWS($J$2:J150),$J$2:$J$1001,0),0)))</f>
        <v xml:space="preserve"> </v>
      </c>
      <c r="B150" s="3" t="str">
        <f ca="1">IF(OR(INDEX($K$2:$K$1001,MATCH(ROWS($J$2:J150),$J$2:$J$1001,0),1)&gt;=100000,INDEX($Q$1005:$U$1005,1,MATCH(COLUMNS($Q$1006:Q1006),$Q$1006:$U$1006,0))&gt;=100000), " ",IF(INDEX($Q$2:$U$1001,MATCH(ROWS($J$2:J150),$J$2:$J$1001,0),MATCH(COLUMNS($Q$1006:Q1006),$Q$1006:$U$1006,0)), HYPERLINK("#",""), HYPERLINK(CONCATENATE("#Metadata!", ADDRESS(INDEX($L$2:$L$1001,MATCH(ROWS($J$2:J150),$J$2:$J$1001,0),0), INDEX($Q$1004:$U$1004,1,MATCH(COLUMNS($Q$1006:Q1006),$Q$1006:$U$1006,0)))),"Fix")))</f>
        <v xml:space="preserve"> </v>
      </c>
      <c r="C150" s="3" t="str">
        <f ca="1">IF(OR(INDEX($K$2:$K$1001,MATCH(ROWS($J$2:J150),$J$2:$J$1001,0),1)&gt;=100000,INDEX($Q$1005:$U$1005,1,MATCH(COLUMNS($Q$1006:R1006),$Q$1006:$U$1006,0))&gt;=100000), " ",IF(INDEX($Q$2:$U$1001,MATCH(ROWS($J$2:J150),$J$2:$J$1001,0),MATCH(COLUMNS($Q$1006:R1006),$Q$1006:$U$1006,0)), HYPERLINK("#",""), HYPERLINK(CONCATENATE("#Metadata!", ADDRESS(INDEX($L$2:$L$1001,MATCH(ROWS($J$2:J150),$J$2:$J$1001,0),0), INDEX($Q$1004:$U$1004,1,MATCH(COLUMNS($Q$1006:R1006),$Q$1006:$U$1006,0)))),"Fix")))</f>
        <v xml:space="preserve"> </v>
      </c>
      <c r="D150" s="3" t="str">
        <f ca="1">IF(OR(INDEX($K$2:$K$1001,MATCH(ROWS($J$2:J150),$J$2:$J$1001,0),1)&gt;=100000,INDEX($Q$1005:$U$1005,1,MATCH(COLUMNS($Q$1006:S1006),$Q$1006:$U$1006,0))&gt;=100000), " ",IF(INDEX($Q$2:$U$1001,MATCH(ROWS($J$2:J150),$J$2:$J$1001,0),MATCH(COLUMNS($Q$1006:S1006),$Q$1006:$U$1006,0)), HYPERLINK("#",""), HYPERLINK(CONCATENATE("#Metadata!", ADDRESS(INDEX($L$2:$L$1001,MATCH(ROWS($J$2:J150),$J$2:$J$1001,0),0), INDEX($Q$1004:$U$1004,1,MATCH(COLUMNS($Q$1006:S1006),$Q$1006:$U$1006,0)))),"Fix")))</f>
        <v xml:space="preserve"> </v>
      </c>
      <c r="E150" s="3" t="str">
        <f ca="1">IF(OR(INDEX($K$2:$K$1001,MATCH(ROWS($J$2:J150),$J$2:$J$1001,0),1)&gt;=100000,INDEX($Q$1005:$U$1005,1,MATCH(COLUMNS($Q$1006:T1006),$Q$1006:$U$1006,0))&gt;=100000), " ",IF(INDEX($Q$2:$U$1001,MATCH(ROWS($J$2:J150),$J$2:$J$1001,0),MATCH(COLUMNS($Q$1006:T1006),$Q$1006:$U$1006,0)), HYPERLINK("#",""), HYPERLINK(CONCATENATE("#Metadata!", ADDRESS(INDEX($L$2:$L$1001,MATCH(ROWS($J$2:J150),$J$2:$J$1001,0),0), INDEX($Q$1004:$U$1004,1,MATCH(COLUMNS($Q$1006:T1006),$Q$1006:$U$1006,0)))),"Fix")))</f>
        <v xml:space="preserve"> </v>
      </c>
      <c r="F150" s="3" t="str">
        <f ca="1">IF(OR(INDEX($K$2:$K$1001,MATCH(ROWS($J$2:J150),$J$2:$J$1001,0),1)&gt;=100000,INDEX($Q$1005:$U$1005,1,MATCH(COLUMNS($Q$1006:U1006),$Q$1006:$U$1006,0))&gt;=100000), " ",IF(INDEX($Q$2:$U$1001,MATCH(ROWS($J$2:J150),$J$2:$J$1001,0),MATCH(COLUMNS($Q$1006:U1006),$Q$1006:$U$1006,0)), HYPERLINK("#",""), HYPERLINK(CONCATENATE("#Metadata!", ADDRESS(INDEX($L$2:$L$1001,MATCH(ROWS($J$2:J150),$J$2:$J$1001,0),0), INDEX($Q$1004:$U$1004,1,MATCH(COLUMNS($Q$1006:U1006),$Q$1006:$U$1006,0)))),"Fix")))</f>
        <v xml:space="preserve"> </v>
      </c>
      <c r="J150">
        <f ca="1"/>
        <v>149</v>
      </c>
      <c r="K150">
        <v>100150</v>
      </c>
      <c r="L150">
        <v>150</v>
      </c>
      <c r="M150" t="b">
        <f t="shared" si="2"/>
        <v>1</v>
      </c>
      <c r="N150" t="b">
        <f>COUNTBLANK(Metadata!B150:F150)=COLUMNS(Metadata!B150:F150)</f>
        <v>1</v>
      </c>
      <c r="O150" t="str">
        <v/>
      </c>
      <c r="Q150" t="b">
        <f ca="1"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R150" t="b">
        <f>IF(Metadata!C150="",FALSE,TRUE)</f>
        <v>0</v>
      </c>
      <c r="S150" t="b">
        <f>OR(AND(IF(Metadata!D150="",FALSE,TRUE),EXACT(Metadata!D150,"missing: not collected")),AND(IF(Metadata!D150="",FALSE,TRUE),OR(EXACT(Metadata!D150,"t"),EXACT(Metadata!D150,"f"))))</f>
        <v>0</v>
      </c>
      <c r="T150" t="b">
        <f>AND(IF(Metadata!E150="",FALSE,TRUE),OR(EXACT(Metadata!E150,"a"),EXACT(Metadata!E150,"b")))</f>
        <v>0</v>
      </c>
      <c r="U150" t="b">
        <f>OR(AND(IF(Metadata!F150="",FALSE,TRUE),OR(EXACT(Metadata!F150,"missing: not collected"),EXACT(Metadata!F150,"missing: not provided"))),AND(IF(Metadata!F150="",FALSE,TRUE),OR(EXACT(Metadata!F150,"lo"),EXACT(Metadata!F150,"med"),EXACT(Metadata!F150,"hi"))))</f>
        <v>0</v>
      </c>
    </row>
    <row r="151" spans="1:21" x14ac:dyDescent="0.2">
      <c r="A151" s="4" t="str">
        <f ca="1">IF(B151=" "," ",HYPERLINK(CONCATENATE("#metadata!",ADDRESS(INDEX($L$2:$L$1001,MATCH(ROWS($J$2:J151),$J$2:$J$1001,0),0),1)),INDEX($O$2:$O$1001,MATCH(ROWS($J$2:J151),$J$2:$J$1001,0),0)))</f>
        <v xml:space="preserve"> </v>
      </c>
      <c r="B151" s="3" t="str">
        <f ca="1">IF(OR(INDEX($K$2:$K$1001,MATCH(ROWS($J$2:J151),$J$2:$J$1001,0),1)&gt;=100000,INDEX($Q$1005:$U$1005,1,MATCH(COLUMNS($Q$1006:Q1006),$Q$1006:$U$1006,0))&gt;=100000), " ",IF(INDEX($Q$2:$U$1001,MATCH(ROWS($J$2:J151),$J$2:$J$1001,0),MATCH(COLUMNS($Q$1006:Q1006),$Q$1006:$U$1006,0)), HYPERLINK("#",""), HYPERLINK(CONCATENATE("#Metadata!", ADDRESS(INDEX($L$2:$L$1001,MATCH(ROWS($J$2:J151),$J$2:$J$1001,0),0), INDEX($Q$1004:$U$1004,1,MATCH(COLUMNS($Q$1006:Q1006),$Q$1006:$U$1006,0)))),"Fix")))</f>
        <v xml:space="preserve"> </v>
      </c>
      <c r="C151" s="3" t="str">
        <f ca="1">IF(OR(INDEX($K$2:$K$1001,MATCH(ROWS($J$2:J151),$J$2:$J$1001,0),1)&gt;=100000,INDEX($Q$1005:$U$1005,1,MATCH(COLUMNS($Q$1006:R1006),$Q$1006:$U$1006,0))&gt;=100000), " ",IF(INDEX($Q$2:$U$1001,MATCH(ROWS($J$2:J151),$J$2:$J$1001,0),MATCH(COLUMNS($Q$1006:R1006),$Q$1006:$U$1006,0)), HYPERLINK("#",""), HYPERLINK(CONCATENATE("#Metadata!", ADDRESS(INDEX($L$2:$L$1001,MATCH(ROWS($J$2:J151),$J$2:$J$1001,0),0), INDEX($Q$1004:$U$1004,1,MATCH(COLUMNS($Q$1006:R1006),$Q$1006:$U$1006,0)))),"Fix")))</f>
        <v xml:space="preserve"> </v>
      </c>
      <c r="D151" s="3" t="str">
        <f ca="1">IF(OR(INDEX($K$2:$K$1001,MATCH(ROWS($J$2:J151),$J$2:$J$1001,0),1)&gt;=100000,INDEX($Q$1005:$U$1005,1,MATCH(COLUMNS($Q$1006:S1006),$Q$1006:$U$1006,0))&gt;=100000), " ",IF(INDEX($Q$2:$U$1001,MATCH(ROWS($J$2:J151),$J$2:$J$1001,0),MATCH(COLUMNS($Q$1006:S1006),$Q$1006:$U$1006,0)), HYPERLINK("#",""), HYPERLINK(CONCATENATE("#Metadata!", ADDRESS(INDEX($L$2:$L$1001,MATCH(ROWS($J$2:J151),$J$2:$J$1001,0),0), INDEX($Q$1004:$U$1004,1,MATCH(COLUMNS($Q$1006:S1006),$Q$1006:$U$1006,0)))),"Fix")))</f>
        <v xml:space="preserve"> </v>
      </c>
      <c r="E151" s="3" t="str">
        <f ca="1">IF(OR(INDEX($K$2:$K$1001,MATCH(ROWS($J$2:J151),$J$2:$J$1001,0),1)&gt;=100000,INDEX($Q$1005:$U$1005,1,MATCH(COLUMNS($Q$1006:T1006),$Q$1006:$U$1006,0))&gt;=100000), " ",IF(INDEX($Q$2:$U$1001,MATCH(ROWS($J$2:J151),$J$2:$J$1001,0),MATCH(COLUMNS($Q$1006:T1006),$Q$1006:$U$1006,0)), HYPERLINK("#",""), HYPERLINK(CONCATENATE("#Metadata!", ADDRESS(INDEX($L$2:$L$1001,MATCH(ROWS($J$2:J151),$J$2:$J$1001,0),0), INDEX($Q$1004:$U$1004,1,MATCH(COLUMNS($Q$1006:T1006),$Q$1006:$U$1006,0)))),"Fix")))</f>
        <v xml:space="preserve"> </v>
      </c>
      <c r="F151" s="3" t="str">
        <f ca="1">IF(OR(INDEX($K$2:$K$1001,MATCH(ROWS($J$2:J151),$J$2:$J$1001,0),1)&gt;=100000,INDEX($Q$1005:$U$1005,1,MATCH(COLUMNS($Q$1006:U1006),$Q$1006:$U$1006,0))&gt;=100000), " ",IF(INDEX($Q$2:$U$1001,MATCH(ROWS($J$2:J151),$J$2:$J$1001,0),MATCH(COLUMNS($Q$1006:U1006),$Q$1006:$U$1006,0)), HYPERLINK("#",""), HYPERLINK(CONCATENATE("#Metadata!", ADDRESS(INDEX($L$2:$L$1001,MATCH(ROWS($J$2:J151),$J$2:$J$1001,0),0), INDEX($Q$1004:$U$1004,1,MATCH(COLUMNS($Q$1006:U1006),$Q$1006:$U$1006,0)))),"Fix")))</f>
        <v xml:space="preserve"> </v>
      </c>
      <c r="J151">
        <f ca="1"/>
        <v>150</v>
      </c>
      <c r="K151">
        <v>100151</v>
      </c>
      <c r="L151">
        <v>151</v>
      </c>
      <c r="M151" t="b">
        <f t="shared" si="2"/>
        <v>1</v>
      </c>
      <c r="N151" t="b">
        <f>COUNTBLANK(Metadata!B151:F151)=COLUMNS(Metadata!B151:F151)</f>
        <v>1</v>
      </c>
      <c r="O151" t="str">
        <v/>
      </c>
      <c r="Q151" t="b">
        <f ca="1"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R151" t="b">
        <f>IF(Metadata!C151="",FALSE,TRUE)</f>
        <v>0</v>
      </c>
      <c r="S151" t="b">
        <f>OR(AND(IF(Metadata!D151="",FALSE,TRUE),EXACT(Metadata!D151,"missing: not collected")),AND(IF(Metadata!D151="",FALSE,TRUE),OR(EXACT(Metadata!D151,"t"),EXACT(Metadata!D151,"f"))))</f>
        <v>0</v>
      </c>
      <c r="T151" t="b">
        <f>AND(IF(Metadata!E151="",FALSE,TRUE),OR(EXACT(Metadata!E151,"a"),EXACT(Metadata!E151,"b")))</f>
        <v>0</v>
      </c>
      <c r="U151" t="b">
        <f>OR(AND(IF(Metadata!F151="",FALSE,TRUE),OR(EXACT(Metadata!F151,"missing: not collected"),EXACT(Metadata!F151,"missing: not provided"))),AND(IF(Metadata!F151="",FALSE,TRUE),OR(EXACT(Metadata!F151,"lo"),EXACT(Metadata!F151,"med"),EXACT(Metadata!F151,"hi"))))</f>
        <v>0</v>
      </c>
    </row>
    <row r="152" spans="1:21" x14ac:dyDescent="0.2">
      <c r="A152" s="4" t="str">
        <f ca="1">IF(B152=" "," ",HYPERLINK(CONCATENATE("#metadata!",ADDRESS(INDEX($L$2:$L$1001,MATCH(ROWS($J$2:J152),$J$2:$J$1001,0),0),1)),INDEX($O$2:$O$1001,MATCH(ROWS($J$2:J152),$J$2:$J$1001,0),0)))</f>
        <v xml:space="preserve"> </v>
      </c>
      <c r="B152" s="3" t="str">
        <f ca="1">IF(OR(INDEX($K$2:$K$1001,MATCH(ROWS($J$2:J152),$J$2:$J$1001,0),1)&gt;=100000,INDEX($Q$1005:$U$1005,1,MATCH(COLUMNS($Q$1006:Q1006),$Q$1006:$U$1006,0))&gt;=100000), " ",IF(INDEX($Q$2:$U$1001,MATCH(ROWS($J$2:J152),$J$2:$J$1001,0),MATCH(COLUMNS($Q$1006:Q1006),$Q$1006:$U$1006,0)), HYPERLINK("#",""), HYPERLINK(CONCATENATE("#Metadata!", ADDRESS(INDEX($L$2:$L$1001,MATCH(ROWS($J$2:J152),$J$2:$J$1001,0),0), INDEX($Q$1004:$U$1004,1,MATCH(COLUMNS($Q$1006:Q1006),$Q$1006:$U$1006,0)))),"Fix")))</f>
        <v xml:space="preserve"> </v>
      </c>
      <c r="C152" s="3" t="str">
        <f ca="1">IF(OR(INDEX($K$2:$K$1001,MATCH(ROWS($J$2:J152),$J$2:$J$1001,0),1)&gt;=100000,INDEX($Q$1005:$U$1005,1,MATCH(COLUMNS($Q$1006:R1006),$Q$1006:$U$1006,0))&gt;=100000), " ",IF(INDEX($Q$2:$U$1001,MATCH(ROWS($J$2:J152),$J$2:$J$1001,0),MATCH(COLUMNS($Q$1006:R1006),$Q$1006:$U$1006,0)), HYPERLINK("#",""), HYPERLINK(CONCATENATE("#Metadata!", ADDRESS(INDEX($L$2:$L$1001,MATCH(ROWS($J$2:J152),$J$2:$J$1001,0),0), INDEX($Q$1004:$U$1004,1,MATCH(COLUMNS($Q$1006:R1006),$Q$1006:$U$1006,0)))),"Fix")))</f>
        <v xml:space="preserve"> </v>
      </c>
      <c r="D152" s="3" t="str">
        <f ca="1">IF(OR(INDEX($K$2:$K$1001,MATCH(ROWS($J$2:J152),$J$2:$J$1001,0),1)&gt;=100000,INDEX($Q$1005:$U$1005,1,MATCH(COLUMNS($Q$1006:S1006),$Q$1006:$U$1006,0))&gt;=100000), " ",IF(INDEX($Q$2:$U$1001,MATCH(ROWS($J$2:J152),$J$2:$J$1001,0),MATCH(COLUMNS($Q$1006:S1006),$Q$1006:$U$1006,0)), HYPERLINK("#",""), HYPERLINK(CONCATENATE("#Metadata!", ADDRESS(INDEX($L$2:$L$1001,MATCH(ROWS($J$2:J152),$J$2:$J$1001,0),0), INDEX($Q$1004:$U$1004,1,MATCH(COLUMNS($Q$1006:S1006),$Q$1006:$U$1006,0)))),"Fix")))</f>
        <v xml:space="preserve"> </v>
      </c>
      <c r="E152" s="3" t="str">
        <f ca="1">IF(OR(INDEX($K$2:$K$1001,MATCH(ROWS($J$2:J152),$J$2:$J$1001,0),1)&gt;=100000,INDEX($Q$1005:$U$1005,1,MATCH(COLUMNS($Q$1006:T1006),$Q$1006:$U$1006,0))&gt;=100000), " ",IF(INDEX($Q$2:$U$1001,MATCH(ROWS($J$2:J152),$J$2:$J$1001,0),MATCH(COLUMNS($Q$1006:T1006),$Q$1006:$U$1006,0)), HYPERLINK("#",""), HYPERLINK(CONCATENATE("#Metadata!", ADDRESS(INDEX($L$2:$L$1001,MATCH(ROWS($J$2:J152),$J$2:$J$1001,0),0), INDEX($Q$1004:$U$1004,1,MATCH(COLUMNS($Q$1006:T1006),$Q$1006:$U$1006,0)))),"Fix")))</f>
        <v xml:space="preserve"> </v>
      </c>
      <c r="F152" s="3" t="str">
        <f ca="1">IF(OR(INDEX($K$2:$K$1001,MATCH(ROWS($J$2:J152),$J$2:$J$1001,0),1)&gt;=100000,INDEX($Q$1005:$U$1005,1,MATCH(COLUMNS($Q$1006:U1006),$Q$1006:$U$1006,0))&gt;=100000), " ",IF(INDEX($Q$2:$U$1001,MATCH(ROWS($J$2:J152),$J$2:$J$1001,0),MATCH(COLUMNS($Q$1006:U1006),$Q$1006:$U$1006,0)), HYPERLINK("#",""), HYPERLINK(CONCATENATE("#Metadata!", ADDRESS(INDEX($L$2:$L$1001,MATCH(ROWS($J$2:J152),$J$2:$J$1001,0),0), INDEX($Q$1004:$U$1004,1,MATCH(COLUMNS($Q$1006:U1006),$Q$1006:$U$1006,0)))),"Fix")))</f>
        <v xml:space="preserve"> </v>
      </c>
      <c r="J152">
        <f ca="1"/>
        <v>151</v>
      </c>
      <c r="K152">
        <v>100152</v>
      </c>
      <c r="L152">
        <v>152</v>
      </c>
      <c r="M152" t="b">
        <f t="shared" si="2"/>
        <v>1</v>
      </c>
      <c r="N152" t="b">
        <f>COUNTBLANK(Metadata!B152:F152)=COLUMNS(Metadata!B152:F152)</f>
        <v>1</v>
      </c>
      <c r="O152" t="str">
        <v/>
      </c>
      <c r="Q152" t="b">
        <f ca="1"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R152" t="b">
        <f>IF(Metadata!C152="",FALSE,TRUE)</f>
        <v>0</v>
      </c>
      <c r="S152" t="b">
        <f>OR(AND(IF(Metadata!D152="",FALSE,TRUE),EXACT(Metadata!D152,"missing: not collected")),AND(IF(Metadata!D152="",FALSE,TRUE),OR(EXACT(Metadata!D152,"t"),EXACT(Metadata!D152,"f"))))</f>
        <v>0</v>
      </c>
      <c r="T152" t="b">
        <f>AND(IF(Metadata!E152="",FALSE,TRUE),OR(EXACT(Metadata!E152,"a"),EXACT(Metadata!E152,"b")))</f>
        <v>0</v>
      </c>
      <c r="U152" t="b">
        <f>OR(AND(IF(Metadata!F152="",FALSE,TRUE),OR(EXACT(Metadata!F152,"missing: not collected"),EXACT(Metadata!F152,"missing: not provided"))),AND(IF(Metadata!F152="",FALSE,TRUE),OR(EXACT(Metadata!F152,"lo"),EXACT(Metadata!F152,"med"),EXACT(Metadata!F152,"hi"))))</f>
        <v>0</v>
      </c>
    </row>
    <row r="153" spans="1:21" x14ac:dyDescent="0.2">
      <c r="A153" s="4" t="str">
        <f ca="1">IF(B153=" "," ",HYPERLINK(CONCATENATE("#metadata!",ADDRESS(INDEX($L$2:$L$1001,MATCH(ROWS($J$2:J153),$J$2:$J$1001,0),0),1)),INDEX($O$2:$O$1001,MATCH(ROWS($J$2:J153),$J$2:$J$1001,0),0)))</f>
        <v xml:space="preserve"> </v>
      </c>
      <c r="B153" s="3" t="str">
        <f ca="1">IF(OR(INDEX($K$2:$K$1001,MATCH(ROWS($J$2:J153),$J$2:$J$1001,0),1)&gt;=100000,INDEX($Q$1005:$U$1005,1,MATCH(COLUMNS($Q$1006:Q1006),$Q$1006:$U$1006,0))&gt;=100000), " ",IF(INDEX($Q$2:$U$1001,MATCH(ROWS($J$2:J153),$J$2:$J$1001,0),MATCH(COLUMNS($Q$1006:Q1006),$Q$1006:$U$1006,0)), HYPERLINK("#",""), HYPERLINK(CONCATENATE("#Metadata!", ADDRESS(INDEX($L$2:$L$1001,MATCH(ROWS($J$2:J153),$J$2:$J$1001,0),0), INDEX($Q$1004:$U$1004,1,MATCH(COLUMNS($Q$1006:Q1006),$Q$1006:$U$1006,0)))),"Fix")))</f>
        <v xml:space="preserve"> </v>
      </c>
      <c r="C153" s="3" t="str">
        <f ca="1">IF(OR(INDEX($K$2:$K$1001,MATCH(ROWS($J$2:J153),$J$2:$J$1001,0),1)&gt;=100000,INDEX($Q$1005:$U$1005,1,MATCH(COLUMNS($Q$1006:R1006),$Q$1006:$U$1006,0))&gt;=100000), " ",IF(INDEX($Q$2:$U$1001,MATCH(ROWS($J$2:J153),$J$2:$J$1001,0),MATCH(COLUMNS($Q$1006:R1006),$Q$1006:$U$1006,0)), HYPERLINK("#",""), HYPERLINK(CONCATENATE("#Metadata!", ADDRESS(INDEX($L$2:$L$1001,MATCH(ROWS($J$2:J153),$J$2:$J$1001,0),0), INDEX($Q$1004:$U$1004,1,MATCH(COLUMNS($Q$1006:R1006),$Q$1006:$U$1006,0)))),"Fix")))</f>
        <v xml:space="preserve"> </v>
      </c>
      <c r="D153" s="3" t="str">
        <f ca="1">IF(OR(INDEX($K$2:$K$1001,MATCH(ROWS($J$2:J153),$J$2:$J$1001,0),1)&gt;=100000,INDEX($Q$1005:$U$1005,1,MATCH(COLUMNS($Q$1006:S1006),$Q$1006:$U$1006,0))&gt;=100000), " ",IF(INDEX($Q$2:$U$1001,MATCH(ROWS($J$2:J153),$J$2:$J$1001,0),MATCH(COLUMNS($Q$1006:S1006),$Q$1006:$U$1006,0)), HYPERLINK("#",""), HYPERLINK(CONCATENATE("#Metadata!", ADDRESS(INDEX($L$2:$L$1001,MATCH(ROWS($J$2:J153),$J$2:$J$1001,0),0), INDEX($Q$1004:$U$1004,1,MATCH(COLUMNS($Q$1006:S1006),$Q$1006:$U$1006,0)))),"Fix")))</f>
        <v xml:space="preserve"> </v>
      </c>
      <c r="E153" s="3" t="str">
        <f ca="1">IF(OR(INDEX($K$2:$K$1001,MATCH(ROWS($J$2:J153),$J$2:$J$1001,0),1)&gt;=100000,INDEX($Q$1005:$U$1005,1,MATCH(COLUMNS($Q$1006:T1006),$Q$1006:$U$1006,0))&gt;=100000), " ",IF(INDEX($Q$2:$U$1001,MATCH(ROWS($J$2:J153),$J$2:$J$1001,0),MATCH(COLUMNS($Q$1006:T1006),$Q$1006:$U$1006,0)), HYPERLINK("#",""), HYPERLINK(CONCATENATE("#Metadata!", ADDRESS(INDEX($L$2:$L$1001,MATCH(ROWS($J$2:J153),$J$2:$J$1001,0),0), INDEX($Q$1004:$U$1004,1,MATCH(COLUMNS($Q$1006:T1006),$Q$1006:$U$1006,0)))),"Fix")))</f>
        <v xml:space="preserve"> </v>
      </c>
      <c r="F153" s="3" t="str">
        <f ca="1">IF(OR(INDEX($K$2:$K$1001,MATCH(ROWS($J$2:J153),$J$2:$J$1001,0),1)&gt;=100000,INDEX($Q$1005:$U$1005,1,MATCH(COLUMNS($Q$1006:U1006),$Q$1006:$U$1006,0))&gt;=100000), " ",IF(INDEX($Q$2:$U$1001,MATCH(ROWS($J$2:J153),$J$2:$J$1001,0),MATCH(COLUMNS($Q$1006:U1006),$Q$1006:$U$1006,0)), HYPERLINK("#",""), HYPERLINK(CONCATENATE("#Metadata!", ADDRESS(INDEX($L$2:$L$1001,MATCH(ROWS($J$2:J153),$J$2:$J$1001,0),0), INDEX($Q$1004:$U$1004,1,MATCH(COLUMNS($Q$1006:U1006),$Q$1006:$U$1006,0)))),"Fix")))</f>
        <v xml:space="preserve"> </v>
      </c>
      <c r="J153">
        <f ca="1"/>
        <v>152</v>
      </c>
      <c r="K153">
        <v>100153</v>
      </c>
      <c r="L153">
        <v>153</v>
      </c>
      <c r="M153" t="b">
        <f t="shared" si="2"/>
        <v>1</v>
      </c>
      <c r="N153" t="b">
        <f>COUNTBLANK(Metadata!B153:F153)=COLUMNS(Metadata!B153:F153)</f>
        <v>1</v>
      </c>
      <c r="O153" t="str">
        <v/>
      </c>
      <c r="Q153" t="b">
        <f ca="1"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R153" t="b">
        <f>IF(Metadata!C153="",FALSE,TRUE)</f>
        <v>0</v>
      </c>
      <c r="S153" t="b">
        <f>OR(AND(IF(Metadata!D153="",FALSE,TRUE),EXACT(Metadata!D153,"missing: not collected")),AND(IF(Metadata!D153="",FALSE,TRUE),OR(EXACT(Metadata!D153,"t"),EXACT(Metadata!D153,"f"))))</f>
        <v>0</v>
      </c>
      <c r="T153" t="b">
        <f>AND(IF(Metadata!E153="",FALSE,TRUE),OR(EXACT(Metadata!E153,"a"),EXACT(Metadata!E153,"b")))</f>
        <v>0</v>
      </c>
      <c r="U153" t="b">
        <f>OR(AND(IF(Metadata!F153="",FALSE,TRUE),OR(EXACT(Metadata!F153,"missing: not collected"),EXACT(Metadata!F153,"missing: not provided"))),AND(IF(Metadata!F153="",FALSE,TRUE),OR(EXACT(Metadata!F153,"lo"),EXACT(Metadata!F153,"med"),EXACT(Metadata!F153,"hi"))))</f>
        <v>0</v>
      </c>
    </row>
    <row r="154" spans="1:21" x14ac:dyDescent="0.2">
      <c r="A154" s="4" t="str">
        <f ca="1">IF(B154=" "," ",HYPERLINK(CONCATENATE("#metadata!",ADDRESS(INDEX($L$2:$L$1001,MATCH(ROWS($J$2:J154),$J$2:$J$1001,0),0),1)),INDEX($O$2:$O$1001,MATCH(ROWS($J$2:J154),$J$2:$J$1001,0),0)))</f>
        <v xml:space="preserve"> </v>
      </c>
      <c r="B154" s="3" t="str">
        <f ca="1">IF(OR(INDEX($K$2:$K$1001,MATCH(ROWS($J$2:J154),$J$2:$J$1001,0),1)&gt;=100000,INDEX($Q$1005:$U$1005,1,MATCH(COLUMNS($Q$1006:Q1006),$Q$1006:$U$1006,0))&gt;=100000), " ",IF(INDEX($Q$2:$U$1001,MATCH(ROWS($J$2:J154),$J$2:$J$1001,0),MATCH(COLUMNS($Q$1006:Q1006),$Q$1006:$U$1006,0)), HYPERLINK("#",""), HYPERLINK(CONCATENATE("#Metadata!", ADDRESS(INDEX($L$2:$L$1001,MATCH(ROWS($J$2:J154),$J$2:$J$1001,0),0), INDEX($Q$1004:$U$1004,1,MATCH(COLUMNS($Q$1006:Q1006),$Q$1006:$U$1006,0)))),"Fix")))</f>
        <v xml:space="preserve"> </v>
      </c>
      <c r="C154" s="3" t="str">
        <f ca="1">IF(OR(INDEX($K$2:$K$1001,MATCH(ROWS($J$2:J154),$J$2:$J$1001,0),1)&gt;=100000,INDEX($Q$1005:$U$1005,1,MATCH(COLUMNS($Q$1006:R1006),$Q$1006:$U$1006,0))&gt;=100000), " ",IF(INDEX($Q$2:$U$1001,MATCH(ROWS($J$2:J154),$J$2:$J$1001,0),MATCH(COLUMNS($Q$1006:R1006),$Q$1006:$U$1006,0)), HYPERLINK("#",""), HYPERLINK(CONCATENATE("#Metadata!", ADDRESS(INDEX($L$2:$L$1001,MATCH(ROWS($J$2:J154),$J$2:$J$1001,0),0), INDEX($Q$1004:$U$1004,1,MATCH(COLUMNS($Q$1006:R1006),$Q$1006:$U$1006,0)))),"Fix")))</f>
        <v xml:space="preserve"> </v>
      </c>
      <c r="D154" s="3" t="str">
        <f ca="1">IF(OR(INDEX($K$2:$K$1001,MATCH(ROWS($J$2:J154),$J$2:$J$1001,0),1)&gt;=100000,INDEX($Q$1005:$U$1005,1,MATCH(COLUMNS($Q$1006:S1006),$Q$1006:$U$1006,0))&gt;=100000), " ",IF(INDEX($Q$2:$U$1001,MATCH(ROWS($J$2:J154),$J$2:$J$1001,0),MATCH(COLUMNS($Q$1006:S1006),$Q$1006:$U$1006,0)), HYPERLINK("#",""), HYPERLINK(CONCATENATE("#Metadata!", ADDRESS(INDEX($L$2:$L$1001,MATCH(ROWS($J$2:J154),$J$2:$J$1001,0),0), INDEX($Q$1004:$U$1004,1,MATCH(COLUMNS($Q$1006:S1006),$Q$1006:$U$1006,0)))),"Fix")))</f>
        <v xml:space="preserve"> </v>
      </c>
      <c r="E154" s="3" t="str">
        <f ca="1">IF(OR(INDEX($K$2:$K$1001,MATCH(ROWS($J$2:J154),$J$2:$J$1001,0),1)&gt;=100000,INDEX($Q$1005:$U$1005,1,MATCH(COLUMNS($Q$1006:T1006),$Q$1006:$U$1006,0))&gt;=100000), " ",IF(INDEX($Q$2:$U$1001,MATCH(ROWS($J$2:J154),$J$2:$J$1001,0),MATCH(COLUMNS($Q$1006:T1006),$Q$1006:$U$1006,0)), HYPERLINK("#",""), HYPERLINK(CONCATENATE("#Metadata!", ADDRESS(INDEX($L$2:$L$1001,MATCH(ROWS($J$2:J154),$J$2:$J$1001,0),0), INDEX($Q$1004:$U$1004,1,MATCH(COLUMNS($Q$1006:T1006),$Q$1006:$U$1006,0)))),"Fix")))</f>
        <v xml:space="preserve"> </v>
      </c>
      <c r="F154" s="3" t="str">
        <f ca="1">IF(OR(INDEX($K$2:$K$1001,MATCH(ROWS($J$2:J154),$J$2:$J$1001,0),1)&gt;=100000,INDEX($Q$1005:$U$1005,1,MATCH(COLUMNS($Q$1006:U1006),$Q$1006:$U$1006,0))&gt;=100000), " ",IF(INDEX($Q$2:$U$1001,MATCH(ROWS($J$2:J154),$J$2:$J$1001,0),MATCH(COLUMNS($Q$1006:U1006),$Q$1006:$U$1006,0)), HYPERLINK("#",""), HYPERLINK(CONCATENATE("#Metadata!", ADDRESS(INDEX($L$2:$L$1001,MATCH(ROWS($J$2:J154),$J$2:$J$1001,0),0), INDEX($Q$1004:$U$1004,1,MATCH(COLUMNS($Q$1006:U1006),$Q$1006:$U$1006,0)))),"Fix")))</f>
        <v xml:space="preserve"> </v>
      </c>
      <c r="J154">
        <f ca="1"/>
        <v>153</v>
      </c>
      <c r="K154">
        <v>100154</v>
      </c>
      <c r="L154">
        <v>154</v>
      </c>
      <c r="M154" t="b">
        <f t="shared" si="2"/>
        <v>1</v>
      </c>
      <c r="N154" t="b">
        <f>COUNTBLANK(Metadata!B154:F154)=COLUMNS(Metadata!B154:F154)</f>
        <v>1</v>
      </c>
      <c r="O154" t="str">
        <v/>
      </c>
      <c r="Q154" t="b">
        <f ca="1"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R154" t="b">
        <f>IF(Metadata!C154="",FALSE,TRUE)</f>
        <v>0</v>
      </c>
      <c r="S154" t="b">
        <f>OR(AND(IF(Metadata!D154="",FALSE,TRUE),EXACT(Metadata!D154,"missing: not collected")),AND(IF(Metadata!D154="",FALSE,TRUE),OR(EXACT(Metadata!D154,"t"),EXACT(Metadata!D154,"f"))))</f>
        <v>0</v>
      </c>
      <c r="T154" t="b">
        <f>AND(IF(Metadata!E154="",FALSE,TRUE),OR(EXACT(Metadata!E154,"a"),EXACT(Metadata!E154,"b")))</f>
        <v>0</v>
      </c>
      <c r="U154" t="b">
        <f>OR(AND(IF(Metadata!F154="",FALSE,TRUE),OR(EXACT(Metadata!F154,"missing: not collected"),EXACT(Metadata!F154,"missing: not provided"))),AND(IF(Metadata!F154="",FALSE,TRUE),OR(EXACT(Metadata!F154,"lo"),EXACT(Metadata!F154,"med"),EXACT(Metadata!F154,"hi"))))</f>
        <v>0</v>
      </c>
    </row>
    <row r="155" spans="1:21" x14ac:dyDescent="0.2">
      <c r="A155" s="4" t="str">
        <f ca="1">IF(B155=" "," ",HYPERLINK(CONCATENATE("#metadata!",ADDRESS(INDEX($L$2:$L$1001,MATCH(ROWS($J$2:J155),$J$2:$J$1001,0),0),1)),INDEX($O$2:$O$1001,MATCH(ROWS($J$2:J155),$J$2:$J$1001,0),0)))</f>
        <v xml:space="preserve"> </v>
      </c>
      <c r="B155" s="3" t="str">
        <f ca="1">IF(OR(INDEX($K$2:$K$1001,MATCH(ROWS($J$2:J155),$J$2:$J$1001,0),1)&gt;=100000,INDEX($Q$1005:$U$1005,1,MATCH(COLUMNS($Q$1006:Q1006),$Q$1006:$U$1006,0))&gt;=100000), " ",IF(INDEX($Q$2:$U$1001,MATCH(ROWS($J$2:J155),$J$2:$J$1001,0),MATCH(COLUMNS($Q$1006:Q1006),$Q$1006:$U$1006,0)), HYPERLINK("#",""), HYPERLINK(CONCATENATE("#Metadata!", ADDRESS(INDEX($L$2:$L$1001,MATCH(ROWS($J$2:J155),$J$2:$J$1001,0),0), INDEX($Q$1004:$U$1004,1,MATCH(COLUMNS($Q$1006:Q1006),$Q$1006:$U$1006,0)))),"Fix")))</f>
        <v xml:space="preserve"> </v>
      </c>
      <c r="C155" s="3" t="str">
        <f ca="1">IF(OR(INDEX($K$2:$K$1001,MATCH(ROWS($J$2:J155),$J$2:$J$1001,0),1)&gt;=100000,INDEX($Q$1005:$U$1005,1,MATCH(COLUMNS($Q$1006:R1006),$Q$1006:$U$1006,0))&gt;=100000), " ",IF(INDEX($Q$2:$U$1001,MATCH(ROWS($J$2:J155),$J$2:$J$1001,0),MATCH(COLUMNS($Q$1006:R1006),$Q$1006:$U$1006,0)), HYPERLINK("#",""), HYPERLINK(CONCATENATE("#Metadata!", ADDRESS(INDEX($L$2:$L$1001,MATCH(ROWS($J$2:J155),$J$2:$J$1001,0),0), INDEX($Q$1004:$U$1004,1,MATCH(COLUMNS($Q$1006:R1006),$Q$1006:$U$1006,0)))),"Fix")))</f>
        <v xml:space="preserve"> </v>
      </c>
      <c r="D155" s="3" t="str">
        <f ca="1">IF(OR(INDEX($K$2:$K$1001,MATCH(ROWS($J$2:J155),$J$2:$J$1001,0),1)&gt;=100000,INDEX($Q$1005:$U$1005,1,MATCH(COLUMNS($Q$1006:S1006),$Q$1006:$U$1006,0))&gt;=100000), " ",IF(INDEX($Q$2:$U$1001,MATCH(ROWS($J$2:J155),$J$2:$J$1001,0),MATCH(COLUMNS($Q$1006:S1006),$Q$1006:$U$1006,0)), HYPERLINK("#",""), HYPERLINK(CONCATENATE("#Metadata!", ADDRESS(INDEX($L$2:$L$1001,MATCH(ROWS($J$2:J155),$J$2:$J$1001,0),0), INDEX($Q$1004:$U$1004,1,MATCH(COLUMNS($Q$1006:S1006),$Q$1006:$U$1006,0)))),"Fix")))</f>
        <v xml:space="preserve"> </v>
      </c>
      <c r="E155" s="3" t="str">
        <f ca="1">IF(OR(INDEX($K$2:$K$1001,MATCH(ROWS($J$2:J155),$J$2:$J$1001,0),1)&gt;=100000,INDEX($Q$1005:$U$1005,1,MATCH(COLUMNS($Q$1006:T1006),$Q$1006:$U$1006,0))&gt;=100000), " ",IF(INDEX($Q$2:$U$1001,MATCH(ROWS($J$2:J155),$J$2:$J$1001,0),MATCH(COLUMNS($Q$1006:T1006),$Q$1006:$U$1006,0)), HYPERLINK("#",""), HYPERLINK(CONCATENATE("#Metadata!", ADDRESS(INDEX($L$2:$L$1001,MATCH(ROWS($J$2:J155),$J$2:$J$1001,0),0), INDEX($Q$1004:$U$1004,1,MATCH(COLUMNS($Q$1006:T1006),$Q$1006:$U$1006,0)))),"Fix")))</f>
        <v xml:space="preserve"> </v>
      </c>
      <c r="F155" s="3" t="str">
        <f ca="1">IF(OR(INDEX($K$2:$K$1001,MATCH(ROWS($J$2:J155),$J$2:$J$1001,0),1)&gt;=100000,INDEX($Q$1005:$U$1005,1,MATCH(COLUMNS($Q$1006:U1006),$Q$1006:$U$1006,0))&gt;=100000), " ",IF(INDEX($Q$2:$U$1001,MATCH(ROWS($J$2:J155),$J$2:$J$1001,0),MATCH(COLUMNS($Q$1006:U1006),$Q$1006:$U$1006,0)), HYPERLINK("#",""), HYPERLINK(CONCATENATE("#Metadata!", ADDRESS(INDEX($L$2:$L$1001,MATCH(ROWS($J$2:J155),$J$2:$J$1001,0),0), INDEX($Q$1004:$U$1004,1,MATCH(COLUMNS($Q$1006:U1006),$Q$1006:$U$1006,0)))),"Fix")))</f>
        <v xml:space="preserve"> </v>
      </c>
      <c r="J155">
        <f ca="1"/>
        <v>154</v>
      </c>
      <c r="K155">
        <v>100155</v>
      </c>
      <c r="L155">
        <v>155</v>
      </c>
      <c r="M155" t="b">
        <f t="shared" si="2"/>
        <v>1</v>
      </c>
      <c r="N155" t="b">
        <f>COUNTBLANK(Metadata!B155:F155)=COLUMNS(Metadata!B155:F155)</f>
        <v>1</v>
      </c>
      <c r="O155" t="str">
        <v/>
      </c>
      <c r="Q155" t="b">
        <f ca="1"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R155" t="b">
        <f>IF(Metadata!C155="",FALSE,TRUE)</f>
        <v>0</v>
      </c>
      <c r="S155" t="b">
        <f>OR(AND(IF(Metadata!D155="",FALSE,TRUE),EXACT(Metadata!D155,"missing: not collected")),AND(IF(Metadata!D155="",FALSE,TRUE),OR(EXACT(Metadata!D155,"t"),EXACT(Metadata!D155,"f"))))</f>
        <v>0</v>
      </c>
      <c r="T155" t="b">
        <f>AND(IF(Metadata!E155="",FALSE,TRUE),OR(EXACT(Metadata!E155,"a"),EXACT(Metadata!E155,"b")))</f>
        <v>0</v>
      </c>
      <c r="U155" t="b">
        <f>OR(AND(IF(Metadata!F155="",FALSE,TRUE),OR(EXACT(Metadata!F155,"missing: not collected"),EXACT(Metadata!F155,"missing: not provided"))),AND(IF(Metadata!F155="",FALSE,TRUE),OR(EXACT(Metadata!F155,"lo"),EXACT(Metadata!F155,"med"),EXACT(Metadata!F155,"hi"))))</f>
        <v>0</v>
      </c>
    </row>
    <row r="156" spans="1:21" x14ac:dyDescent="0.2">
      <c r="A156" s="4" t="str">
        <f ca="1">IF(B156=" "," ",HYPERLINK(CONCATENATE("#metadata!",ADDRESS(INDEX($L$2:$L$1001,MATCH(ROWS($J$2:J156),$J$2:$J$1001,0),0),1)),INDEX($O$2:$O$1001,MATCH(ROWS($J$2:J156),$J$2:$J$1001,0),0)))</f>
        <v xml:space="preserve"> </v>
      </c>
      <c r="B156" s="3" t="str">
        <f ca="1">IF(OR(INDEX($K$2:$K$1001,MATCH(ROWS($J$2:J156),$J$2:$J$1001,0),1)&gt;=100000,INDEX($Q$1005:$U$1005,1,MATCH(COLUMNS($Q$1006:Q1006),$Q$1006:$U$1006,0))&gt;=100000), " ",IF(INDEX($Q$2:$U$1001,MATCH(ROWS($J$2:J156),$J$2:$J$1001,0),MATCH(COLUMNS($Q$1006:Q1006),$Q$1006:$U$1006,0)), HYPERLINK("#",""), HYPERLINK(CONCATENATE("#Metadata!", ADDRESS(INDEX($L$2:$L$1001,MATCH(ROWS($J$2:J156),$J$2:$J$1001,0),0), INDEX($Q$1004:$U$1004,1,MATCH(COLUMNS($Q$1006:Q1006),$Q$1006:$U$1006,0)))),"Fix")))</f>
        <v xml:space="preserve"> </v>
      </c>
      <c r="C156" s="3" t="str">
        <f ca="1">IF(OR(INDEX($K$2:$K$1001,MATCH(ROWS($J$2:J156),$J$2:$J$1001,0),1)&gt;=100000,INDEX($Q$1005:$U$1005,1,MATCH(COLUMNS($Q$1006:R1006),$Q$1006:$U$1006,0))&gt;=100000), " ",IF(INDEX($Q$2:$U$1001,MATCH(ROWS($J$2:J156),$J$2:$J$1001,0),MATCH(COLUMNS($Q$1006:R1006),$Q$1006:$U$1006,0)), HYPERLINK("#",""), HYPERLINK(CONCATENATE("#Metadata!", ADDRESS(INDEX($L$2:$L$1001,MATCH(ROWS($J$2:J156),$J$2:$J$1001,0),0), INDEX($Q$1004:$U$1004,1,MATCH(COLUMNS($Q$1006:R1006),$Q$1006:$U$1006,0)))),"Fix")))</f>
        <v xml:space="preserve"> </v>
      </c>
      <c r="D156" s="3" t="str">
        <f ca="1">IF(OR(INDEX($K$2:$K$1001,MATCH(ROWS($J$2:J156),$J$2:$J$1001,0),1)&gt;=100000,INDEX($Q$1005:$U$1005,1,MATCH(COLUMNS($Q$1006:S1006),$Q$1006:$U$1006,0))&gt;=100000), " ",IF(INDEX($Q$2:$U$1001,MATCH(ROWS($J$2:J156),$J$2:$J$1001,0),MATCH(COLUMNS($Q$1006:S1006),$Q$1006:$U$1006,0)), HYPERLINK("#",""), HYPERLINK(CONCATENATE("#Metadata!", ADDRESS(INDEX($L$2:$L$1001,MATCH(ROWS($J$2:J156),$J$2:$J$1001,0),0), INDEX($Q$1004:$U$1004,1,MATCH(COLUMNS($Q$1006:S1006),$Q$1006:$U$1006,0)))),"Fix")))</f>
        <v xml:space="preserve"> </v>
      </c>
      <c r="E156" s="3" t="str">
        <f ca="1">IF(OR(INDEX($K$2:$K$1001,MATCH(ROWS($J$2:J156),$J$2:$J$1001,0),1)&gt;=100000,INDEX($Q$1005:$U$1005,1,MATCH(COLUMNS($Q$1006:T1006),$Q$1006:$U$1006,0))&gt;=100000), " ",IF(INDEX($Q$2:$U$1001,MATCH(ROWS($J$2:J156),$J$2:$J$1001,0),MATCH(COLUMNS($Q$1006:T1006),$Q$1006:$U$1006,0)), HYPERLINK("#",""), HYPERLINK(CONCATENATE("#Metadata!", ADDRESS(INDEX($L$2:$L$1001,MATCH(ROWS($J$2:J156),$J$2:$J$1001,0),0), INDEX($Q$1004:$U$1004,1,MATCH(COLUMNS($Q$1006:T1006),$Q$1006:$U$1006,0)))),"Fix")))</f>
        <v xml:space="preserve"> </v>
      </c>
      <c r="F156" s="3" t="str">
        <f ca="1">IF(OR(INDEX($K$2:$K$1001,MATCH(ROWS($J$2:J156),$J$2:$J$1001,0),1)&gt;=100000,INDEX($Q$1005:$U$1005,1,MATCH(COLUMNS($Q$1006:U1006),$Q$1006:$U$1006,0))&gt;=100000), " ",IF(INDEX($Q$2:$U$1001,MATCH(ROWS($J$2:J156),$J$2:$J$1001,0),MATCH(COLUMNS($Q$1006:U1006),$Q$1006:$U$1006,0)), HYPERLINK("#",""), HYPERLINK(CONCATENATE("#Metadata!", ADDRESS(INDEX($L$2:$L$1001,MATCH(ROWS($J$2:J156),$J$2:$J$1001,0),0), INDEX($Q$1004:$U$1004,1,MATCH(COLUMNS($Q$1006:U1006),$Q$1006:$U$1006,0)))),"Fix")))</f>
        <v xml:space="preserve"> </v>
      </c>
      <c r="J156">
        <f ca="1"/>
        <v>155</v>
      </c>
      <c r="K156">
        <v>100156</v>
      </c>
      <c r="L156">
        <v>156</v>
      </c>
      <c r="M156" t="b">
        <f t="shared" si="2"/>
        <v>1</v>
      </c>
      <c r="N156" t="b">
        <f>COUNTBLANK(Metadata!B156:F156)=COLUMNS(Metadata!B156:F156)</f>
        <v>1</v>
      </c>
      <c r="O156" t="str">
        <v/>
      </c>
      <c r="Q156" t="b">
        <f ca="1"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R156" t="b">
        <f>IF(Metadata!C156="",FALSE,TRUE)</f>
        <v>0</v>
      </c>
      <c r="S156" t="b">
        <f>OR(AND(IF(Metadata!D156="",FALSE,TRUE),EXACT(Metadata!D156,"missing: not collected")),AND(IF(Metadata!D156="",FALSE,TRUE),OR(EXACT(Metadata!D156,"t"),EXACT(Metadata!D156,"f"))))</f>
        <v>0</v>
      </c>
      <c r="T156" t="b">
        <f>AND(IF(Metadata!E156="",FALSE,TRUE),OR(EXACT(Metadata!E156,"a"),EXACT(Metadata!E156,"b")))</f>
        <v>0</v>
      </c>
      <c r="U156" t="b">
        <f>OR(AND(IF(Metadata!F156="",FALSE,TRUE),OR(EXACT(Metadata!F156,"missing: not collected"),EXACT(Metadata!F156,"missing: not provided"))),AND(IF(Metadata!F156="",FALSE,TRUE),OR(EXACT(Metadata!F156,"lo"),EXACT(Metadata!F156,"med"),EXACT(Metadata!F156,"hi"))))</f>
        <v>0</v>
      </c>
    </row>
    <row r="157" spans="1:21" x14ac:dyDescent="0.2">
      <c r="A157" s="4" t="str">
        <f ca="1">IF(B157=" "," ",HYPERLINK(CONCATENATE("#metadata!",ADDRESS(INDEX($L$2:$L$1001,MATCH(ROWS($J$2:J157),$J$2:$J$1001,0),0),1)),INDEX($O$2:$O$1001,MATCH(ROWS($J$2:J157),$J$2:$J$1001,0),0)))</f>
        <v xml:space="preserve"> </v>
      </c>
      <c r="B157" s="3" t="str">
        <f ca="1">IF(OR(INDEX($K$2:$K$1001,MATCH(ROWS($J$2:J157),$J$2:$J$1001,0),1)&gt;=100000,INDEX($Q$1005:$U$1005,1,MATCH(COLUMNS($Q$1006:Q1006),$Q$1006:$U$1006,0))&gt;=100000), " ",IF(INDEX($Q$2:$U$1001,MATCH(ROWS($J$2:J157),$J$2:$J$1001,0),MATCH(COLUMNS($Q$1006:Q1006),$Q$1006:$U$1006,0)), HYPERLINK("#",""), HYPERLINK(CONCATENATE("#Metadata!", ADDRESS(INDEX($L$2:$L$1001,MATCH(ROWS($J$2:J157),$J$2:$J$1001,0),0), INDEX($Q$1004:$U$1004,1,MATCH(COLUMNS($Q$1006:Q1006),$Q$1006:$U$1006,0)))),"Fix")))</f>
        <v xml:space="preserve"> </v>
      </c>
      <c r="C157" s="3" t="str">
        <f ca="1">IF(OR(INDEX($K$2:$K$1001,MATCH(ROWS($J$2:J157),$J$2:$J$1001,0),1)&gt;=100000,INDEX($Q$1005:$U$1005,1,MATCH(COLUMNS($Q$1006:R1006),$Q$1006:$U$1006,0))&gt;=100000), " ",IF(INDEX($Q$2:$U$1001,MATCH(ROWS($J$2:J157),$J$2:$J$1001,0),MATCH(COLUMNS($Q$1006:R1006),$Q$1006:$U$1006,0)), HYPERLINK("#",""), HYPERLINK(CONCATENATE("#Metadata!", ADDRESS(INDEX($L$2:$L$1001,MATCH(ROWS($J$2:J157),$J$2:$J$1001,0),0), INDEX($Q$1004:$U$1004,1,MATCH(COLUMNS($Q$1006:R1006),$Q$1006:$U$1006,0)))),"Fix")))</f>
        <v xml:space="preserve"> </v>
      </c>
      <c r="D157" s="3" t="str">
        <f ca="1">IF(OR(INDEX($K$2:$K$1001,MATCH(ROWS($J$2:J157),$J$2:$J$1001,0),1)&gt;=100000,INDEX($Q$1005:$U$1005,1,MATCH(COLUMNS($Q$1006:S1006),$Q$1006:$U$1006,0))&gt;=100000), " ",IF(INDEX($Q$2:$U$1001,MATCH(ROWS($J$2:J157),$J$2:$J$1001,0),MATCH(COLUMNS($Q$1006:S1006),$Q$1006:$U$1006,0)), HYPERLINK("#",""), HYPERLINK(CONCATENATE("#Metadata!", ADDRESS(INDEX($L$2:$L$1001,MATCH(ROWS($J$2:J157),$J$2:$J$1001,0),0), INDEX($Q$1004:$U$1004,1,MATCH(COLUMNS($Q$1006:S1006),$Q$1006:$U$1006,0)))),"Fix")))</f>
        <v xml:space="preserve"> </v>
      </c>
      <c r="E157" s="3" t="str">
        <f ca="1">IF(OR(INDEX($K$2:$K$1001,MATCH(ROWS($J$2:J157),$J$2:$J$1001,0),1)&gt;=100000,INDEX($Q$1005:$U$1005,1,MATCH(COLUMNS($Q$1006:T1006),$Q$1006:$U$1006,0))&gt;=100000), " ",IF(INDEX($Q$2:$U$1001,MATCH(ROWS($J$2:J157),$J$2:$J$1001,0),MATCH(COLUMNS($Q$1006:T1006),$Q$1006:$U$1006,0)), HYPERLINK("#",""), HYPERLINK(CONCATENATE("#Metadata!", ADDRESS(INDEX($L$2:$L$1001,MATCH(ROWS($J$2:J157),$J$2:$J$1001,0),0), INDEX($Q$1004:$U$1004,1,MATCH(COLUMNS($Q$1006:T1006),$Q$1006:$U$1006,0)))),"Fix")))</f>
        <v xml:space="preserve"> </v>
      </c>
      <c r="F157" s="3" t="str">
        <f ca="1">IF(OR(INDEX($K$2:$K$1001,MATCH(ROWS($J$2:J157),$J$2:$J$1001,0),1)&gt;=100000,INDEX($Q$1005:$U$1005,1,MATCH(COLUMNS($Q$1006:U1006),$Q$1006:$U$1006,0))&gt;=100000), " ",IF(INDEX($Q$2:$U$1001,MATCH(ROWS($J$2:J157),$J$2:$J$1001,0),MATCH(COLUMNS($Q$1006:U1006),$Q$1006:$U$1006,0)), HYPERLINK("#",""), HYPERLINK(CONCATENATE("#Metadata!", ADDRESS(INDEX($L$2:$L$1001,MATCH(ROWS($J$2:J157),$J$2:$J$1001,0),0), INDEX($Q$1004:$U$1004,1,MATCH(COLUMNS($Q$1006:U1006),$Q$1006:$U$1006,0)))),"Fix")))</f>
        <v xml:space="preserve"> </v>
      </c>
      <c r="J157">
        <f ca="1"/>
        <v>156</v>
      </c>
      <c r="K157">
        <v>100157</v>
      </c>
      <c r="L157">
        <v>157</v>
      </c>
      <c r="M157" t="b">
        <f t="shared" si="2"/>
        <v>1</v>
      </c>
      <c r="N157" t="b">
        <f>COUNTBLANK(Metadata!B157:F157)=COLUMNS(Metadata!B157:F157)</f>
        <v>1</v>
      </c>
      <c r="O157" t="str">
        <v/>
      </c>
      <c r="Q157" t="b">
        <f ca="1"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R157" t="b">
        <f>IF(Metadata!C157="",FALSE,TRUE)</f>
        <v>0</v>
      </c>
      <c r="S157" t="b">
        <f>OR(AND(IF(Metadata!D157="",FALSE,TRUE),EXACT(Metadata!D157,"missing: not collected")),AND(IF(Metadata!D157="",FALSE,TRUE),OR(EXACT(Metadata!D157,"t"),EXACT(Metadata!D157,"f"))))</f>
        <v>0</v>
      </c>
      <c r="T157" t="b">
        <f>AND(IF(Metadata!E157="",FALSE,TRUE),OR(EXACT(Metadata!E157,"a"),EXACT(Metadata!E157,"b")))</f>
        <v>0</v>
      </c>
      <c r="U157" t="b">
        <f>OR(AND(IF(Metadata!F157="",FALSE,TRUE),OR(EXACT(Metadata!F157,"missing: not collected"),EXACT(Metadata!F157,"missing: not provided"))),AND(IF(Metadata!F157="",FALSE,TRUE),OR(EXACT(Metadata!F157,"lo"),EXACT(Metadata!F157,"med"),EXACT(Metadata!F157,"hi"))))</f>
        <v>0</v>
      </c>
    </row>
    <row r="158" spans="1:21" x14ac:dyDescent="0.2">
      <c r="A158" s="4" t="str">
        <f ca="1">IF(B158=" "," ",HYPERLINK(CONCATENATE("#metadata!",ADDRESS(INDEX($L$2:$L$1001,MATCH(ROWS($J$2:J158),$J$2:$J$1001,0),0),1)),INDEX($O$2:$O$1001,MATCH(ROWS($J$2:J158),$J$2:$J$1001,0),0)))</f>
        <v xml:space="preserve"> </v>
      </c>
      <c r="B158" s="3" t="str">
        <f ca="1">IF(OR(INDEX($K$2:$K$1001,MATCH(ROWS($J$2:J158),$J$2:$J$1001,0),1)&gt;=100000,INDEX($Q$1005:$U$1005,1,MATCH(COLUMNS($Q$1006:Q1006),$Q$1006:$U$1006,0))&gt;=100000), " ",IF(INDEX($Q$2:$U$1001,MATCH(ROWS($J$2:J158),$J$2:$J$1001,0),MATCH(COLUMNS($Q$1006:Q1006),$Q$1006:$U$1006,0)), HYPERLINK("#",""), HYPERLINK(CONCATENATE("#Metadata!", ADDRESS(INDEX($L$2:$L$1001,MATCH(ROWS($J$2:J158),$J$2:$J$1001,0),0), INDEX($Q$1004:$U$1004,1,MATCH(COLUMNS($Q$1006:Q1006),$Q$1006:$U$1006,0)))),"Fix")))</f>
        <v xml:space="preserve"> </v>
      </c>
      <c r="C158" s="3" t="str">
        <f ca="1">IF(OR(INDEX($K$2:$K$1001,MATCH(ROWS($J$2:J158),$J$2:$J$1001,0),1)&gt;=100000,INDEX($Q$1005:$U$1005,1,MATCH(COLUMNS($Q$1006:R1006),$Q$1006:$U$1006,0))&gt;=100000), " ",IF(INDEX($Q$2:$U$1001,MATCH(ROWS($J$2:J158),$J$2:$J$1001,0),MATCH(COLUMNS($Q$1006:R1006),$Q$1006:$U$1006,0)), HYPERLINK("#",""), HYPERLINK(CONCATENATE("#Metadata!", ADDRESS(INDEX($L$2:$L$1001,MATCH(ROWS($J$2:J158),$J$2:$J$1001,0),0), INDEX($Q$1004:$U$1004,1,MATCH(COLUMNS($Q$1006:R1006),$Q$1006:$U$1006,0)))),"Fix")))</f>
        <v xml:space="preserve"> </v>
      </c>
      <c r="D158" s="3" t="str">
        <f ca="1">IF(OR(INDEX($K$2:$K$1001,MATCH(ROWS($J$2:J158),$J$2:$J$1001,0),1)&gt;=100000,INDEX($Q$1005:$U$1005,1,MATCH(COLUMNS($Q$1006:S1006),$Q$1006:$U$1006,0))&gt;=100000), " ",IF(INDEX($Q$2:$U$1001,MATCH(ROWS($J$2:J158),$J$2:$J$1001,0),MATCH(COLUMNS($Q$1006:S1006),$Q$1006:$U$1006,0)), HYPERLINK("#",""), HYPERLINK(CONCATENATE("#Metadata!", ADDRESS(INDEX($L$2:$L$1001,MATCH(ROWS($J$2:J158),$J$2:$J$1001,0),0), INDEX($Q$1004:$U$1004,1,MATCH(COLUMNS($Q$1006:S1006),$Q$1006:$U$1006,0)))),"Fix")))</f>
        <v xml:space="preserve"> </v>
      </c>
      <c r="E158" s="3" t="str">
        <f ca="1">IF(OR(INDEX($K$2:$K$1001,MATCH(ROWS($J$2:J158),$J$2:$J$1001,0),1)&gt;=100000,INDEX($Q$1005:$U$1005,1,MATCH(COLUMNS($Q$1006:T1006),$Q$1006:$U$1006,0))&gt;=100000), " ",IF(INDEX($Q$2:$U$1001,MATCH(ROWS($J$2:J158),$J$2:$J$1001,0),MATCH(COLUMNS($Q$1006:T1006),$Q$1006:$U$1006,0)), HYPERLINK("#",""), HYPERLINK(CONCATENATE("#Metadata!", ADDRESS(INDEX($L$2:$L$1001,MATCH(ROWS($J$2:J158),$J$2:$J$1001,0),0), INDEX($Q$1004:$U$1004,1,MATCH(COLUMNS($Q$1006:T1006),$Q$1006:$U$1006,0)))),"Fix")))</f>
        <v xml:space="preserve"> </v>
      </c>
      <c r="F158" s="3" t="str">
        <f ca="1">IF(OR(INDEX($K$2:$K$1001,MATCH(ROWS($J$2:J158),$J$2:$J$1001,0),1)&gt;=100000,INDEX($Q$1005:$U$1005,1,MATCH(COLUMNS($Q$1006:U1006),$Q$1006:$U$1006,0))&gt;=100000), " ",IF(INDEX($Q$2:$U$1001,MATCH(ROWS($J$2:J158),$J$2:$J$1001,0),MATCH(COLUMNS($Q$1006:U1006),$Q$1006:$U$1006,0)), HYPERLINK("#",""), HYPERLINK(CONCATENATE("#Metadata!", ADDRESS(INDEX($L$2:$L$1001,MATCH(ROWS($J$2:J158),$J$2:$J$1001,0),0), INDEX($Q$1004:$U$1004,1,MATCH(COLUMNS($Q$1006:U1006),$Q$1006:$U$1006,0)))),"Fix")))</f>
        <v xml:space="preserve"> </v>
      </c>
      <c r="J158">
        <f ca="1"/>
        <v>157</v>
      </c>
      <c r="K158">
        <v>100158</v>
      </c>
      <c r="L158">
        <v>158</v>
      </c>
      <c r="M158" t="b">
        <f t="shared" si="2"/>
        <v>1</v>
      </c>
      <c r="N158" t="b">
        <f>COUNTBLANK(Metadata!B158:F158)=COLUMNS(Metadata!B158:F158)</f>
        <v>1</v>
      </c>
      <c r="O158" t="str">
        <v/>
      </c>
      <c r="Q158" t="b">
        <f ca="1"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R158" t="b">
        <f>IF(Metadata!C158="",FALSE,TRUE)</f>
        <v>0</v>
      </c>
      <c r="S158" t="b">
        <f>OR(AND(IF(Metadata!D158="",FALSE,TRUE),EXACT(Metadata!D158,"missing: not collected")),AND(IF(Metadata!D158="",FALSE,TRUE),OR(EXACT(Metadata!D158,"t"),EXACT(Metadata!D158,"f"))))</f>
        <v>0</v>
      </c>
      <c r="T158" t="b">
        <f>AND(IF(Metadata!E158="",FALSE,TRUE),OR(EXACT(Metadata!E158,"a"),EXACT(Metadata!E158,"b")))</f>
        <v>0</v>
      </c>
      <c r="U158" t="b">
        <f>OR(AND(IF(Metadata!F158="",FALSE,TRUE),OR(EXACT(Metadata!F158,"missing: not collected"),EXACT(Metadata!F158,"missing: not provided"))),AND(IF(Metadata!F158="",FALSE,TRUE),OR(EXACT(Metadata!F158,"lo"),EXACT(Metadata!F158,"med"),EXACT(Metadata!F158,"hi"))))</f>
        <v>0</v>
      </c>
    </row>
    <row r="159" spans="1:21" x14ac:dyDescent="0.2">
      <c r="A159" s="4" t="str">
        <f ca="1">IF(B159=" "," ",HYPERLINK(CONCATENATE("#metadata!",ADDRESS(INDEX($L$2:$L$1001,MATCH(ROWS($J$2:J159),$J$2:$J$1001,0),0),1)),INDEX($O$2:$O$1001,MATCH(ROWS($J$2:J159),$J$2:$J$1001,0),0)))</f>
        <v xml:space="preserve"> </v>
      </c>
      <c r="B159" s="3" t="str">
        <f ca="1">IF(OR(INDEX($K$2:$K$1001,MATCH(ROWS($J$2:J159),$J$2:$J$1001,0),1)&gt;=100000,INDEX($Q$1005:$U$1005,1,MATCH(COLUMNS($Q$1006:Q1006),$Q$1006:$U$1006,0))&gt;=100000), " ",IF(INDEX($Q$2:$U$1001,MATCH(ROWS($J$2:J159),$J$2:$J$1001,0),MATCH(COLUMNS($Q$1006:Q1006),$Q$1006:$U$1006,0)), HYPERLINK("#",""), HYPERLINK(CONCATENATE("#Metadata!", ADDRESS(INDEX($L$2:$L$1001,MATCH(ROWS($J$2:J159),$J$2:$J$1001,0),0), INDEX($Q$1004:$U$1004,1,MATCH(COLUMNS($Q$1006:Q1006),$Q$1006:$U$1006,0)))),"Fix")))</f>
        <v xml:space="preserve"> </v>
      </c>
      <c r="C159" s="3" t="str">
        <f ca="1">IF(OR(INDEX($K$2:$K$1001,MATCH(ROWS($J$2:J159),$J$2:$J$1001,0),1)&gt;=100000,INDEX($Q$1005:$U$1005,1,MATCH(COLUMNS($Q$1006:R1006),$Q$1006:$U$1006,0))&gt;=100000), " ",IF(INDEX($Q$2:$U$1001,MATCH(ROWS($J$2:J159),$J$2:$J$1001,0),MATCH(COLUMNS($Q$1006:R1006),$Q$1006:$U$1006,0)), HYPERLINK("#",""), HYPERLINK(CONCATENATE("#Metadata!", ADDRESS(INDEX($L$2:$L$1001,MATCH(ROWS($J$2:J159),$J$2:$J$1001,0),0), INDEX($Q$1004:$U$1004,1,MATCH(COLUMNS($Q$1006:R1006),$Q$1006:$U$1006,0)))),"Fix")))</f>
        <v xml:space="preserve"> </v>
      </c>
      <c r="D159" s="3" t="str">
        <f ca="1">IF(OR(INDEX($K$2:$K$1001,MATCH(ROWS($J$2:J159),$J$2:$J$1001,0),1)&gt;=100000,INDEX($Q$1005:$U$1005,1,MATCH(COLUMNS($Q$1006:S1006),$Q$1006:$U$1006,0))&gt;=100000), " ",IF(INDEX($Q$2:$U$1001,MATCH(ROWS($J$2:J159),$J$2:$J$1001,0),MATCH(COLUMNS($Q$1006:S1006),$Q$1006:$U$1006,0)), HYPERLINK("#",""), HYPERLINK(CONCATENATE("#Metadata!", ADDRESS(INDEX($L$2:$L$1001,MATCH(ROWS($J$2:J159),$J$2:$J$1001,0),0), INDEX($Q$1004:$U$1004,1,MATCH(COLUMNS($Q$1006:S1006),$Q$1006:$U$1006,0)))),"Fix")))</f>
        <v xml:space="preserve"> </v>
      </c>
      <c r="E159" s="3" t="str">
        <f ca="1">IF(OR(INDEX($K$2:$K$1001,MATCH(ROWS($J$2:J159),$J$2:$J$1001,0),1)&gt;=100000,INDEX($Q$1005:$U$1005,1,MATCH(COLUMNS($Q$1006:T1006),$Q$1006:$U$1006,0))&gt;=100000), " ",IF(INDEX($Q$2:$U$1001,MATCH(ROWS($J$2:J159),$J$2:$J$1001,0),MATCH(COLUMNS($Q$1006:T1006),$Q$1006:$U$1006,0)), HYPERLINK("#",""), HYPERLINK(CONCATENATE("#Metadata!", ADDRESS(INDEX($L$2:$L$1001,MATCH(ROWS($J$2:J159),$J$2:$J$1001,0),0), INDEX($Q$1004:$U$1004,1,MATCH(COLUMNS($Q$1006:T1006),$Q$1006:$U$1006,0)))),"Fix")))</f>
        <v xml:space="preserve"> </v>
      </c>
      <c r="F159" s="3" t="str">
        <f ca="1">IF(OR(INDEX($K$2:$K$1001,MATCH(ROWS($J$2:J159),$J$2:$J$1001,0),1)&gt;=100000,INDEX($Q$1005:$U$1005,1,MATCH(COLUMNS($Q$1006:U1006),$Q$1006:$U$1006,0))&gt;=100000), " ",IF(INDEX($Q$2:$U$1001,MATCH(ROWS($J$2:J159),$J$2:$J$1001,0),MATCH(COLUMNS($Q$1006:U1006),$Q$1006:$U$1006,0)), HYPERLINK("#",""), HYPERLINK(CONCATENATE("#Metadata!", ADDRESS(INDEX($L$2:$L$1001,MATCH(ROWS($J$2:J159),$J$2:$J$1001,0),0), INDEX($Q$1004:$U$1004,1,MATCH(COLUMNS($Q$1006:U1006),$Q$1006:$U$1006,0)))),"Fix")))</f>
        <v xml:space="preserve"> </v>
      </c>
      <c r="J159">
        <f ca="1"/>
        <v>158</v>
      </c>
      <c r="K159">
        <v>100159</v>
      </c>
      <c r="L159">
        <v>159</v>
      </c>
      <c r="M159" t="b">
        <f t="shared" si="2"/>
        <v>1</v>
      </c>
      <c r="N159" t="b">
        <f>COUNTBLANK(Metadata!B159:F159)=COLUMNS(Metadata!B159:F159)</f>
        <v>1</v>
      </c>
      <c r="O159" t="str">
        <v/>
      </c>
      <c r="Q159" t="b">
        <f ca="1"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R159" t="b">
        <f>IF(Metadata!C159="",FALSE,TRUE)</f>
        <v>0</v>
      </c>
      <c r="S159" t="b">
        <f>OR(AND(IF(Metadata!D159="",FALSE,TRUE),EXACT(Metadata!D159,"missing: not collected")),AND(IF(Metadata!D159="",FALSE,TRUE),OR(EXACT(Metadata!D159,"t"),EXACT(Metadata!D159,"f"))))</f>
        <v>0</v>
      </c>
      <c r="T159" t="b">
        <f>AND(IF(Metadata!E159="",FALSE,TRUE),OR(EXACT(Metadata!E159,"a"),EXACT(Metadata!E159,"b")))</f>
        <v>0</v>
      </c>
      <c r="U159" t="b">
        <f>OR(AND(IF(Metadata!F159="",FALSE,TRUE),OR(EXACT(Metadata!F159,"missing: not collected"),EXACT(Metadata!F159,"missing: not provided"))),AND(IF(Metadata!F159="",FALSE,TRUE),OR(EXACT(Metadata!F159,"lo"),EXACT(Metadata!F159,"med"),EXACT(Metadata!F159,"hi"))))</f>
        <v>0</v>
      </c>
    </row>
    <row r="160" spans="1:21" x14ac:dyDescent="0.2">
      <c r="A160" s="4" t="str">
        <f ca="1">IF(B160=" "," ",HYPERLINK(CONCATENATE("#metadata!",ADDRESS(INDEX($L$2:$L$1001,MATCH(ROWS($J$2:J160),$J$2:$J$1001,0),0),1)),INDEX($O$2:$O$1001,MATCH(ROWS($J$2:J160),$J$2:$J$1001,0),0)))</f>
        <v xml:space="preserve"> </v>
      </c>
      <c r="B160" s="3" t="str">
        <f ca="1">IF(OR(INDEX($K$2:$K$1001,MATCH(ROWS($J$2:J160),$J$2:$J$1001,0),1)&gt;=100000,INDEX($Q$1005:$U$1005,1,MATCH(COLUMNS($Q$1006:Q1006),$Q$1006:$U$1006,0))&gt;=100000), " ",IF(INDEX($Q$2:$U$1001,MATCH(ROWS($J$2:J160),$J$2:$J$1001,0),MATCH(COLUMNS($Q$1006:Q1006),$Q$1006:$U$1006,0)), HYPERLINK("#",""), HYPERLINK(CONCATENATE("#Metadata!", ADDRESS(INDEX($L$2:$L$1001,MATCH(ROWS($J$2:J160),$J$2:$J$1001,0),0), INDEX($Q$1004:$U$1004,1,MATCH(COLUMNS($Q$1006:Q1006),$Q$1006:$U$1006,0)))),"Fix")))</f>
        <v xml:space="preserve"> </v>
      </c>
      <c r="C160" s="3" t="str">
        <f ca="1">IF(OR(INDEX($K$2:$K$1001,MATCH(ROWS($J$2:J160),$J$2:$J$1001,0),1)&gt;=100000,INDEX($Q$1005:$U$1005,1,MATCH(COLUMNS($Q$1006:R1006),$Q$1006:$U$1006,0))&gt;=100000), " ",IF(INDEX($Q$2:$U$1001,MATCH(ROWS($J$2:J160),$J$2:$J$1001,0),MATCH(COLUMNS($Q$1006:R1006),$Q$1006:$U$1006,0)), HYPERLINK("#",""), HYPERLINK(CONCATENATE("#Metadata!", ADDRESS(INDEX($L$2:$L$1001,MATCH(ROWS($J$2:J160),$J$2:$J$1001,0),0), INDEX($Q$1004:$U$1004,1,MATCH(COLUMNS($Q$1006:R1006),$Q$1006:$U$1006,0)))),"Fix")))</f>
        <v xml:space="preserve"> </v>
      </c>
      <c r="D160" s="3" t="str">
        <f ca="1">IF(OR(INDEX($K$2:$K$1001,MATCH(ROWS($J$2:J160),$J$2:$J$1001,0),1)&gt;=100000,INDEX($Q$1005:$U$1005,1,MATCH(COLUMNS($Q$1006:S1006),$Q$1006:$U$1006,0))&gt;=100000), " ",IF(INDEX($Q$2:$U$1001,MATCH(ROWS($J$2:J160),$J$2:$J$1001,0),MATCH(COLUMNS($Q$1006:S1006),$Q$1006:$U$1006,0)), HYPERLINK("#",""), HYPERLINK(CONCATENATE("#Metadata!", ADDRESS(INDEX($L$2:$L$1001,MATCH(ROWS($J$2:J160),$J$2:$J$1001,0),0), INDEX($Q$1004:$U$1004,1,MATCH(COLUMNS($Q$1006:S1006),$Q$1006:$U$1006,0)))),"Fix")))</f>
        <v xml:space="preserve"> </v>
      </c>
      <c r="E160" s="3" t="str">
        <f ca="1">IF(OR(INDEX($K$2:$K$1001,MATCH(ROWS($J$2:J160),$J$2:$J$1001,0),1)&gt;=100000,INDEX($Q$1005:$U$1005,1,MATCH(COLUMNS($Q$1006:T1006),$Q$1006:$U$1006,0))&gt;=100000), " ",IF(INDEX($Q$2:$U$1001,MATCH(ROWS($J$2:J160),$J$2:$J$1001,0),MATCH(COLUMNS($Q$1006:T1006),$Q$1006:$U$1006,0)), HYPERLINK("#",""), HYPERLINK(CONCATENATE("#Metadata!", ADDRESS(INDEX($L$2:$L$1001,MATCH(ROWS($J$2:J160),$J$2:$J$1001,0),0), INDEX($Q$1004:$U$1004,1,MATCH(COLUMNS($Q$1006:T1006),$Q$1006:$U$1006,0)))),"Fix")))</f>
        <v xml:space="preserve"> </v>
      </c>
      <c r="F160" s="3" t="str">
        <f ca="1">IF(OR(INDEX($K$2:$K$1001,MATCH(ROWS($J$2:J160),$J$2:$J$1001,0),1)&gt;=100000,INDEX($Q$1005:$U$1005,1,MATCH(COLUMNS($Q$1006:U1006),$Q$1006:$U$1006,0))&gt;=100000), " ",IF(INDEX($Q$2:$U$1001,MATCH(ROWS($J$2:J160),$J$2:$J$1001,0),MATCH(COLUMNS($Q$1006:U1006),$Q$1006:$U$1006,0)), HYPERLINK("#",""), HYPERLINK(CONCATENATE("#Metadata!", ADDRESS(INDEX($L$2:$L$1001,MATCH(ROWS($J$2:J160),$J$2:$J$1001,0),0), INDEX($Q$1004:$U$1004,1,MATCH(COLUMNS($Q$1006:U1006),$Q$1006:$U$1006,0)))),"Fix")))</f>
        <v xml:space="preserve"> </v>
      </c>
      <c r="J160">
        <f ca="1"/>
        <v>159</v>
      </c>
      <c r="K160">
        <v>100160</v>
      </c>
      <c r="L160">
        <v>160</v>
      </c>
      <c r="M160" t="b">
        <f t="shared" si="2"/>
        <v>1</v>
      </c>
      <c r="N160" t="b">
        <f>COUNTBLANK(Metadata!B160:F160)=COLUMNS(Metadata!B160:F160)</f>
        <v>1</v>
      </c>
      <c r="O160" t="str">
        <v/>
      </c>
      <c r="Q160" t="b">
        <f ca="1"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R160" t="b">
        <f>IF(Metadata!C160="",FALSE,TRUE)</f>
        <v>0</v>
      </c>
      <c r="S160" t="b">
        <f>OR(AND(IF(Metadata!D160="",FALSE,TRUE),EXACT(Metadata!D160,"missing: not collected")),AND(IF(Metadata!D160="",FALSE,TRUE),OR(EXACT(Metadata!D160,"t"),EXACT(Metadata!D160,"f"))))</f>
        <v>0</v>
      </c>
      <c r="T160" t="b">
        <f>AND(IF(Metadata!E160="",FALSE,TRUE),OR(EXACT(Metadata!E160,"a"),EXACT(Metadata!E160,"b")))</f>
        <v>0</v>
      </c>
      <c r="U160" t="b">
        <f>OR(AND(IF(Metadata!F160="",FALSE,TRUE),OR(EXACT(Metadata!F160,"missing: not collected"),EXACT(Metadata!F160,"missing: not provided"))),AND(IF(Metadata!F160="",FALSE,TRUE),OR(EXACT(Metadata!F160,"lo"),EXACT(Metadata!F160,"med"),EXACT(Metadata!F160,"hi"))))</f>
        <v>0</v>
      </c>
    </row>
    <row r="161" spans="1:21" x14ac:dyDescent="0.2">
      <c r="A161" s="4" t="str">
        <f ca="1">IF(B161=" "," ",HYPERLINK(CONCATENATE("#metadata!",ADDRESS(INDEX($L$2:$L$1001,MATCH(ROWS($J$2:J161),$J$2:$J$1001,0),0),1)),INDEX($O$2:$O$1001,MATCH(ROWS($J$2:J161),$J$2:$J$1001,0),0)))</f>
        <v xml:space="preserve"> </v>
      </c>
      <c r="B161" s="3" t="str">
        <f ca="1">IF(OR(INDEX($K$2:$K$1001,MATCH(ROWS($J$2:J161),$J$2:$J$1001,0),1)&gt;=100000,INDEX($Q$1005:$U$1005,1,MATCH(COLUMNS($Q$1006:Q1006),$Q$1006:$U$1006,0))&gt;=100000), " ",IF(INDEX($Q$2:$U$1001,MATCH(ROWS($J$2:J161),$J$2:$J$1001,0),MATCH(COLUMNS($Q$1006:Q1006),$Q$1006:$U$1006,0)), HYPERLINK("#",""), HYPERLINK(CONCATENATE("#Metadata!", ADDRESS(INDEX($L$2:$L$1001,MATCH(ROWS($J$2:J161),$J$2:$J$1001,0),0), INDEX($Q$1004:$U$1004,1,MATCH(COLUMNS($Q$1006:Q1006),$Q$1006:$U$1006,0)))),"Fix")))</f>
        <v xml:space="preserve"> </v>
      </c>
      <c r="C161" s="3" t="str">
        <f ca="1">IF(OR(INDEX($K$2:$K$1001,MATCH(ROWS($J$2:J161),$J$2:$J$1001,0),1)&gt;=100000,INDEX($Q$1005:$U$1005,1,MATCH(COLUMNS($Q$1006:R1006),$Q$1006:$U$1006,0))&gt;=100000), " ",IF(INDEX($Q$2:$U$1001,MATCH(ROWS($J$2:J161),$J$2:$J$1001,0),MATCH(COLUMNS($Q$1006:R1006),$Q$1006:$U$1006,0)), HYPERLINK("#",""), HYPERLINK(CONCATENATE("#Metadata!", ADDRESS(INDEX($L$2:$L$1001,MATCH(ROWS($J$2:J161),$J$2:$J$1001,0),0), INDEX($Q$1004:$U$1004,1,MATCH(COLUMNS($Q$1006:R1006),$Q$1006:$U$1006,0)))),"Fix")))</f>
        <v xml:space="preserve"> </v>
      </c>
      <c r="D161" s="3" t="str">
        <f ca="1">IF(OR(INDEX($K$2:$K$1001,MATCH(ROWS($J$2:J161),$J$2:$J$1001,0),1)&gt;=100000,INDEX($Q$1005:$U$1005,1,MATCH(COLUMNS($Q$1006:S1006),$Q$1006:$U$1006,0))&gt;=100000), " ",IF(INDEX($Q$2:$U$1001,MATCH(ROWS($J$2:J161),$J$2:$J$1001,0),MATCH(COLUMNS($Q$1006:S1006),$Q$1006:$U$1006,0)), HYPERLINK("#",""), HYPERLINK(CONCATENATE("#Metadata!", ADDRESS(INDEX($L$2:$L$1001,MATCH(ROWS($J$2:J161),$J$2:$J$1001,0),0), INDEX($Q$1004:$U$1004,1,MATCH(COLUMNS($Q$1006:S1006),$Q$1006:$U$1006,0)))),"Fix")))</f>
        <v xml:space="preserve"> </v>
      </c>
      <c r="E161" s="3" t="str">
        <f ca="1">IF(OR(INDEX($K$2:$K$1001,MATCH(ROWS($J$2:J161),$J$2:$J$1001,0),1)&gt;=100000,INDEX($Q$1005:$U$1005,1,MATCH(COLUMNS($Q$1006:T1006),$Q$1006:$U$1006,0))&gt;=100000), " ",IF(INDEX($Q$2:$U$1001,MATCH(ROWS($J$2:J161),$J$2:$J$1001,0),MATCH(COLUMNS($Q$1006:T1006),$Q$1006:$U$1006,0)), HYPERLINK("#",""), HYPERLINK(CONCATENATE("#Metadata!", ADDRESS(INDEX($L$2:$L$1001,MATCH(ROWS($J$2:J161),$J$2:$J$1001,0),0), INDEX($Q$1004:$U$1004,1,MATCH(COLUMNS($Q$1006:T1006),$Q$1006:$U$1006,0)))),"Fix")))</f>
        <v xml:space="preserve"> </v>
      </c>
      <c r="F161" s="3" t="str">
        <f ca="1">IF(OR(INDEX($K$2:$K$1001,MATCH(ROWS($J$2:J161),$J$2:$J$1001,0),1)&gt;=100000,INDEX($Q$1005:$U$1005,1,MATCH(COLUMNS($Q$1006:U1006),$Q$1006:$U$1006,0))&gt;=100000), " ",IF(INDEX($Q$2:$U$1001,MATCH(ROWS($J$2:J161),$J$2:$J$1001,0),MATCH(COLUMNS($Q$1006:U1006),$Q$1006:$U$1006,0)), HYPERLINK("#",""), HYPERLINK(CONCATENATE("#Metadata!", ADDRESS(INDEX($L$2:$L$1001,MATCH(ROWS($J$2:J161),$J$2:$J$1001,0),0), INDEX($Q$1004:$U$1004,1,MATCH(COLUMNS($Q$1006:U1006),$Q$1006:$U$1006,0)))),"Fix")))</f>
        <v xml:space="preserve"> </v>
      </c>
      <c r="J161">
        <f ca="1"/>
        <v>160</v>
      </c>
      <c r="K161">
        <v>100161</v>
      </c>
      <c r="L161">
        <v>161</v>
      </c>
      <c r="M161" t="b">
        <f t="shared" si="2"/>
        <v>1</v>
      </c>
      <c r="N161" t="b">
        <f>COUNTBLANK(Metadata!B161:F161)=COLUMNS(Metadata!B161:F161)</f>
        <v>1</v>
      </c>
      <c r="O161" t="str">
        <v/>
      </c>
      <c r="Q161" t="b">
        <f ca="1"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R161" t="b">
        <f>IF(Metadata!C161="",FALSE,TRUE)</f>
        <v>0</v>
      </c>
      <c r="S161" t="b">
        <f>OR(AND(IF(Metadata!D161="",FALSE,TRUE),EXACT(Metadata!D161,"missing: not collected")),AND(IF(Metadata!D161="",FALSE,TRUE),OR(EXACT(Metadata!D161,"t"),EXACT(Metadata!D161,"f"))))</f>
        <v>0</v>
      </c>
      <c r="T161" t="b">
        <f>AND(IF(Metadata!E161="",FALSE,TRUE),OR(EXACT(Metadata!E161,"a"),EXACT(Metadata!E161,"b")))</f>
        <v>0</v>
      </c>
      <c r="U161" t="b">
        <f>OR(AND(IF(Metadata!F161="",FALSE,TRUE),OR(EXACT(Metadata!F161,"missing: not collected"),EXACT(Metadata!F161,"missing: not provided"))),AND(IF(Metadata!F161="",FALSE,TRUE),OR(EXACT(Metadata!F161,"lo"),EXACT(Metadata!F161,"med"),EXACT(Metadata!F161,"hi"))))</f>
        <v>0</v>
      </c>
    </row>
    <row r="162" spans="1:21" x14ac:dyDescent="0.2">
      <c r="A162" s="4" t="str">
        <f ca="1">IF(B162=" "," ",HYPERLINK(CONCATENATE("#metadata!",ADDRESS(INDEX($L$2:$L$1001,MATCH(ROWS($J$2:J162),$J$2:$J$1001,0),0),1)),INDEX($O$2:$O$1001,MATCH(ROWS($J$2:J162),$J$2:$J$1001,0),0)))</f>
        <v xml:space="preserve"> </v>
      </c>
      <c r="B162" s="3" t="str">
        <f ca="1">IF(OR(INDEX($K$2:$K$1001,MATCH(ROWS($J$2:J162),$J$2:$J$1001,0),1)&gt;=100000,INDEX($Q$1005:$U$1005,1,MATCH(COLUMNS($Q$1006:Q1006),$Q$1006:$U$1006,0))&gt;=100000), " ",IF(INDEX($Q$2:$U$1001,MATCH(ROWS($J$2:J162),$J$2:$J$1001,0),MATCH(COLUMNS($Q$1006:Q1006),$Q$1006:$U$1006,0)), HYPERLINK("#",""), HYPERLINK(CONCATENATE("#Metadata!", ADDRESS(INDEX($L$2:$L$1001,MATCH(ROWS($J$2:J162),$J$2:$J$1001,0),0), INDEX($Q$1004:$U$1004,1,MATCH(COLUMNS($Q$1006:Q1006),$Q$1006:$U$1006,0)))),"Fix")))</f>
        <v xml:space="preserve"> </v>
      </c>
      <c r="C162" s="3" t="str">
        <f ca="1">IF(OR(INDEX($K$2:$K$1001,MATCH(ROWS($J$2:J162),$J$2:$J$1001,0),1)&gt;=100000,INDEX($Q$1005:$U$1005,1,MATCH(COLUMNS($Q$1006:R1006),$Q$1006:$U$1006,0))&gt;=100000), " ",IF(INDEX($Q$2:$U$1001,MATCH(ROWS($J$2:J162),$J$2:$J$1001,0),MATCH(COLUMNS($Q$1006:R1006),$Q$1006:$U$1006,0)), HYPERLINK("#",""), HYPERLINK(CONCATENATE("#Metadata!", ADDRESS(INDEX($L$2:$L$1001,MATCH(ROWS($J$2:J162),$J$2:$J$1001,0),0), INDEX($Q$1004:$U$1004,1,MATCH(COLUMNS($Q$1006:R1006),$Q$1006:$U$1006,0)))),"Fix")))</f>
        <v xml:space="preserve"> </v>
      </c>
      <c r="D162" s="3" t="str">
        <f ca="1">IF(OR(INDEX($K$2:$K$1001,MATCH(ROWS($J$2:J162),$J$2:$J$1001,0),1)&gt;=100000,INDEX($Q$1005:$U$1005,1,MATCH(COLUMNS($Q$1006:S1006),$Q$1006:$U$1006,0))&gt;=100000), " ",IF(INDEX($Q$2:$U$1001,MATCH(ROWS($J$2:J162),$J$2:$J$1001,0),MATCH(COLUMNS($Q$1006:S1006),$Q$1006:$U$1006,0)), HYPERLINK("#",""), HYPERLINK(CONCATENATE("#Metadata!", ADDRESS(INDEX($L$2:$L$1001,MATCH(ROWS($J$2:J162),$J$2:$J$1001,0),0), INDEX($Q$1004:$U$1004,1,MATCH(COLUMNS($Q$1006:S1006),$Q$1006:$U$1006,0)))),"Fix")))</f>
        <v xml:space="preserve"> </v>
      </c>
      <c r="E162" s="3" t="str">
        <f ca="1">IF(OR(INDEX($K$2:$K$1001,MATCH(ROWS($J$2:J162),$J$2:$J$1001,0),1)&gt;=100000,INDEX($Q$1005:$U$1005,1,MATCH(COLUMNS($Q$1006:T1006),$Q$1006:$U$1006,0))&gt;=100000), " ",IF(INDEX($Q$2:$U$1001,MATCH(ROWS($J$2:J162),$J$2:$J$1001,0),MATCH(COLUMNS($Q$1006:T1006),$Q$1006:$U$1006,0)), HYPERLINK("#",""), HYPERLINK(CONCATENATE("#Metadata!", ADDRESS(INDEX($L$2:$L$1001,MATCH(ROWS($J$2:J162),$J$2:$J$1001,0),0), INDEX($Q$1004:$U$1004,1,MATCH(COLUMNS($Q$1006:T1006),$Q$1006:$U$1006,0)))),"Fix")))</f>
        <v xml:space="preserve"> </v>
      </c>
      <c r="F162" s="3" t="str">
        <f ca="1">IF(OR(INDEX($K$2:$K$1001,MATCH(ROWS($J$2:J162),$J$2:$J$1001,0),1)&gt;=100000,INDEX($Q$1005:$U$1005,1,MATCH(COLUMNS($Q$1006:U1006),$Q$1006:$U$1006,0))&gt;=100000), " ",IF(INDEX($Q$2:$U$1001,MATCH(ROWS($J$2:J162),$J$2:$J$1001,0),MATCH(COLUMNS($Q$1006:U1006),$Q$1006:$U$1006,0)), HYPERLINK("#",""), HYPERLINK(CONCATENATE("#Metadata!", ADDRESS(INDEX($L$2:$L$1001,MATCH(ROWS($J$2:J162),$J$2:$J$1001,0),0), INDEX($Q$1004:$U$1004,1,MATCH(COLUMNS($Q$1006:U1006),$Q$1006:$U$1006,0)))),"Fix")))</f>
        <v xml:space="preserve"> </v>
      </c>
      <c r="J162">
        <f ca="1"/>
        <v>161</v>
      </c>
      <c r="K162">
        <v>100162</v>
      </c>
      <c r="L162">
        <v>162</v>
      </c>
      <c r="M162" t="b">
        <f t="shared" si="2"/>
        <v>1</v>
      </c>
      <c r="N162" t="b">
        <f>COUNTBLANK(Metadata!B162:F162)=COLUMNS(Metadata!B162:F162)</f>
        <v>1</v>
      </c>
      <c r="O162" t="str">
        <v/>
      </c>
      <c r="Q162" t="b">
        <f ca="1"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R162" t="b">
        <f>IF(Metadata!C162="",FALSE,TRUE)</f>
        <v>0</v>
      </c>
      <c r="S162" t="b">
        <f>OR(AND(IF(Metadata!D162="",FALSE,TRUE),EXACT(Metadata!D162,"missing: not collected")),AND(IF(Metadata!D162="",FALSE,TRUE),OR(EXACT(Metadata!D162,"t"),EXACT(Metadata!D162,"f"))))</f>
        <v>0</v>
      </c>
      <c r="T162" t="b">
        <f>AND(IF(Metadata!E162="",FALSE,TRUE),OR(EXACT(Metadata!E162,"a"),EXACT(Metadata!E162,"b")))</f>
        <v>0</v>
      </c>
      <c r="U162" t="b">
        <f>OR(AND(IF(Metadata!F162="",FALSE,TRUE),OR(EXACT(Metadata!F162,"missing: not collected"),EXACT(Metadata!F162,"missing: not provided"))),AND(IF(Metadata!F162="",FALSE,TRUE),OR(EXACT(Metadata!F162,"lo"),EXACT(Metadata!F162,"med"),EXACT(Metadata!F162,"hi"))))</f>
        <v>0</v>
      </c>
    </row>
    <row r="163" spans="1:21" x14ac:dyDescent="0.2">
      <c r="A163" s="4" t="str">
        <f ca="1">IF(B163=" "," ",HYPERLINK(CONCATENATE("#metadata!",ADDRESS(INDEX($L$2:$L$1001,MATCH(ROWS($J$2:J163),$J$2:$J$1001,0),0),1)),INDEX($O$2:$O$1001,MATCH(ROWS($J$2:J163),$J$2:$J$1001,0),0)))</f>
        <v xml:space="preserve"> </v>
      </c>
      <c r="B163" s="3" t="str">
        <f ca="1">IF(OR(INDEX($K$2:$K$1001,MATCH(ROWS($J$2:J163),$J$2:$J$1001,0),1)&gt;=100000,INDEX($Q$1005:$U$1005,1,MATCH(COLUMNS($Q$1006:Q1006),$Q$1006:$U$1006,0))&gt;=100000), " ",IF(INDEX($Q$2:$U$1001,MATCH(ROWS($J$2:J163),$J$2:$J$1001,0),MATCH(COLUMNS($Q$1006:Q1006),$Q$1006:$U$1006,0)), HYPERLINK("#",""), HYPERLINK(CONCATENATE("#Metadata!", ADDRESS(INDEX($L$2:$L$1001,MATCH(ROWS($J$2:J163),$J$2:$J$1001,0),0), INDEX($Q$1004:$U$1004,1,MATCH(COLUMNS($Q$1006:Q1006),$Q$1006:$U$1006,0)))),"Fix")))</f>
        <v xml:space="preserve"> </v>
      </c>
      <c r="C163" s="3" t="str">
        <f ca="1">IF(OR(INDEX($K$2:$K$1001,MATCH(ROWS($J$2:J163),$J$2:$J$1001,0),1)&gt;=100000,INDEX($Q$1005:$U$1005,1,MATCH(COLUMNS($Q$1006:R1006),$Q$1006:$U$1006,0))&gt;=100000), " ",IF(INDEX($Q$2:$U$1001,MATCH(ROWS($J$2:J163),$J$2:$J$1001,0),MATCH(COLUMNS($Q$1006:R1006),$Q$1006:$U$1006,0)), HYPERLINK("#",""), HYPERLINK(CONCATENATE("#Metadata!", ADDRESS(INDEX($L$2:$L$1001,MATCH(ROWS($J$2:J163),$J$2:$J$1001,0),0), INDEX($Q$1004:$U$1004,1,MATCH(COLUMNS($Q$1006:R1006),$Q$1006:$U$1006,0)))),"Fix")))</f>
        <v xml:space="preserve"> </v>
      </c>
      <c r="D163" s="3" t="str">
        <f ca="1">IF(OR(INDEX($K$2:$K$1001,MATCH(ROWS($J$2:J163),$J$2:$J$1001,0),1)&gt;=100000,INDEX($Q$1005:$U$1005,1,MATCH(COLUMNS($Q$1006:S1006),$Q$1006:$U$1006,0))&gt;=100000), " ",IF(INDEX($Q$2:$U$1001,MATCH(ROWS($J$2:J163),$J$2:$J$1001,0),MATCH(COLUMNS($Q$1006:S1006),$Q$1006:$U$1006,0)), HYPERLINK("#",""), HYPERLINK(CONCATENATE("#Metadata!", ADDRESS(INDEX($L$2:$L$1001,MATCH(ROWS($J$2:J163),$J$2:$J$1001,0),0), INDEX($Q$1004:$U$1004,1,MATCH(COLUMNS($Q$1006:S1006),$Q$1006:$U$1006,0)))),"Fix")))</f>
        <v xml:space="preserve"> </v>
      </c>
      <c r="E163" s="3" t="str">
        <f ca="1">IF(OR(INDEX($K$2:$K$1001,MATCH(ROWS($J$2:J163),$J$2:$J$1001,0),1)&gt;=100000,INDEX($Q$1005:$U$1005,1,MATCH(COLUMNS($Q$1006:T1006),$Q$1006:$U$1006,0))&gt;=100000), " ",IF(INDEX($Q$2:$U$1001,MATCH(ROWS($J$2:J163),$J$2:$J$1001,0),MATCH(COLUMNS($Q$1006:T1006),$Q$1006:$U$1006,0)), HYPERLINK("#",""), HYPERLINK(CONCATENATE("#Metadata!", ADDRESS(INDEX($L$2:$L$1001,MATCH(ROWS($J$2:J163),$J$2:$J$1001,0),0), INDEX($Q$1004:$U$1004,1,MATCH(COLUMNS($Q$1006:T1006),$Q$1006:$U$1006,0)))),"Fix")))</f>
        <v xml:space="preserve"> </v>
      </c>
      <c r="F163" s="3" t="str">
        <f ca="1">IF(OR(INDEX($K$2:$K$1001,MATCH(ROWS($J$2:J163),$J$2:$J$1001,0),1)&gt;=100000,INDEX($Q$1005:$U$1005,1,MATCH(COLUMNS($Q$1006:U1006),$Q$1006:$U$1006,0))&gt;=100000), " ",IF(INDEX($Q$2:$U$1001,MATCH(ROWS($J$2:J163),$J$2:$J$1001,0),MATCH(COLUMNS($Q$1006:U1006),$Q$1006:$U$1006,0)), HYPERLINK("#",""), HYPERLINK(CONCATENATE("#Metadata!", ADDRESS(INDEX($L$2:$L$1001,MATCH(ROWS($J$2:J163),$J$2:$J$1001,0),0), INDEX($Q$1004:$U$1004,1,MATCH(COLUMNS($Q$1006:U1006),$Q$1006:$U$1006,0)))),"Fix")))</f>
        <v xml:space="preserve"> </v>
      </c>
      <c r="J163">
        <f ca="1"/>
        <v>162</v>
      </c>
      <c r="K163">
        <v>100163</v>
      </c>
      <c r="L163">
        <v>163</v>
      </c>
      <c r="M163" t="b">
        <f t="shared" si="2"/>
        <v>1</v>
      </c>
      <c r="N163" t="b">
        <f>COUNTBLANK(Metadata!B163:F163)=COLUMNS(Metadata!B163:F163)</f>
        <v>1</v>
      </c>
      <c r="O163" t="str">
        <v/>
      </c>
      <c r="Q163" t="b">
        <f ca="1"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R163" t="b">
        <f>IF(Metadata!C163="",FALSE,TRUE)</f>
        <v>0</v>
      </c>
      <c r="S163" t="b">
        <f>OR(AND(IF(Metadata!D163="",FALSE,TRUE),EXACT(Metadata!D163,"missing: not collected")),AND(IF(Metadata!D163="",FALSE,TRUE),OR(EXACT(Metadata!D163,"t"),EXACT(Metadata!D163,"f"))))</f>
        <v>0</v>
      </c>
      <c r="T163" t="b">
        <f>AND(IF(Metadata!E163="",FALSE,TRUE),OR(EXACT(Metadata!E163,"a"),EXACT(Metadata!E163,"b")))</f>
        <v>0</v>
      </c>
      <c r="U163" t="b">
        <f>OR(AND(IF(Metadata!F163="",FALSE,TRUE),OR(EXACT(Metadata!F163,"missing: not collected"),EXACT(Metadata!F163,"missing: not provided"))),AND(IF(Metadata!F163="",FALSE,TRUE),OR(EXACT(Metadata!F163,"lo"),EXACT(Metadata!F163,"med"),EXACT(Metadata!F163,"hi"))))</f>
        <v>0</v>
      </c>
    </row>
    <row r="164" spans="1:21" x14ac:dyDescent="0.2">
      <c r="A164" s="4" t="str">
        <f ca="1">IF(B164=" "," ",HYPERLINK(CONCATENATE("#metadata!",ADDRESS(INDEX($L$2:$L$1001,MATCH(ROWS($J$2:J164),$J$2:$J$1001,0),0),1)),INDEX($O$2:$O$1001,MATCH(ROWS($J$2:J164),$J$2:$J$1001,0),0)))</f>
        <v xml:space="preserve"> </v>
      </c>
      <c r="B164" s="3" t="str">
        <f ca="1">IF(OR(INDEX($K$2:$K$1001,MATCH(ROWS($J$2:J164),$J$2:$J$1001,0),1)&gt;=100000,INDEX($Q$1005:$U$1005,1,MATCH(COLUMNS($Q$1006:Q1006),$Q$1006:$U$1006,0))&gt;=100000), " ",IF(INDEX($Q$2:$U$1001,MATCH(ROWS($J$2:J164),$J$2:$J$1001,0),MATCH(COLUMNS($Q$1006:Q1006),$Q$1006:$U$1006,0)), HYPERLINK("#",""), HYPERLINK(CONCATENATE("#Metadata!", ADDRESS(INDEX($L$2:$L$1001,MATCH(ROWS($J$2:J164),$J$2:$J$1001,0),0), INDEX($Q$1004:$U$1004,1,MATCH(COLUMNS($Q$1006:Q1006),$Q$1006:$U$1006,0)))),"Fix")))</f>
        <v xml:space="preserve"> </v>
      </c>
      <c r="C164" s="3" t="str">
        <f ca="1">IF(OR(INDEX($K$2:$K$1001,MATCH(ROWS($J$2:J164),$J$2:$J$1001,0),1)&gt;=100000,INDEX($Q$1005:$U$1005,1,MATCH(COLUMNS($Q$1006:R1006),$Q$1006:$U$1006,0))&gt;=100000), " ",IF(INDEX($Q$2:$U$1001,MATCH(ROWS($J$2:J164),$J$2:$J$1001,0),MATCH(COLUMNS($Q$1006:R1006),$Q$1006:$U$1006,0)), HYPERLINK("#",""), HYPERLINK(CONCATENATE("#Metadata!", ADDRESS(INDEX($L$2:$L$1001,MATCH(ROWS($J$2:J164),$J$2:$J$1001,0),0), INDEX($Q$1004:$U$1004,1,MATCH(COLUMNS($Q$1006:R1006),$Q$1006:$U$1006,0)))),"Fix")))</f>
        <v xml:space="preserve"> </v>
      </c>
      <c r="D164" s="3" t="str">
        <f ca="1">IF(OR(INDEX($K$2:$K$1001,MATCH(ROWS($J$2:J164),$J$2:$J$1001,0),1)&gt;=100000,INDEX($Q$1005:$U$1005,1,MATCH(COLUMNS($Q$1006:S1006),$Q$1006:$U$1006,0))&gt;=100000), " ",IF(INDEX($Q$2:$U$1001,MATCH(ROWS($J$2:J164),$J$2:$J$1001,0),MATCH(COLUMNS($Q$1006:S1006),$Q$1006:$U$1006,0)), HYPERLINK("#",""), HYPERLINK(CONCATENATE("#Metadata!", ADDRESS(INDEX($L$2:$L$1001,MATCH(ROWS($J$2:J164),$J$2:$J$1001,0),0), INDEX($Q$1004:$U$1004,1,MATCH(COLUMNS($Q$1006:S1006),$Q$1006:$U$1006,0)))),"Fix")))</f>
        <v xml:space="preserve"> </v>
      </c>
      <c r="E164" s="3" t="str">
        <f ca="1">IF(OR(INDEX($K$2:$K$1001,MATCH(ROWS($J$2:J164),$J$2:$J$1001,0),1)&gt;=100000,INDEX($Q$1005:$U$1005,1,MATCH(COLUMNS($Q$1006:T1006),$Q$1006:$U$1006,0))&gt;=100000), " ",IF(INDEX($Q$2:$U$1001,MATCH(ROWS($J$2:J164),$J$2:$J$1001,0),MATCH(COLUMNS($Q$1006:T1006),$Q$1006:$U$1006,0)), HYPERLINK("#",""), HYPERLINK(CONCATENATE("#Metadata!", ADDRESS(INDEX($L$2:$L$1001,MATCH(ROWS($J$2:J164),$J$2:$J$1001,0),0), INDEX($Q$1004:$U$1004,1,MATCH(COLUMNS($Q$1006:T1006),$Q$1006:$U$1006,0)))),"Fix")))</f>
        <v xml:space="preserve"> </v>
      </c>
      <c r="F164" s="3" t="str">
        <f ca="1">IF(OR(INDEX($K$2:$K$1001,MATCH(ROWS($J$2:J164),$J$2:$J$1001,0),1)&gt;=100000,INDEX($Q$1005:$U$1005,1,MATCH(COLUMNS($Q$1006:U1006),$Q$1006:$U$1006,0))&gt;=100000), " ",IF(INDEX($Q$2:$U$1001,MATCH(ROWS($J$2:J164),$J$2:$J$1001,0),MATCH(COLUMNS($Q$1006:U1006),$Q$1006:$U$1006,0)), HYPERLINK("#",""), HYPERLINK(CONCATENATE("#Metadata!", ADDRESS(INDEX($L$2:$L$1001,MATCH(ROWS($J$2:J164),$J$2:$J$1001,0),0), INDEX($Q$1004:$U$1004,1,MATCH(COLUMNS($Q$1006:U1006),$Q$1006:$U$1006,0)))),"Fix")))</f>
        <v xml:space="preserve"> </v>
      </c>
      <c r="J164">
        <f ca="1"/>
        <v>163</v>
      </c>
      <c r="K164">
        <v>100164</v>
      </c>
      <c r="L164">
        <v>164</v>
      </c>
      <c r="M164" t="b">
        <f t="shared" si="2"/>
        <v>1</v>
      </c>
      <c r="N164" t="b">
        <f>COUNTBLANK(Metadata!B164:F164)=COLUMNS(Metadata!B164:F164)</f>
        <v>1</v>
      </c>
      <c r="O164" t="str">
        <v/>
      </c>
      <c r="Q164" t="b">
        <f ca="1"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R164" t="b">
        <f>IF(Metadata!C164="",FALSE,TRUE)</f>
        <v>0</v>
      </c>
      <c r="S164" t="b">
        <f>OR(AND(IF(Metadata!D164="",FALSE,TRUE),EXACT(Metadata!D164,"missing: not collected")),AND(IF(Metadata!D164="",FALSE,TRUE),OR(EXACT(Metadata!D164,"t"),EXACT(Metadata!D164,"f"))))</f>
        <v>0</v>
      </c>
      <c r="T164" t="b">
        <f>AND(IF(Metadata!E164="",FALSE,TRUE),OR(EXACT(Metadata!E164,"a"),EXACT(Metadata!E164,"b")))</f>
        <v>0</v>
      </c>
      <c r="U164" t="b">
        <f>OR(AND(IF(Metadata!F164="",FALSE,TRUE),OR(EXACT(Metadata!F164,"missing: not collected"),EXACT(Metadata!F164,"missing: not provided"))),AND(IF(Metadata!F164="",FALSE,TRUE),OR(EXACT(Metadata!F164,"lo"),EXACT(Metadata!F164,"med"),EXACT(Metadata!F164,"hi"))))</f>
        <v>0</v>
      </c>
    </row>
    <row r="165" spans="1:21" x14ac:dyDescent="0.2">
      <c r="A165" s="4" t="str">
        <f ca="1">IF(B165=" "," ",HYPERLINK(CONCATENATE("#metadata!",ADDRESS(INDEX($L$2:$L$1001,MATCH(ROWS($J$2:J165),$J$2:$J$1001,0),0),1)),INDEX($O$2:$O$1001,MATCH(ROWS($J$2:J165),$J$2:$J$1001,0),0)))</f>
        <v xml:space="preserve"> </v>
      </c>
      <c r="B165" s="3" t="str">
        <f ca="1">IF(OR(INDEX($K$2:$K$1001,MATCH(ROWS($J$2:J165),$J$2:$J$1001,0),1)&gt;=100000,INDEX($Q$1005:$U$1005,1,MATCH(COLUMNS($Q$1006:Q1006),$Q$1006:$U$1006,0))&gt;=100000), " ",IF(INDEX($Q$2:$U$1001,MATCH(ROWS($J$2:J165),$J$2:$J$1001,0),MATCH(COLUMNS($Q$1006:Q1006),$Q$1006:$U$1006,0)), HYPERLINK("#",""), HYPERLINK(CONCATENATE("#Metadata!", ADDRESS(INDEX($L$2:$L$1001,MATCH(ROWS($J$2:J165),$J$2:$J$1001,0),0), INDEX($Q$1004:$U$1004,1,MATCH(COLUMNS($Q$1006:Q1006),$Q$1006:$U$1006,0)))),"Fix")))</f>
        <v xml:space="preserve"> </v>
      </c>
      <c r="C165" s="3" t="str">
        <f ca="1">IF(OR(INDEX($K$2:$K$1001,MATCH(ROWS($J$2:J165),$J$2:$J$1001,0),1)&gt;=100000,INDEX($Q$1005:$U$1005,1,MATCH(COLUMNS($Q$1006:R1006),$Q$1006:$U$1006,0))&gt;=100000), " ",IF(INDEX($Q$2:$U$1001,MATCH(ROWS($J$2:J165),$J$2:$J$1001,0),MATCH(COLUMNS($Q$1006:R1006),$Q$1006:$U$1006,0)), HYPERLINK("#",""), HYPERLINK(CONCATENATE("#Metadata!", ADDRESS(INDEX($L$2:$L$1001,MATCH(ROWS($J$2:J165),$J$2:$J$1001,0),0), INDEX($Q$1004:$U$1004,1,MATCH(COLUMNS($Q$1006:R1006),$Q$1006:$U$1006,0)))),"Fix")))</f>
        <v xml:space="preserve"> </v>
      </c>
      <c r="D165" s="3" t="str">
        <f ca="1">IF(OR(INDEX($K$2:$K$1001,MATCH(ROWS($J$2:J165),$J$2:$J$1001,0),1)&gt;=100000,INDEX($Q$1005:$U$1005,1,MATCH(COLUMNS($Q$1006:S1006),$Q$1006:$U$1006,0))&gt;=100000), " ",IF(INDEX($Q$2:$U$1001,MATCH(ROWS($J$2:J165),$J$2:$J$1001,0),MATCH(COLUMNS($Q$1006:S1006),$Q$1006:$U$1006,0)), HYPERLINK("#",""), HYPERLINK(CONCATENATE("#Metadata!", ADDRESS(INDEX($L$2:$L$1001,MATCH(ROWS($J$2:J165),$J$2:$J$1001,0),0), INDEX($Q$1004:$U$1004,1,MATCH(COLUMNS($Q$1006:S1006),$Q$1006:$U$1006,0)))),"Fix")))</f>
        <v xml:space="preserve"> </v>
      </c>
      <c r="E165" s="3" t="str">
        <f ca="1">IF(OR(INDEX($K$2:$K$1001,MATCH(ROWS($J$2:J165),$J$2:$J$1001,0),1)&gt;=100000,INDEX($Q$1005:$U$1005,1,MATCH(COLUMNS($Q$1006:T1006),$Q$1006:$U$1006,0))&gt;=100000), " ",IF(INDEX($Q$2:$U$1001,MATCH(ROWS($J$2:J165),$J$2:$J$1001,0),MATCH(COLUMNS($Q$1006:T1006),$Q$1006:$U$1006,0)), HYPERLINK("#",""), HYPERLINK(CONCATENATE("#Metadata!", ADDRESS(INDEX($L$2:$L$1001,MATCH(ROWS($J$2:J165),$J$2:$J$1001,0),0), INDEX($Q$1004:$U$1004,1,MATCH(COLUMNS($Q$1006:T1006),$Q$1006:$U$1006,0)))),"Fix")))</f>
        <v xml:space="preserve"> </v>
      </c>
      <c r="F165" s="3" t="str">
        <f ca="1">IF(OR(INDEX($K$2:$K$1001,MATCH(ROWS($J$2:J165),$J$2:$J$1001,0),1)&gt;=100000,INDEX($Q$1005:$U$1005,1,MATCH(COLUMNS($Q$1006:U1006),$Q$1006:$U$1006,0))&gt;=100000), " ",IF(INDEX($Q$2:$U$1001,MATCH(ROWS($J$2:J165),$J$2:$J$1001,0),MATCH(COLUMNS($Q$1006:U1006),$Q$1006:$U$1006,0)), HYPERLINK("#",""), HYPERLINK(CONCATENATE("#Metadata!", ADDRESS(INDEX($L$2:$L$1001,MATCH(ROWS($J$2:J165),$J$2:$J$1001,0),0), INDEX($Q$1004:$U$1004,1,MATCH(COLUMNS($Q$1006:U1006),$Q$1006:$U$1006,0)))),"Fix")))</f>
        <v xml:space="preserve"> </v>
      </c>
      <c r="J165">
        <f ca="1"/>
        <v>164</v>
      </c>
      <c r="K165">
        <v>100165</v>
      </c>
      <c r="L165">
        <v>165</v>
      </c>
      <c r="M165" t="b">
        <f t="shared" si="2"/>
        <v>1</v>
      </c>
      <c r="N165" t="b">
        <f>COUNTBLANK(Metadata!B165:F165)=COLUMNS(Metadata!B165:F165)</f>
        <v>1</v>
      </c>
      <c r="O165" t="str">
        <v/>
      </c>
      <c r="Q165" t="b">
        <f ca="1"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R165" t="b">
        <f>IF(Metadata!C165="",FALSE,TRUE)</f>
        <v>0</v>
      </c>
      <c r="S165" t="b">
        <f>OR(AND(IF(Metadata!D165="",FALSE,TRUE),EXACT(Metadata!D165,"missing: not collected")),AND(IF(Metadata!D165="",FALSE,TRUE),OR(EXACT(Metadata!D165,"t"),EXACT(Metadata!D165,"f"))))</f>
        <v>0</v>
      </c>
      <c r="T165" t="b">
        <f>AND(IF(Metadata!E165="",FALSE,TRUE),OR(EXACT(Metadata!E165,"a"),EXACT(Metadata!E165,"b")))</f>
        <v>0</v>
      </c>
      <c r="U165" t="b">
        <f>OR(AND(IF(Metadata!F165="",FALSE,TRUE),OR(EXACT(Metadata!F165,"missing: not collected"),EXACT(Metadata!F165,"missing: not provided"))),AND(IF(Metadata!F165="",FALSE,TRUE),OR(EXACT(Metadata!F165,"lo"),EXACT(Metadata!F165,"med"),EXACT(Metadata!F165,"hi"))))</f>
        <v>0</v>
      </c>
    </row>
    <row r="166" spans="1:21" x14ac:dyDescent="0.2">
      <c r="A166" s="4" t="str">
        <f ca="1">IF(B166=" "," ",HYPERLINK(CONCATENATE("#metadata!",ADDRESS(INDEX($L$2:$L$1001,MATCH(ROWS($J$2:J166),$J$2:$J$1001,0),0),1)),INDEX($O$2:$O$1001,MATCH(ROWS($J$2:J166),$J$2:$J$1001,0),0)))</f>
        <v xml:space="preserve"> </v>
      </c>
      <c r="B166" s="3" t="str">
        <f ca="1">IF(OR(INDEX($K$2:$K$1001,MATCH(ROWS($J$2:J166),$J$2:$J$1001,0),1)&gt;=100000,INDEX($Q$1005:$U$1005,1,MATCH(COLUMNS($Q$1006:Q1006),$Q$1006:$U$1006,0))&gt;=100000), " ",IF(INDEX($Q$2:$U$1001,MATCH(ROWS($J$2:J166),$J$2:$J$1001,0),MATCH(COLUMNS($Q$1006:Q1006),$Q$1006:$U$1006,0)), HYPERLINK("#",""), HYPERLINK(CONCATENATE("#Metadata!", ADDRESS(INDEX($L$2:$L$1001,MATCH(ROWS($J$2:J166),$J$2:$J$1001,0),0), INDEX($Q$1004:$U$1004,1,MATCH(COLUMNS($Q$1006:Q1006),$Q$1006:$U$1006,0)))),"Fix")))</f>
        <v xml:space="preserve"> </v>
      </c>
      <c r="C166" s="3" t="str">
        <f ca="1">IF(OR(INDEX($K$2:$K$1001,MATCH(ROWS($J$2:J166),$J$2:$J$1001,0),1)&gt;=100000,INDEX($Q$1005:$U$1005,1,MATCH(COLUMNS($Q$1006:R1006),$Q$1006:$U$1006,0))&gt;=100000), " ",IF(INDEX($Q$2:$U$1001,MATCH(ROWS($J$2:J166),$J$2:$J$1001,0),MATCH(COLUMNS($Q$1006:R1006),$Q$1006:$U$1006,0)), HYPERLINK("#",""), HYPERLINK(CONCATENATE("#Metadata!", ADDRESS(INDEX($L$2:$L$1001,MATCH(ROWS($J$2:J166),$J$2:$J$1001,0),0), INDEX($Q$1004:$U$1004,1,MATCH(COLUMNS($Q$1006:R1006),$Q$1006:$U$1006,0)))),"Fix")))</f>
        <v xml:space="preserve"> </v>
      </c>
      <c r="D166" s="3" t="str">
        <f ca="1">IF(OR(INDEX($K$2:$K$1001,MATCH(ROWS($J$2:J166),$J$2:$J$1001,0),1)&gt;=100000,INDEX($Q$1005:$U$1005,1,MATCH(COLUMNS($Q$1006:S1006),$Q$1006:$U$1006,0))&gt;=100000), " ",IF(INDEX($Q$2:$U$1001,MATCH(ROWS($J$2:J166),$J$2:$J$1001,0),MATCH(COLUMNS($Q$1006:S1006),$Q$1006:$U$1006,0)), HYPERLINK("#",""), HYPERLINK(CONCATENATE("#Metadata!", ADDRESS(INDEX($L$2:$L$1001,MATCH(ROWS($J$2:J166),$J$2:$J$1001,0),0), INDEX($Q$1004:$U$1004,1,MATCH(COLUMNS($Q$1006:S1006),$Q$1006:$U$1006,0)))),"Fix")))</f>
        <v xml:space="preserve"> </v>
      </c>
      <c r="E166" s="3" t="str">
        <f ca="1">IF(OR(INDEX($K$2:$K$1001,MATCH(ROWS($J$2:J166),$J$2:$J$1001,0),1)&gt;=100000,INDEX($Q$1005:$U$1005,1,MATCH(COLUMNS($Q$1006:T1006),$Q$1006:$U$1006,0))&gt;=100000), " ",IF(INDEX($Q$2:$U$1001,MATCH(ROWS($J$2:J166),$J$2:$J$1001,0),MATCH(COLUMNS($Q$1006:T1006),$Q$1006:$U$1006,0)), HYPERLINK("#",""), HYPERLINK(CONCATENATE("#Metadata!", ADDRESS(INDEX($L$2:$L$1001,MATCH(ROWS($J$2:J166),$J$2:$J$1001,0),0), INDEX($Q$1004:$U$1004,1,MATCH(COLUMNS($Q$1006:T1006),$Q$1006:$U$1006,0)))),"Fix")))</f>
        <v xml:space="preserve"> </v>
      </c>
      <c r="F166" s="3" t="str">
        <f ca="1">IF(OR(INDEX($K$2:$K$1001,MATCH(ROWS($J$2:J166),$J$2:$J$1001,0),1)&gt;=100000,INDEX($Q$1005:$U$1005,1,MATCH(COLUMNS($Q$1006:U1006),$Q$1006:$U$1006,0))&gt;=100000), " ",IF(INDEX($Q$2:$U$1001,MATCH(ROWS($J$2:J166),$J$2:$J$1001,0),MATCH(COLUMNS($Q$1006:U1006),$Q$1006:$U$1006,0)), HYPERLINK("#",""), HYPERLINK(CONCATENATE("#Metadata!", ADDRESS(INDEX($L$2:$L$1001,MATCH(ROWS($J$2:J166),$J$2:$J$1001,0),0), INDEX($Q$1004:$U$1004,1,MATCH(COLUMNS($Q$1006:U1006),$Q$1006:$U$1006,0)))),"Fix")))</f>
        <v xml:space="preserve"> </v>
      </c>
      <c r="J166">
        <f ca="1"/>
        <v>165</v>
      </c>
      <c r="K166">
        <v>100166</v>
      </c>
      <c r="L166">
        <v>166</v>
      </c>
      <c r="M166" t="b">
        <f t="shared" si="2"/>
        <v>1</v>
      </c>
      <c r="N166" t="b">
        <f>COUNTBLANK(Metadata!B166:F166)=COLUMNS(Metadata!B166:F166)</f>
        <v>1</v>
      </c>
      <c r="O166" t="str">
        <v/>
      </c>
      <c r="Q166" t="b">
        <f ca="1"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R166" t="b">
        <f>IF(Metadata!C166="",FALSE,TRUE)</f>
        <v>0</v>
      </c>
      <c r="S166" t="b">
        <f>OR(AND(IF(Metadata!D166="",FALSE,TRUE),EXACT(Metadata!D166,"missing: not collected")),AND(IF(Metadata!D166="",FALSE,TRUE),OR(EXACT(Metadata!D166,"t"),EXACT(Metadata!D166,"f"))))</f>
        <v>0</v>
      </c>
      <c r="T166" t="b">
        <f>AND(IF(Metadata!E166="",FALSE,TRUE),OR(EXACT(Metadata!E166,"a"),EXACT(Metadata!E166,"b")))</f>
        <v>0</v>
      </c>
      <c r="U166" t="b">
        <f>OR(AND(IF(Metadata!F166="",FALSE,TRUE),OR(EXACT(Metadata!F166,"missing: not collected"),EXACT(Metadata!F166,"missing: not provided"))),AND(IF(Metadata!F166="",FALSE,TRUE),OR(EXACT(Metadata!F166,"lo"),EXACT(Metadata!F166,"med"),EXACT(Metadata!F166,"hi"))))</f>
        <v>0</v>
      </c>
    </row>
    <row r="167" spans="1:21" x14ac:dyDescent="0.2">
      <c r="A167" s="4" t="str">
        <f ca="1">IF(B167=" "," ",HYPERLINK(CONCATENATE("#metadata!",ADDRESS(INDEX($L$2:$L$1001,MATCH(ROWS($J$2:J167),$J$2:$J$1001,0),0),1)),INDEX($O$2:$O$1001,MATCH(ROWS($J$2:J167),$J$2:$J$1001,0),0)))</f>
        <v xml:space="preserve"> </v>
      </c>
      <c r="B167" s="3" t="str">
        <f ca="1">IF(OR(INDEX($K$2:$K$1001,MATCH(ROWS($J$2:J167),$J$2:$J$1001,0),1)&gt;=100000,INDEX($Q$1005:$U$1005,1,MATCH(COLUMNS($Q$1006:Q1006),$Q$1006:$U$1006,0))&gt;=100000), " ",IF(INDEX($Q$2:$U$1001,MATCH(ROWS($J$2:J167),$J$2:$J$1001,0),MATCH(COLUMNS($Q$1006:Q1006),$Q$1006:$U$1006,0)), HYPERLINK("#",""), HYPERLINK(CONCATENATE("#Metadata!", ADDRESS(INDEX($L$2:$L$1001,MATCH(ROWS($J$2:J167),$J$2:$J$1001,0),0), INDEX($Q$1004:$U$1004,1,MATCH(COLUMNS($Q$1006:Q1006),$Q$1006:$U$1006,0)))),"Fix")))</f>
        <v xml:space="preserve"> </v>
      </c>
      <c r="C167" s="3" t="str">
        <f ca="1">IF(OR(INDEX($K$2:$K$1001,MATCH(ROWS($J$2:J167),$J$2:$J$1001,0),1)&gt;=100000,INDEX($Q$1005:$U$1005,1,MATCH(COLUMNS($Q$1006:R1006),$Q$1006:$U$1006,0))&gt;=100000), " ",IF(INDEX($Q$2:$U$1001,MATCH(ROWS($J$2:J167),$J$2:$J$1001,0),MATCH(COLUMNS($Q$1006:R1006),$Q$1006:$U$1006,0)), HYPERLINK("#",""), HYPERLINK(CONCATENATE("#Metadata!", ADDRESS(INDEX($L$2:$L$1001,MATCH(ROWS($J$2:J167),$J$2:$J$1001,0),0), INDEX($Q$1004:$U$1004,1,MATCH(COLUMNS($Q$1006:R1006),$Q$1006:$U$1006,0)))),"Fix")))</f>
        <v xml:space="preserve"> </v>
      </c>
      <c r="D167" s="3" t="str">
        <f ca="1">IF(OR(INDEX($K$2:$K$1001,MATCH(ROWS($J$2:J167),$J$2:$J$1001,0),1)&gt;=100000,INDEX($Q$1005:$U$1005,1,MATCH(COLUMNS($Q$1006:S1006),$Q$1006:$U$1006,0))&gt;=100000), " ",IF(INDEX($Q$2:$U$1001,MATCH(ROWS($J$2:J167),$J$2:$J$1001,0),MATCH(COLUMNS($Q$1006:S1006),$Q$1006:$U$1006,0)), HYPERLINK("#",""), HYPERLINK(CONCATENATE("#Metadata!", ADDRESS(INDEX($L$2:$L$1001,MATCH(ROWS($J$2:J167),$J$2:$J$1001,0),0), INDEX($Q$1004:$U$1004,1,MATCH(COLUMNS($Q$1006:S1006),$Q$1006:$U$1006,0)))),"Fix")))</f>
        <v xml:space="preserve"> </v>
      </c>
      <c r="E167" s="3" t="str">
        <f ca="1">IF(OR(INDEX($K$2:$K$1001,MATCH(ROWS($J$2:J167),$J$2:$J$1001,0),1)&gt;=100000,INDEX($Q$1005:$U$1005,1,MATCH(COLUMNS($Q$1006:T1006),$Q$1006:$U$1006,0))&gt;=100000), " ",IF(INDEX($Q$2:$U$1001,MATCH(ROWS($J$2:J167),$J$2:$J$1001,0),MATCH(COLUMNS($Q$1006:T1006),$Q$1006:$U$1006,0)), HYPERLINK("#",""), HYPERLINK(CONCATENATE("#Metadata!", ADDRESS(INDEX($L$2:$L$1001,MATCH(ROWS($J$2:J167),$J$2:$J$1001,0),0), INDEX($Q$1004:$U$1004,1,MATCH(COLUMNS($Q$1006:T1006),$Q$1006:$U$1006,0)))),"Fix")))</f>
        <v xml:space="preserve"> </v>
      </c>
      <c r="F167" s="3" t="str">
        <f ca="1">IF(OR(INDEX($K$2:$K$1001,MATCH(ROWS($J$2:J167),$J$2:$J$1001,0),1)&gt;=100000,INDEX($Q$1005:$U$1005,1,MATCH(COLUMNS($Q$1006:U1006),$Q$1006:$U$1006,0))&gt;=100000), " ",IF(INDEX($Q$2:$U$1001,MATCH(ROWS($J$2:J167),$J$2:$J$1001,0),MATCH(COLUMNS($Q$1006:U1006),$Q$1006:$U$1006,0)), HYPERLINK("#",""), HYPERLINK(CONCATENATE("#Metadata!", ADDRESS(INDEX($L$2:$L$1001,MATCH(ROWS($J$2:J167),$J$2:$J$1001,0),0), INDEX($Q$1004:$U$1004,1,MATCH(COLUMNS($Q$1006:U1006),$Q$1006:$U$1006,0)))),"Fix")))</f>
        <v xml:space="preserve"> </v>
      </c>
      <c r="J167">
        <f ca="1"/>
        <v>166</v>
      </c>
      <c r="K167">
        <v>100167</v>
      </c>
      <c r="L167">
        <v>167</v>
      </c>
      <c r="M167" t="b">
        <f t="shared" si="2"/>
        <v>1</v>
      </c>
      <c r="N167" t="b">
        <f>COUNTBLANK(Metadata!B167:F167)=COLUMNS(Metadata!B167:F167)</f>
        <v>1</v>
      </c>
      <c r="O167" t="str">
        <v/>
      </c>
      <c r="Q167" t="b">
        <f ca="1"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R167" t="b">
        <f>IF(Metadata!C167="",FALSE,TRUE)</f>
        <v>0</v>
      </c>
      <c r="S167" t="b">
        <f>OR(AND(IF(Metadata!D167="",FALSE,TRUE),EXACT(Metadata!D167,"missing: not collected")),AND(IF(Metadata!D167="",FALSE,TRUE),OR(EXACT(Metadata!D167,"t"),EXACT(Metadata!D167,"f"))))</f>
        <v>0</v>
      </c>
      <c r="T167" t="b">
        <f>AND(IF(Metadata!E167="",FALSE,TRUE),OR(EXACT(Metadata!E167,"a"),EXACT(Metadata!E167,"b")))</f>
        <v>0</v>
      </c>
      <c r="U167" t="b">
        <f>OR(AND(IF(Metadata!F167="",FALSE,TRUE),OR(EXACT(Metadata!F167,"missing: not collected"),EXACT(Metadata!F167,"missing: not provided"))),AND(IF(Metadata!F167="",FALSE,TRUE),OR(EXACT(Metadata!F167,"lo"),EXACT(Metadata!F167,"med"),EXACT(Metadata!F167,"hi"))))</f>
        <v>0</v>
      </c>
    </row>
    <row r="168" spans="1:21" x14ac:dyDescent="0.2">
      <c r="A168" s="4" t="str">
        <f ca="1">IF(B168=" "," ",HYPERLINK(CONCATENATE("#metadata!",ADDRESS(INDEX($L$2:$L$1001,MATCH(ROWS($J$2:J168),$J$2:$J$1001,0),0),1)),INDEX($O$2:$O$1001,MATCH(ROWS($J$2:J168),$J$2:$J$1001,0),0)))</f>
        <v xml:space="preserve"> </v>
      </c>
      <c r="B168" s="3" t="str">
        <f ca="1">IF(OR(INDEX($K$2:$K$1001,MATCH(ROWS($J$2:J168),$J$2:$J$1001,0),1)&gt;=100000,INDEX($Q$1005:$U$1005,1,MATCH(COLUMNS($Q$1006:Q1006),$Q$1006:$U$1006,0))&gt;=100000), " ",IF(INDEX($Q$2:$U$1001,MATCH(ROWS($J$2:J168),$J$2:$J$1001,0),MATCH(COLUMNS($Q$1006:Q1006),$Q$1006:$U$1006,0)), HYPERLINK("#",""), HYPERLINK(CONCATENATE("#Metadata!", ADDRESS(INDEX($L$2:$L$1001,MATCH(ROWS($J$2:J168),$J$2:$J$1001,0),0), INDEX($Q$1004:$U$1004,1,MATCH(COLUMNS($Q$1006:Q1006),$Q$1006:$U$1006,0)))),"Fix")))</f>
        <v xml:space="preserve"> </v>
      </c>
      <c r="C168" s="3" t="str">
        <f ca="1">IF(OR(INDEX($K$2:$K$1001,MATCH(ROWS($J$2:J168),$J$2:$J$1001,0),1)&gt;=100000,INDEX($Q$1005:$U$1005,1,MATCH(COLUMNS($Q$1006:R1006),$Q$1006:$U$1006,0))&gt;=100000), " ",IF(INDEX($Q$2:$U$1001,MATCH(ROWS($J$2:J168),$J$2:$J$1001,0),MATCH(COLUMNS($Q$1006:R1006),$Q$1006:$U$1006,0)), HYPERLINK("#",""), HYPERLINK(CONCATENATE("#Metadata!", ADDRESS(INDEX($L$2:$L$1001,MATCH(ROWS($J$2:J168),$J$2:$J$1001,0),0), INDEX($Q$1004:$U$1004,1,MATCH(COLUMNS($Q$1006:R1006),$Q$1006:$U$1006,0)))),"Fix")))</f>
        <v xml:space="preserve"> </v>
      </c>
      <c r="D168" s="3" t="str">
        <f ca="1">IF(OR(INDEX($K$2:$K$1001,MATCH(ROWS($J$2:J168),$J$2:$J$1001,0),1)&gt;=100000,INDEX($Q$1005:$U$1005,1,MATCH(COLUMNS($Q$1006:S1006),$Q$1006:$U$1006,0))&gt;=100000), " ",IF(INDEX($Q$2:$U$1001,MATCH(ROWS($J$2:J168),$J$2:$J$1001,0),MATCH(COLUMNS($Q$1006:S1006),$Q$1006:$U$1006,0)), HYPERLINK("#",""), HYPERLINK(CONCATENATE("#Metadata!", ADDRESS(INDEX($L$2:$L$1001,MATCH(ROWS($J$2:J168),$J$2:$J$1001,0),0), INDEX($Q$1004:$U$1004,1,MATCH(COLUMNS($Q$1006:S1006),$Q$1006:$U$1006,0)))),"Fix")))</f>
        <v xml:space="preserve"> </v>
      </c>
      <c r="E168" s="3" t="str">
        <f ca="1">IF(OR(INDEX($K$2:$K$1001,MATCH(ROWS($J$2:J168),$J$2:$J$1001,0),1)&gt;=100000,INDEX($Q$1005:$U$1005,1,MATCH(COLUMNS($Q$1006:T1006),$Q$1006:$U$1006,0))&gt;=100000), " ",IF(INDEX($Q$2:$U$1001,MATCH(ROWS($J$2:J168),$J$2:$J$1001,0),MATCH(COLUMNS($Q$1006:T1006),$Q$1006:$U$1006,0)), HYPERLINK("#",""), HYPERLINK(CONCATENATE("#Metadata!", ADDRESS(INDEX($L$2:$L$1001,MATCH(ROWS($J$2:J168),$J$2:$J$1001,0),0), INDEX($Q$1004:$U$1004,1,MATCH(COLUMNS($Q$1006:T1006),$Q$1006:$U$1006,0)))),"Fix")))</f>
        <v xml:space="preserve"> </v>
      </c>
      <c r="F168" s="3" t="str">
        <f ca="1">IF(OR(INDEX($K$2:$K$1001,MATCH(ROWS($J$2:J168),$J$2:$J$1001,0),1)&gt;=100000,INDEX($Q$1005:$U$1005,1,MATCH(COLUMNS($Q$1006:U1006),$Q$1006:$U$1006,0))&gt;=100000), " ",IF(INDEX($Q$2:$U$1001,MATCH(ROWS($J$2:J168),$J$2:$J$1001,0),MATCH(COLUMNS($Q$1006:U1006),$Q$1006:$U$1006,0)), HYPERLINK("#",""), HYPERLINK(CONCATENATE("#Metadata!", ADDRESS(INDEX($L$2:$L$1001,MATCH(ROWS($J$2:J168),$J$2:$J$1001,0),0), INDEX($Q$1004:$U$1004,1,MATCH(COLUMNS($Q$1006:U1006),$Q$1006:$U$1006,0)))),"Fix")))</f>
        <v xml:space="preserve"> </v>
      </c>
      <c r="J168">
        <f ca="1"/>
        <v>167</v>
      </c>
      <c r="K168">
        <v>100168</v>
      </c>
      <c r="L168">
        <v>168</v>
      </c>
      <c r="M168" t="b">
        <f t="shared" si="2"/>
        <v>1</v>
      </c>
      <c r="N168" t="b">
        <f>COUNTBLANK(Metadata!B168:F168)=COLUMNS(Metadata!B168:F168)</f>
        <v>1</v>
      </c>
      <c r="O168" t="str">
        <v/>
      </c>
      <c r="Q168" t="b">
        <f ca="1"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R168" t="b">
        <f>IF(Metadata!C168="",FALSE,TRUE)</f>
        <v>0</v>
      </c>
      <c r="S168" t="b">
        <f>OR(AND(IF(Metadata!D168="",FALSE,TRUE),EXACT(Metadata!D168,"missing: not collected")),AND(IF(Metadata!D168="",FALSE,TRUE),OR(EXACT(Metadata!D168,"t"),EXACT(Metadata!D168,"f"))))</f>
        <v>0</v>
      </c>
      <c r="T168" t="b">
        <f>AND(IF(Metadata!E168="",FALSE,TRUE),OR(EXACT(Metadata!E168,"a"),EXACT(Metadata!E168,"b")))</f>
        <v>0</v>
      </c>
      <c r="U168" t="b">
        <f>OR(AND(IF(Metadata!F168="",FALSE,TRUE),OR(EXACT(Metadata!F168,"missing: not collected"),EXACT(Metadata!F168,"missing: not provided"))),AND(IF(Metadata!F168="",FALSE,TRUE),OR(EXACT(Metadata!F168,"lo"),EXACT(Metadata!F168,"med"),EXACT(Metadata!F168,"hi"))))</f>
        <v>0</v>
      </c>
    </row>
    <row r="169" spans="1:21" x14ac:dyDescent="0.2">
      <c r="A169" s="4" t="str">
        <f ca="1">IF(B169=" "," ",HYPERLINK(CONCATENATE("#metadata!",ADDRESS(INDEX($L$2:$L$1001,MATCH(ROWS($J$2:J169),$J$2:$J$1001,0),0),1)),INDEX($O$2:$O$1001,MATCH(ROWS($J$2:J169),$J$2:$J$1001,0),0)))</f>
        <v xml:space="preserve"> </v>
      </c>
      <c r="B169" s="3" t="str">
        <f ca="1">IF(OR(INDEX($K$2:$K$1001,MATCH(ROWS($J$2:J169),$J$2:$J$1001,0),1)&gt;=100000,INDEX($Q$1005:$U$1005,1,MATCH(COLUMNS($Q$1006:Q1006),$Q$1006:$U$1006,0))&gt;=100000), " ",IF(INDEX($Q$2:$U$1001,MATCH(ROWS($J$2:J169),$J$2:$J$1001,0),MATCH(COLUMNS($Q$1006:Q1006),$Q$1006:$U$1006,0)), HYPERLINK("#",""), HYPERLINK(CONCATENATE("#Metadata!", ADDRESS(INDEX($L$2:$L$1001,MATCH(ROWS($J$2:J169),$J$2:$J$1001,0),0), INDEX($Q$1004:$U$1004,1,MATCH(COLUMNS($Q$1006:Q1006),$Q$1006:$U$1006,0)))),"Fix")))</f>
        <v xml:space="preserve"> </v>
      </c>
      <c r="C169" s="3" t="str">
        <f ca="1">IF(OR(INDEX($K$2:$K$1001,MATCH(ROWS($J$2:J169),$J$2:$J$1001,0),1)&gt;=100000,INDEX($Q$1005:$U$1005,1,MATCH(COLUMNS($Q$1006:R1006),$Q$1006:$U$1006,0))&gt;=100000), " ",IF(INDEX($Q$2:$U$1001,MATCH(ROWS($J$2:J169),$J$2:$J$1001,0),MATCH(COLUMNS($Q$1006:R1006),$Q$1006:$U$1006,0)), HYPERLINK("#",""), HYPERLINK(CONCATENATE("#Metadata!", ADDRESS(INDEX($L$2:$L$1001,MATCH(ROWS($J$2:J169),$J$2:$J$1001,0),0), INDEX($Q$1004:$U$1004,1,MATCH(COLUMNS($Q$1006:R1006),$Q$1006:$U$1006,0)))),"Fix")))</f>
        <v xml:space="preserve"> </v>
      </c>
      <c r="D169" s="3" t="str">
        <f ca="1">IF(OR(INDEX($K$2:$K$1001,MATCH(ROWS($J$2:J169),$J$2:$J$1001,0),1)&gt;=100000,INDEX($Q$1005:$U$1005,1,MATCH(COLUMNS($Q$1006:S1006),$Q$1006:$U$1006,0))&gt;=100000), " ",IF(INDEX($Q$2:$U$1001,MATCH(ROWS($J$2:J169),$J$2:$J$1001,0),MATCH(COLUMNS($Q$1006:S1006),$Q$1006:$U$1006,0)), HYPERLINK("#",""), HYPERLINK(CONCATENATE("#Metadata!", ADDRESS(INDEX($L$2:$L$1001,MATCH(ROWS($J$2:J169),$J$2:$J$1001,0),0), INDEX($Q$1004:$U$1004,1,MATCH(COLUMNS($Q$1006:S1006),$Q$1006:$U$1006,0)))),"Fix")))</f>
        <v xml:space="preserve"> </v>
      </c>
      <c r="E169" s="3" t="str">
        <f ca="1">IF(OR(INDEX($K$2:$K$1001,MATCH(ROWS($J$2:J169),$J$2:$J$1001,0),1)&gt;=100000,INDEX($Q$1005:$U$1005,1,MATCH(COLUMNS($Q$1006:T1006),$Q$1006:$U$1006,0))&gt;=100000), " ",IF(INDEX($Q$2:$U$1001,MATCH(ROWS($J$2:J169),$J$2:$J$1001,0),MATCH(COLUMNS($Q$1006:T1006),$Q$1006:$U$1006,0)), HYPERLINK("#",""), HYPERLINK(CONCATENATE("#Metadata!", ADDRESS(INDEX($L$2:$L$1001,MATCH(ROWS($J$2:J169),$J$2:$J$1001,0),0), INDEX($Q$1004:$U$1004,1,MATCH(COLUMNS($Q$1006:T1006),$Q$1006:$U$1006,0)))),"Fix")))</f>
        <v xml:space="preserve"> </v>
      </c>
      <c r="F169" s="3" t="str">
        <f ca="1">IF(OR(INDEX($K$2:$K$1001,MATCH(ROWS($J$2:J169),$J$2:$J$1001,0),1)&gt;=100000,INDEX($Q$1005:$U$1005,1,MATCH(COLUMNS($Q$1006:U1006),$Q$1006:$U$1006,0))&gt;=100000), " ",IF(INDEX($Q$2:$U$1001,MATCH(ROWS($J$2:J169),$J$2:$J$1001,0),MATCH(COLUMNS($Q$1006:U1006),$Q$1006:$U$1006,0)), HYPERLINK("#",""), HYPERLINK(CONCATENATE("#Metadata!", ADDRESS(INDEX($L$2:$L$1001,MATCH(ROWS($J$2:J169),$J$2:$J$1001,0),0), INDEX($Q$1004:$U$1004,1,MATCH(COLUMNS($Q$1006:U1006),$Q$1006:$U$1006,0)))),"Fix")))</f>
        <v xml:space="preserve"> </v>
      </c>
      <c r="J169">
        <f ca="1"/>
        <v>168</v>
      </c>
      <c r="K169">
        <v>100169</v>
      </c>
      <c r="L169">
        <v>169</v>
      </c>
      <c r="M169" t="b">
        <f t="shared" si="2"/>
        <v>1</v>
      </c>
      <c r="N169" t="b">
        <f>COUNTBLANK(Metadata!B169:F169)=COLUMNS(Metadata!B169:F169)</f>
        <v>1</v>
      </c>
      <c r="O169" t="str">
        <v/>
      </c>
      <c r="Q169" t="b">
        <f ca="1"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R169" t="b">
        <f>IF(Metadata!C169="",FALSE,TRUE)</f>
        <v>0</v>
      </c>
      <c r="S169" t="b">
        <f>OR(AND(IF(Metadata!D169="",FALSE,TRUE),EXACT(Metadata!D169,"missing: not collected")),AND(IF(Metadata!D169="",FALSE,TRUE),OR(EXACT(Metadata!D169,"t"),EXACT(Metadata!D169,"f"))))</f>
        <v>0</v>
      </c>
      <c r="T169" t="b">
        <f>AND(IF(Metadata!E169="",FALSE,TRUE),OR(EXACT(Metadata!E169,"a"),EXACT(Metadata!E169,"b")))</f>
        <v>0</v>
      </c>
      <c r="U169" t="b">
        <f>OR(AND(IF(Metadata!F169="",FALSE,TRUE),OR(EXACT(Metadata!F169,"missing: not collected"),EXACT(Metadata!F169,"missing: not provided"))),AND(IF(Metadata!F169="",FALSE,TRUE),OR(EXACT(Metadata!F169,"lo"),EXACT(Metadata!F169,"med"),EXACT(Metadata!F169,"hi"))))</f>
        <v>0</v>
      </c>
    </row>
    <row r="170" spans="1:21" x14ac:dyDescent="0.2">
      <c r="A170" s="4" t="str">
        <f ca="1">IF(B170=" "," ",HYPERLINK(CONCATENATE("#metadata!",ADDRESS(INDEX($L$2:$L$1001,MATCH(ROWS($J$2:J170),$J$2:$J$1001,0),0),1)),INDEX($O$2:$O$1001,MATCH(ROWS($J$2:J170),$J$2:$J$1001,0),0)))</f>
        <v xml:space="preserve"> </v>
      </c>
      <c r="B170" s="3" t="str">
        <f ca="1">IF(OR(INDEX($K$2:$K$1001,MATCH(ROWS($J$2:J170),$J$2:$J$1001,0),1)&gt;=100000,INDEX($Q$1005:$U$1005,1,MATCH(COLUMNS($Q$1006:Q1006),$Q$1006:$U$1006,0))&gt;=100000), " ",IF(INDEX($Q$2:$U$1001,MATCH(ROWS($J$2:J170),$J$2:$J$1001,0),MATCH(COLUMNS($Q$1006:Q1006),$Q$1006:$U$1006,0)), HYPERLINK("#",""), HYPERLINK(CONCATENATE("#Metadata!", ADDRESS(INDEX($L$2:$L$1001,MATCH(ROWS($J$2:J170),$J$2:$J$1001,0),0), INDEX($Q$1004:$U$1004,1,MATCH(COLUMNS($Q$1006:Q1006),$Q$1006:$U$1006,0)))),"Fix")))</f>
        <v xml:space="preserve"> </v>
      </c>
      <c r="C170" s="3" t="str">
        <f ca="1">IF(OR(INDEX($K$2:$K$1001,MATCH(ROWS($J$2:J170),$J$2:$J$1001,0),1)&gt;=100000,INDEX($Q$1005:$U$1005,1,MATCH(COLUMNS($Q$1006:R1006),$Q$1006:$U$1006,0))&gt;=100000), " ",IF(INDEX($Q$2:$U$1001,MATCH(ROWS($J$2:J170),$J$2:$J$1001,0),MATCH(COLUMNS($Q$1006:R1006),$Q$1006:$U$1006,0)), HYPERLINK("#",""), HYPERLINK(CONCATENATE("#Metadata!", ADDRESS(INDEX($L$2:$L$1001,MATCH(ROWS($J$2:J170),$J$2:$J$1001,0),0), INDEX($Q$1004:$U$1004,1,MATCH(COLUMNS($Q$1006:R1006),$Q$1006:$U$1006,0)))),"Fix")))</f>
        <v xml:space="preserve"> </v>
      </c>
      <c r="D170" s="3" t="str">
        <f ca="1">IF(OR(INDEX($K$2:$K$1001,MATCH(ROWS($J$2:J170),$J$2:$J$1001,0),1)&gt;=100000,INDEX($Q$1005:$U$1005,1,MATCH(COLUMNS($Q$1006:S1006),$Q$1006:$U$1006,0))&gt;=100000), " ",IF(INDEX($Q$2:$U$1001,MATCH(ROWS($J$2:J170),$J$2:$J$1001,0),MATCH(COLUMNS($Q$1006:S1006),$Q$1006:$U$1006,0)), HYPERLINK("#",""), HYPERLINK(CONCATENATE("#Metadata!", ADDRESS(INDEX($L$2:$L$1001,MATCH(ROWS($J$2:J170),$J$2:$J$1001,0),0), INDEX($Q$1004:$U$1004,1,MATCH(COLUMNS($Q$1006:S1006),$Q$1006:$U$1006,0)))),"Fix")))</f>
        <v xml:space="preserve"> </v>
      </c>
      <c r="E170" s="3" t="str">
        <f ca="1">IF(OR(INDEX($K$2:$K$1001,MATCH(ROWS($J$2:J170),$J$2:$J$1001,0),1)&gt;=100000,INDEX($Q$1005:$U$1005,1,MATCH(COLUMNS($Q$1006:T1006),$Q$1006:$U$1006,0))&gt;=100000), " ",IF(INDEX($Q$2:$U$1001,MATCH(ROWS($J$2:J170),$J$2:$J$1001,0),MATCH(COLUMNS($Q$1006:T1006),$Q$1006:$U$1006,0)), HYPERLINK("#",""), HYPERLINK(CONCATENATE("#Metadata!", ADDRESS(INDEX($L$2:$L$1001,MATCH(ROWS($J$2:J170),$J$2:$J$1001,0),0), INDEX($Q$1004:$U$1004,1,MATCH(COLUMNS($Q$1006:T1006),$Q$1006:$U$1006,0)))),"Fix")))</f>
        <v xml:space="preserve"> </v>
      </c>
      <c r="F170" s="3" t="str">
        <f ca="1">IF(OR(INDEX($K$2:$K$1001,MATCH(ROWS($J$2:J170),$J$2:$J$1001,0),1)&gt;=100000,INDEX($Q$1005:$U$1005,1,MATCH(COLUMNS($Q$1006:U1006),$Q$1006:$U$1006,0))&gt;=100000), " ",IF(INDEX($Q$2:$U$1001,MATCH(ROWS($J$2:J170),$J$2:$J$1001,0),MATCH(COLUMNS($Q$1006:U1006),$Q$1006:$U$1006,0)), HYPERLINK("#",""), HYPERLINK(CONCATENATE("#Metadata!", ADDRESS(INDEX($L$2:$L$1001,MATCH(ROWS($J$2:J170),$J$2:$J$1001,0),0), INDEX($Q$1004:$U$1004,1,MATCH(COLUMNS($Q$1006:U1006),$Q$1006:$U$1006,0)))),"Fix")))</f>
        <v xml:space="preserve"> </v>
      </c>
      <c r="J170">
        <f ca="1"/>
        <v>169</v>
      </c>
      <c r="K170">
        <v>100170</v>
      </c>
      <c r="L170">
        <v>170</v>
      </c>
      <c r="M170" t="b">
        <f t="shared" si="2"/>
        <v>1</v>
      </c>
      <c r="N170" t="b">
        <f>COUNTBLANK(Metadata!B170:F170)=COLUMNS(Metadata!B170:F170)</f>
        <v>1</v>
      </c>
      <c r="O170" t="str">
        <v/>
      </c>
      <c r="Q170" t="b">
        <f ca="1"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R170" t="b">
        <f>IF(Metadata!C170="",FALSE,TRUE)</f>
        <v>0</v>
      </c>
      <c r="S170" t="b">
        <f>OR(AND(IF(Metadata!D170="",FALSE,TRUE),EXACT(Metadata!D170,"missing: not collected")),AND(IF(Metadata!D170="",FALSE,TRUE),OR(EXACT(Metadata!D170,"t"),EXACT(Metadata!D170,"f"))))</f>
        <v>0</v>
      </c>
      <c r="T170" t="b">
        <f>AND(IF(Metadata!E170="",FALSE,TRUE),OR(EXACT(Metadata!E170,"a"),EXACT(Metadata!E170,"b")))</f>
        <v>0</v>
      </c>
      <c r="U170" t="b">
        <f>OR(AND(IF(Metadata!F170="",FALSE,TRUE),OR(EXACT(Metadata!F170,"missing: not collected"),EXACT(Metadata!F170,"missing: not provided"))),AND(IF(Metadata!F170="",FALSE,TRUE),OR(EXACT(Metadata!F170,"lo"),EXACT(Metadata!F170,"med"),EXACT(Metadata!F170,"hi"))))</f>
        <v>0</v>
      </c>
    </row>
    <row r="171" spans="1:21" x14ac:dyDescent="0.2">
      <c r="A171" s="4" t="str">
        <f ca="1">IF(B171=" "," ",HYPERLINK(CONCATENATE("#metadata!",ADDRESS(INDEX($L$2:$L$1001,MATCH(ROWS($J$2:J171),$J$2:$J$1001,0),0),1)),INDEX($O$2:$O$1001,MATCH(ROWS($J$2:J171),$J$2:$J$1001,0),0)))</f>
        <v xml:space="preserve"> </v>
      </c>
      <c r="B171" s="3" t="str">
        <f ca="1">IF(OR(INDEX($K$2:$K$1001,MATCH(ROWS($J$2:J171),$J$2:$J$1001,0),1)&gt;=100000,INDEX($Q$1005:$U$1005,1,MATCH(COLUMNS($Q$1006:Q1006),$Q$1006:$U$1006,0))&gt;=100000), " ",IF(INDEX($Q$2:$U$1001,MATCH(ROWS($J$2:J171),$J$2:$J$1001,0),MATCH(COLUMNS($Q$1006:Q1006),$Q$1006:$U$1006,0)), HYPERLINK("#",""), HYPERLINK(CONCATENATE("#Metadata!", ADDRESS(INDEX($L$2:$L$1001,MATCH(ROWS($J$2:J171),$J$2:$J$1001,0),0), INDEX($Q$1004:$U$1004,1,MATCH(COLUMNS($Q$1006:Q1006),$Q$1006:$U$1006,0)))),"Fix")))</f>
        <v xml:space="preserve"> </v>
      </c>
      <c r="C171" s="3" t="str">
        <f ca="1">IF(OR(INDEX($K$2:$K$1001,MATCH(ROWS($J$2:J171),$J$2:$J$1001,0),1)&gt;=100000,INDEX($Q$1005:$U$1005,1,MATCH(COLUMNS($Q$1006:R1006),$Q$1006:$U$1006,0))&gt;=100000), " ",IF(INDEX($Q$2:$U$1001,MATCH(ROWS($J$2:J171),$J$2:$J$1001,0),MATCH(COLUMNS($Q$1006:R1006),$Q$1006:$U$1006,0)), HYPERLINK("#",""), HYPERLINK(CONCATENATE("#Metadata!", ADDRESS(INDEX($L$2:$L$1001,MATCH(ROWS($J$2:J171),$J$2:$J$1001,0),0), INDEX($Q$1004:$U$1004,1,MATCH(COLUMNS($Q$1006:R1006),$Q$1006:$U$1006,0)))),"Fix")))</f>
        <v xml:space="preserve"> </v>
      </c>
      <c r="D171" s="3" t="str">
        <f ca="1">IF(OR(INDEX($K$2:$K$1001,MATCH(ROWS($J$2:J171),$J$2:$J$1001,0),1)&gt;=100000,INDEX($Q$1005:$U$1005,1,MATCH(COLUMNS($Q$1006:S1006),$Q$1006:$U$1006,0))&gt;=100000), " ",IF(INDEX($Q$2:$U$1001,MATCH(ROWS($J$2:J171),$J$2:$J$1001,0),MATCH(COLUMNS($Q$1006:S1006),$Q$1006:$U$1006,0)), HYPERLINK("#",""), HYPERLINK(CONCATENATE("#Metadata!", ADDRESS(INDEX($L$2:$L$1001,MATCH(ROWS($J$2:J171),$J$2:$J$1001,0),0), INDEX($Q$1004:$U$1004,1,MATCH(COLUMNS($Q$1006:S1006),$Q$1006:$U$1006,0)))),"Fix")))</f>
        <v xml:space="preserve"> </v>
      </c>
      <c r="E171" s="3" t="str">
        <f ca="1">IF(OR(INDEX($K$2:$K$1001,MATCH(ROWS($J$2:J171),$J$2:$J$1001,0),1)&gt;=100000,INDEX($Q$1005:$U$1005,1,MATCH(COLUMNS($Q$1006:T1006),$Q$1006:$U$1006,0))&gt;=100000), " ",IF(INDEX($Q$2:$U$1001,MATCH(ROWS($J$2:J171),$J$2:$J$1001,0),MATCH(COLUMNS($Q$1006:T1006),$Q$1006:$U$1006,0)), HYPERLINK("#",""), HYPERLINK(CONCATENATE("#Metadata!", ADDRESS(INDEX($L$2:$L$1001,MATCH(ROWS($J$2:J171),$J$2:$J$1001,0),0), INDEX($Q$1004:$U$1004,1,MATCH(COLUMNS($Q$1006:T1006),$Q$1006:$U$1006,0)))),"Fix")))</f>
        <v xml:space="preserve"> </v>
      </c>
      <c r="F171" s="3" t="str">
        <f ca="1">IF(OR(INDEX($K$2:$K$1001,MATCH(ROWS($J$2:J171),$J$2:$J$1001,0),1)&gt;=100000,INDEX($Q$1005:$U$1005,1,MATCH(COLUMNS($Q$1006:U1006),$Q$1006:$U$1006,0))&gt;=100000), " ",IF(INDEX($Q$2:$U$1001,MATCH(ROWS($J$2:J171),$J$2:$J$1001,0),MATCH(COLUMNS($Q$1006:U1006),$Q$1006:$U$1006,0)), HYPERLINK("#",""), HYPERLINK(CONCATENATE("#Metadata!", ADDRESS(INDEX($L$2:$L$1001,MATCH(ROWS($J$2:J171),$J$2:$J$1001,0),0), INDEX($Q$1004:$U$1004,1,MATCH(COLUMNS($Q$1006:U1006),$Q$1006:$U$1006,0)))),"Fix")))</f>
        <v xml:space="preserve"> </v>
      </c>
      <c r="J171">
        <f ca="1"/>
        <v>170</v>
      </c>
      <c r="K171">
        <v>100171</v>
      </c>
      <c r="L171">
        <v>171</v>
      </c>
      <c r="M171" t="b">
        <f t="shared" si="2"/>
        <v>1</v>
      </c>
      <c r="N171" t="b">
        <f>COUNTBLANK(Metadata!B171:F171)=COLUMNS(Metadata!B171:F171)</f>
        <v>1</v>
      </c>
      <c r="O171" t="str">
        <v/>
      </c>
      <c r="Q171" t="b">
        <f ca="1"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R171" t="b">
        <f>IF(Metadata!C171="",FALSE,TRUE)</f>
        <v>0</v>
      </c>
      <c r="S171" t="b">
        <f>OR(AND(IF(Metadata!D171="",FALSE,TRUE),EXACT(Metadata!D171,"missing: not collected")),AND(IF(Metadata!D171="",FALSE,TRUE),OR(EXACT(Metadata!D171,"t"),EXACT(Metadata!D171,"f"))))</f>
        <v>0</v>
      </c>
      <c r="T171" t="b">
        <f>AND(IF(Metadata!E171="",FALSE,TRUE),OR(EXACT(Metadata!E171,"a"),EXACT(Metadata!E171,"b")))</f>
        <v>0</v>
      </c>
      <c r="U171" t="b">
        <f>OR(AND(IF(Metadata!F171="",FALSE,TRUE),OR(EXACT(Metadata!F171,"missing: not collected"),EXACT(Metadata!F171,"missing: not provided"))),AND(IF(Metadata!F171="",FALSE,TRUE),OR(EXACT(Metadata!F171,"lo"),EXACT(Metadata!F171,"med"),EXACT(Metadata!F171,"hi"))))</f>
        <v>0</v>
      </c>
    </row>
    <row r="172" spans="1:21" x14ac:dyDescent="0.2">
      <c r="A172" s="4" t="str">
        <f ca="1">IF(B172=" "," ",HYPERLINK(CONCATENATE("#metadata!",ADDRESS(INDEX($L$2:$L$1001,MATCH(ROWS($J$2:J172),$J$2:$J$1001,0),0),1)),INDEX($O$2:$O$1001,MATCH(ROWS($J$2:J172),$J$2:$J$1001,0),0)))</f>
        <v xml:space="preserve"> </v>
      </c>
      <c r="B172" s="3" t="str">
        <f ca="1">IF(OR(INDEX($K$2:$K$1001,MATCH(ROWS($J$2:J172),$J$2:$J$1001,0),1)&gt;=100000,INDEX($Q$1005:$U$1005,1,MATCH(COLUMNS($Q$1006:Q1006),$Q$1006:$U$1006,0))&gt;=100000), " ",IF(INDEX($Q$2:$U$1001,MATCH(ROWS($J$2:J172),$J$2:$J$1001,0),MATCH(COLUMNS($Q$1006:Q1006),$Q$1006:$U$1006,0)), HYPERLINK("#",""), HYPERLINK(CONCATENATE("#Metadata!", ADDRESS(INDEX($L$2:$L$1001,MATCH(ROWS($J$2:J172),$J$2:$J$1001,0),0), INDEX($Q$1004:$U$1004,1,MATCH(COLUMNS($Q$1006:Q1006),$Q$1006:$U$1006,0)))),"Fix")))</f>
        <v xml:space="preserve"> </v>
      </c>
      <c r="C172" s="3" t="str">
        <f ca="1">IF(OR(INDEX($K$2:$K$1001,MATCH(ROWS($J$2:J172),$J$2:$J$1001,0),1)&gt;=100000,INDEX($Q$1005:$U$1005,1,MATCH(COLUMNS($Q$1006:R1006),$Q$1006:$U$1006,0))&gt;=100000), " ",IF(INDEX($Q$2:$U$1001,MATCH(ROWS($J$2:J172),$J$2:$J$1001,0),MATCH(COLUMNS($Q$1006:R1006),$Q$1006:$U$1006,0)), HYPERLINK("#",""), HYPERLINK(CONCATENATE("#Metadata!", ADDRESS(INDEX($L$2:$L$1001,MATCH(ROWS($J$2:J172),$J$2:$J$1001,0),0), INDEX($Q$1004:$U$1004,1,MATCH(COLUMNS($Q$1006:R1006),$Q$1006:$U$1006,0)))),"Fix")))</f>
        <v xml:space="preserve"> </v>
      </c>
      <c r="D172" s="3" t="str">
        <f ca="1">IF(OR(INDEX($K$2:$K$1001,MATCH(ROWS($J$2:J172),$J$2:$J$1001,0),1)&gt;=100000,INDEX($Q$1005:$U$1005,1,MATCH(COLUMNS($Q$1006:S1006),$Q$1006:$U$1006,0))&gt;=100000), " ",IF(INDEX($Q$2:$U$1001,MATCH(ROWS($J$2:J172),$J$2:$J$1001,0),MATCH(COLUMNS($Q$1006:S1006),$Q$1006:$U$1006,0)), HYPERLINK("#",""), HYPERLINK(CONCATENATE("#Metadata!", ADDRESS(INDEX($L$2:$L$1001,MATCH(ROWS($J$2:J172),$J$2:$J$1001,0),0), INDEX($Q$1004:$U$1004,1,MATCH(COLUMNS($Q$1006:S1006),$Q$1006:$U$1006,0)))),"Fix")))</f>
        <v xml:space="preserve"> </v>
      </c>
      <c r="E172" s="3" t="str">
        <f ca="1">IF(OR(INDEX($K$2:$K$1001,MATCH(ROWS($J$2:J172),$J$2:$J$1001,0),1)&gt;=100000,INDEX($Q$1005:$U$1005,1,MATCH(COLUMNS($Q$1006:T1006),$Q$1006:$U$1006,0))&gt;=100000), " ",IF(INDEX($Q$2:$U$1001,MATCH(ROWS($J$2:J172),$J$2:$J$1001,0),MATCH(COLUMNS($Q$1006:T1006),$Q$1006:$U$1006,0)), HYPERLINK("#",""), HYPERLINK(CONCATENATE("#Metadata!", ADDRESS(INDEX($L$2:$L$1001,MATCH(ROWS($J$2:J172),$J$2:$J$1001,0),0), INDEX($Q$1004:$U$1004,1,MATCH(COLUMNS($Q$1006:T1006),$Q$1006:$U$1006,0)))),"Fix")))</f>
        <v xml:space="preserve"> </v>
      </c>
      <c r="F172" s="3" t="str">
        <f ca="1">IF(OR(INDEX($K$2:$K$1001,MATCH(ROWS($J$2:J172),$J$2:$J$1001,0),1)&gt;=100000,INDEX($Q$1005:$U$1005,1,MATCH(COLUMNS($Q$1006:U1006),$Q$1006:$U$1006,0))&gt;=100000), " ",IF(INDEX($Q$2:$U$1001,MATCH(ROWS($J$2:J172),$J$2:$J$1001,0),MATCH(COLUMNS($Q$1006:U1006),$Q$1006:$U$1006,0)), HYPERLINK("#",""), HYPERLINK(CONCATENATE("#Metadata!", ADDRESS(INDEX($L$2:$L$1001,MATCH(ROWS($J$2:J172),$J$2:$J$1001,0),0), INDEX($Q$1004:$U$1004,1,MATCH(COLUMNS($Q$1006:U1006),$Q$1006:$U$1006,0)))),"Fix")))</f>
        <v xml:space="preserve"> </v>
      </c>
      <c r="J172">
        <f ca="1"/>
        <v>171</v>
      </c>
      <c r="K172">
        <v>100172</v>
      </c>
      <c r="L172">
        <v>172</v>
      </c>
      <c r="M172" t="b">
        <f t="shared" si="2"/>
        <v>1</v>
      </c>
      <c r="N172" t="b">
        <f>COUNTBLANK(Metadata!B172:F172)=COLUMNS(Metadata!B172:F172)</f>
        <v>1</v>
      </c>
      <c r="O172" t="str">
        <v/>
      </c>
      <c r="Q172" t="b">
        <f ca="1"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R172" t="b">
        <f>IF(Metadata!C172="",FALSE,TRUE)</f>
        <v>0</v>
      </c>
      <c r="S172" t="b">
        <f>OR(AND(IF(Metadata!D172="",FALSE,TRUE),EXACT(Metadata!D172,"missing: not collected")),AND(IF(Metadata!D172="",FALSE,TRUE),OR(EXACT(Metadata!D172,"t"),EXACT(Metadata!D172,"f"))))</f>
        <v>0</v>
      </c>
      <c r="T172" t="b">
        <f>AND(IF(Metadata!E172="",FALSE,TRUE),OR(EXACT(Metadata!E172,"a"),EXACT(Metadata!E172,"b")))</f>
        <v>0</v>
      </c>
      <c r="U172" t="b">
        <f>OR(AND(IF(Metadata!F172="",FALSE,TRUE),OR(EXACT(Metadata!F172,"missing: not collected"),EXACT(Metadata!F172,"missing: not provided"))),AND(IF(Metadata!F172="",FALSE,TRUE),OR(EXACT(Metadata!F172,"lo"),EXACT(Metadata!F172,"med"),EXACT(Metadata!F172,"hi"))))</f>
        <v>0</v>
      </c>
    </row>
    <row r="173" spans="1:21" x14ac:dyDescent="0.2">
      <c r="A173" s="4" t="str">
        <f ca="1">IF(B173=" "," ",HYPERLINK(CONCATENATE("#metadata!",ADDRESS(INDEX($L$2:$L$1001,MATCH(ROWS($J$2:J173),$J$2:$J$1001,0),0),1)),INDEX($O$2:$O$1001,MATCH(ROWS($J$2:J173),$J$2:$J$1001,0),0)))</f>
        <v xml:space="preserve"> </v>
      </c>
      <c r="B173" s="3" t="str">
        <f ca="1">IF(OR(INDEX($K$2:$K$1001,MATCH(ROWS($J$2:J173),$J$2:$J$1001,0),1)&gt;=100000,INDEX($Q$1005:$U$1005,1,MATCH(COLUMNS($Q$1006:Q1006),$Q$1006:$U$1006,0))&gt;=100000), " ",IF(INDEX($Q$2:$U$1001,MATCH(ROWS($J$2:J173),$J$2:$J$1001,0),MATCH(COLUMNS($Q$1006:Q1006),$Q$1006:$U$1006,0)), HYPERLINK("#",""), HYPERLINK(CONCATENATE("#Metadata!", ADDRESS(INDEX($L$2:$L$1001,MATCH(ROWS($J$2:J173),$J$2:$J$1001,0),0), INDEX($Q$1004:$U$1004,1,MATCH(COLUMNS($Q$1006:Q1006),$Q$1006:$U$1006,0)))),"Fix")))</f>
        <v xml:space="preserve"> </v>
      </c>
      <c r="C173" s="3" t="str">
        <f ca="1">IF(OR(INDEX($K$2:$K$1001,MATCH(ROWS($J$2:J173),$J$2:$J$1001,0),1)&gt;=100000,INDEX($Q$1005:$U$1005,1,MATCH(COLUMNS($Q$1006:R1006),$Q$1006:$U$1006,0))&gt;=100000), " ",IF(INDEX($Q$2:$U$1001,MATCH(ROWS($J$2:J173),$J$2:$J$1001,0),MATCH(COLUMNS($Q$1006:R1006),$Q$1006:$U$1006,0)), HYPERLINK("#",""), HYPERLINK(CONCATENATE("#Metadata!", ADDRESS(INDEX($L$2:$L$1001,MATCH(ROWS($J$2:J173),$J$2:$J$1001,0),0), INDEX($Q$1004:$U$1004,1,MATCH(COLUMNS($Q$1006:R1006),$Q$1006:$U$1006,0)))),"Fix")))</f>
        <v xml:space="preserve"> </v>
      </c>
      <c r="D173" s="3" t="str">
        <f ca="1">IF(OR(INDEX($K$2:$K$1001,MATCH(ROWS($J$2:J173),$J$2:$J$1001,0),1)&gt;=100000,INDEX($Q$1005:$U$1005,1,MATCH(COLUMNS($Q$1006:S1006),$Q$1006:$U$1006,0))&gt;=100000), " ",IF(INDEX($Q$2:$U$1001,MATCH(ROWS($J$2:J173),$J$2:$J$1001,0),MATCH(COLUMNS($Q$1006:S1006),$Q$1006:$U$1006,0)), HYPERLINK("#",""), HYPERLINK(CONCATENATE("#Metadata!", ADDRESS(INDEX($L$2:$L$1001,MATCH(ROWS($J$2:J173),$J$2:$J$1001,0),0), INDEX($Q$1004:$U$1004,1,MATCH(COLUMNS($Q$1006:S1006),$Q$1006:$U$1006,0)))),"Fix")))</f>
        <v xml:space="preserve"> </v>
      </c>
      <c r="E173" s="3" t="str">
        <f ca="1">IF(OR(INDEX($K$2:$K$1001,MATCH(ROWS($J$2:J173),$J$2:$J$1001,0),1)&gt;=100000,INDEX($Q$1005:$U$1005,1,MATCH(COLUMNS($Q$1006:T1006),$Q$1006:$U$1006,0))&gt;=100000), " ",IF(INDEX($Q$2:$U$1001,MATCH(ROWS($J$2:J173),$J$2:$J$1001,0),MATCH(COLUMNS($Q$1006:T1006),$Q$1006:$U$1006,0)), HYPERLINK("#",""), HYPERLINK(CONCATENATE("#Metadata!", ADDRESS(INDEX($L$2:$L$1001,MATCH(ROWS($J$2:J173),$J$2:$J$1001,0),0), INDEX($Q$1004:$U$1004,1,MATCH(COLUMNS($Q$1006:T1006),$Q$1006:$U$1006,0)))),"Fix")))</f>
        <v xml:space="preserve"> </v>
      </c>
      <c r="F173" s="3" t="str">
        <f ca="1">IF(OR(INDEX($K$2:$K$1001,MATCH(ROWS($J$2:J173),$J$2:$J$1001,0),1)&gt;=100000,INDEX($Q$1005:$U$1005,1,MATCH(COLUMNS($Q$1006:U1006),$Q$1006:$U$1006,0))&gt;=100000), " ",IF(INDEX($Q$2:$U$1001,MATCH(ROWS($J$2:J173),$J$2:$J$1001,0),MATCH(COLUMNS($Q$1006:U1006),$Q$1006:$U$1006,0)), HYPERLINK("#",""), HYPERLINK(CONCATENATE("#Metadata!", ADDRESS(INDEX($L$2:$L$1001,MATCH(ROWS($J$2:J173),$J$2:$J$1001,0),0), INDEX($Q$1004:$U$1004,1,MATCH(COLUMNS($Q$1006:U1006),$Q$1006:$U$1006,0)))),"Fix")))</f>
        <v xml:space="preserve"> </v>
      </c>
      <c r="J173">
        <f ca="1"/>
        <v>172</v>
      </c>
      <c r="K173">
        <v>100173</v>
      </c>
      <c r="L173">
        <v>173</v>
      </c>
      <c r="M173" t="b">
        <f t="shared" si="2"/>
        <v>1</v>
      </c>
      <c r="N173" t="b">
        <f>COUNTBLANK(Metadata!B173:F173)=COLUMNS(Metadata!B173:F173)</f>
        <v>1</v>
      </c>
      <c r="O173" t="str">
        <v/>
      </c>
      <c r="Q173" t="b">
        <f ca="1"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R173" t="b">
        <f>IF(Metadata!C173="",FALSE,TRUE)</f>
        <v>0</v>
      </c>
      <c r="S173" t="b">
        <f>OR(AND(IF(Metadata!D173="",FALSE,TRUE),EXACT(Metadata!D173,"missing: not collected")),AND(IF(Metadata!D173="",FALSE,TRUE),OR(EXACT(Metadata!D173,"t"),EXACT(Metadata!D173,"f"))))</f>
        <v>0</v>
      </c>
      <c r="T173" t="b">
        <f>AND(IF(Metadata!E173="",FALSE,TRUE),OR(EXACT(Metadata!E173,"a"),EXACT(Metadata!E173,"b")))</f>
        <v>0</v>
      </c>
      <c r="U173" t="b">
        <f>OR(AND(IF(Metadata!F173="",FALSE,TRUE),OR(EXACT(Metadata!F173,"missing: not collected"),EXACT(Metadata!F173,"missing: not provided"))),AND(IF(Metadata!F173="",FALSE,TRUE),OR(EXACT(Metadata!F173,"lo"),EXACT(Metadata!F173,"med"),EXACT(Metadata!F173,"hi"))))</f>
        <v>0</v>
      </c>
    </row>
    <row r="174" spans="1:21" x14ac:dyDescent="0.2">
      <c r="A174" s="4" t="str">
        <f ca="1">IF(B174=" "," ",HYPERLINK(CONCATENATE("#metadata!",ADDRESS(INDEX($L$2:$L$1001,MATCH(ROWS($J$2:J174),$J$2:$J$1001,0),0),1)),INDEX($O$2:$O$1001,MATCH(ROWS($J$2:J174),$J$2:$J$1001,0),0)))</f>
        <v xml:space="preserve"> </v>
      </c>
      <c r="B174" s="3" t="str">
        <f ca="1">IF(OR(INDEX($K$2:$K$1001,MATCH(ROWS($J$2:J174),$J$2:$J$1001,0),1)&gt;=100000,INDEX($Q$1005:$U$1005,1,MATCH(COLUMNS($Q$1006:Q1006),$Q$1006:$U$1006,0))&gt;=100000), " ",IF(INDEX($Q$2:$U$1001,MATCH(ROWS($J$2:J174),$J$2:$J$1001,0),MATCH(COLUMNS($Q$1006:Q1006),$Q$1006:$U$1006,0)), HYPERLINK("#",""), HYPERLINK(CONCATENATE("#Metadata!", ADDRESS(INDEX($L$2:$L$1001,MATCH(ROWS($J$2:J174),$J$2:$J$1001,0),0), INDEX($Q$1004:$U$1004,1,MATCH(COLUMNS($Q$1006:Q1006),$Q$1006:$U$1006,0)))),"Fix")))</f>
        <v xml:space="preserve"> </v>
      </c>
      <c r="C174" s="3" t="str">
        <f ca="1">IF(OR(INDEX($K$2:$K$1001,MATCH(ROWS($J$2:J174),$J$2:$J$1001,0),1)&gt;=100000,INDEX($Q$1005:$U$1005,1,MATCH(COLUMNS($Q$1006:R1006),$Q$1006:$U$1006,0))&gt;=100000), " ",IF(INDEX($Q$2:$U$1001,MATCH(ROWS($J$2:J174),$J$2:$J$1001,0),MATCH(COLUMNS($Q$1006:R1006),$Q$1006:$U$1006,0)), HYPERLINK("#",""), HYPERLINK(CONCATENATE("#Metadata!", ADDRESS(INDEX($L$2:$L$1001,MATCH(ROWS($J$2:J174),$J$2:$J$1001,0),0), INDEX($Q$1004:$U$1004,1,MATCH(COLUMNS($Q$1006:R1006),$Q$1006:$U$1006,0)))),"Fix")))</f>
        <v xml:space="preserve"> </v>
      </c>
      <c r="D174" s="3" t="str">
        <f ca="1">IF(OR(INDEX($K$2:$K$1001,MATCH(ROWS($J$2:J174),$J$2:$J$1001,0),1)&gt;=100000,INDEX($Q$1005:$U$1005,1,MATCH(COLUMNS($Q$1006:S1006),$Q$1006:$U$1006,0))&gt;=100000), " ",IF(INDEX($Q$2:$U$1001,MATCH(ROWS($J$2:J174),$J$2:$J$1001,0),MATCH(COLUMNS($Q$1006:S1006),$Q$1006:$U$1006,0)), HYPERLINK("#",""), HYPERLINK(CONCATENATE("#Metadata!", ADDRESS(INDEX($L$2:$L$1001,MATCH(ROWS($J$2:J174),$J$2:$J$1001,0),0), INDEX($Q$1004:$U$1004,1,MATCH(COLUMNS($Q$1006:S1006),$Q$1006:$U$1006,0)))),"Fix")))</f>
        <v xml:space="preserve"> </v>
      </c>
      <c r="E174" s="3" t="str">
        <f ca="1">IF(OR(INDEX($K$2:$K$1001,MATCH(ROWS($J$2:J174),$J$2:$J$1001,0),1)&gt;=100000,INDEX($Q$1005:$U$1005,1,MATCH(COLUMNS($Q$1006:T1006),$Q$1006:$U$1006,0))&gt;=100000), " ",IF(INDEX($Q$2:$U$1001,MATCH(ROWS($J$2:J174),$J$2:$J$1001,0),MATCH(COLUMNS($Q$1006:T1006),$Q$1006:$U$1006,0)), HYPERLINK("#",""), HYPERLINK(CONCATENATE("#Metadata!", ADDRESS(INDEX($L$2:$L$1001,MATCH(ROWS($J$2:J174),$J$2:$J$1001,0),0), INDEX($Q$1004:$U$1004,1,MATCH(COLUMNS($Q$1006:T1006),$Q$1006:$U$1006,0)))),"Fix")))</f>
        <v xml:space="preserve"> </v>
      </c>
      <c r="F174" s="3" t="str">
        <f ca="1">IF(OR(INDEX($K$2:$K$1001,MATCH(ROWS($J$2:J174),$J$2:$J$1001,0),1)&gt;=100000,INDEX($Q$1005:$U$1005,1,MATCH(COLUMNS($Q$1006:U1006),$Q$1006:$U$1006,0))&gt;=100000), " ",IF(INDEX($Q$2:$U$1001,MATCH(ROWS($J$2:J174),$J$2:$J$1001,0),MATCH(COLUMNS($Q$1006:U1006),$Q$1006:$U$1006,0)), HYPERLINK("#",""), HYPERLINK(CONCATENATE("#Metadata!", ADDRESS(INDEX($L$2:$L$1001,MATCH(ROWS($J$2:J174),$J$2:$J$1001,0),0), INDEX($Q$1004:$U$1004,1,MATCH(COLUMNS($Q$1006:U1006),$Q$1006:$U$1006,0)))),"Fix")))</f>
        <v xml:space="preserve"> </v>
      </c>
      <c r="J174">
        <f ca="1"/>
        <v>173</v>
      </c>
      <c r="K174">
        <v>100174</v>
      </c>
      <c r="L174">
        <v>174</v>
      </c>
      <c r="M174" t="b">
        <f t="shared" si="2"/>
        <v>1</v>
      </c>
      <c r="N174" t="b">
        <f>COUNTBLANK(Metadata!B174:F174)=COLUMNS(Metadata!B174:F174)</f>
        <v>1</v>
      </c>
      <c r="O174" t="str">
        <v/>
      </c>
      <c r="Q174" t="b">
        <f ca="1"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R174" t="b">
        <f>IF(Metadata!C174="",FALSE,TRUE)</f>
        <v>0</v>
      </c>
      <c r="S174" t="b">
        <f>OR(AND(IF(Metadata!D174="",FALSE,TRUE),EXACT(Metadata!D174,"missing: not collected")),AND(IF(Metadata!D174="",FALSE,TRUE),OR(EXACT(Metadata!D174,"t"),EXACT(Metadata!D174,"f"))))</f>
        <v>0</v>
      </c>
      <c r="T174" t="b">
        <f>AND(IF(Metadata!E174="",FALSE,TRUE),OR(EXACT(Metadata!E174,"a"),EXACT(Metadata!E174,"b")))</f>
        <v>0</v>
      </c>
      <c r="U174" t="b">
        <f>OR(AND(IF(Metadata!F174="",FALSE,TRUE),OR(EXACT(Metadata!F174,"missing: not collected"),EXACT(Metadata!F174,"missing: not provided"))),AND(IF(Metadata!F174="",FALSE,TRUE),OR(EXACT(Metadata!F174,"lo"),EXACT(Metadata!F174,"med"),EXACT(Metadata!F174,"hi"))))</f>
        <v>0</v>
      </c>
    </row>
    <row r="175" spans="1:21" x14ac:dyDescent="0.2">
      <c r="A175" s="4" t="str">
        <f ca="1">IF(B175=" "," ",HYPERLINK(CONCATENATE("#metadata!",ADDRESS(INDEX($L$2:$L$1001,MATCH(ROWS($J$2:J175),$J$2:$J$1001,0),0),1)),INDEX($O$2:$O$1001,MATCH(ROWS($J$2:J175),$J$2:$J$1001,0),0)))</f>
        <v xml:space="preserve"> </v>
      </c>
      <c r="B175" s="3" t="str">
        <f ca="1">IF(OR(INDEX($K$2:$K$1001,MATCH(ROWS($J$2:J175),$J$2:$J$1001,0),1)&gt;=100000,INDEX($Q$1005:$U$1005,1,MATCH(COLUMNS($Q$1006:Q1006),$Q$1006:$U$1006,0))&gt;=100000), " ",IF(INDEX($Q$2:$U$1001,MATCH(ROWS($J$2:J175),$J$2:$J$1001,0),MATCH(COLUMNS($Q$1006:Q1006),$Q$1006:$U$1006,0)), HYPERLINK("#",""), HYPERLINK(CONCATENATE("#Metadata!", ADDRESS(INDEX($L$2:$L$1001,MATCH(ROWS($J$2:J175),$J$2:$J$1001,0),0), INDEX($Q$1004:$U$1004,1,MATCH(COLUMNS($Q$1006:Q1006),$Q$1006:$U$1006,0)))),"Fix")))</f>
        <v xml:space="preserve"> </v>
      </c>
      <c r="C175" s="3" t="str">
        <f ca="1">IF(OR(INDEX($K$2:$K$1001,MATCH(ROWS($J$2:J175),$J$2:$J$1001,0),1)&gt;=100000,INDEX($Q$1005:$U$1005,1,MATCH(COLUMNS($Q$1006:R1006),$Q$1006:$U$1006,0))&gt;=100000), " ",IF(INDEX($Q$2:$U$1001,MATCH(ROWS($J$2:J175),$J$2:$J$1001,0),MATCH(COLUMNS($Q$1006:R1006),$Q$1006:$U$1006,0)), HYPERLINK("#",""), HYPERLINK(CONCATENATE("#Metadata!", ADDRESS(INDEX($L$2:$L$1001,MATCH(ROWS($J$2:J175),$J$2:$J$1001,0),0), INDEX($Q$1004:$U$1004,1,MATCH(COLUMNS($Q$1006:R1006),$Q$1006:$U$1006,0)))),"Fix")))</f>
        <v xml:space="preserve"> </v>
      </c>
      <c r="D175" s="3" t="str">
        <f ca="1">IF(OR(INDEX($K$2:$K$1001,MATCH(ROWS($J$2:J175),$J$2:$J$1001,0),1)&gt;=100000,INDEX($Q$1005:$U$1005,1,MATCH(COLUMNS($Q$1006:S1006),$Q$1006:$U$1006,0))&gt;=100000), " ",IF(INDEX($Q$2:$U$1001,MATCH(ROWS($J$2:J175),$J$2:$J$1001,0),MATCH(COLUMNS($Q$1006:S1006),$Q$1006:$U$1006,0)), HYPERLINK("#",""), HYPERLINK(CONCATENATE("#Metadata!", ADDRESS(INDEX($L$2:$L$1001,MATCH(ROWS($J$2:J175),$J$2:$J$1001,0),0), INDEX($Q$1004:$U$1004,1,MATCH(COLUMNS($Q$1006:S1006),$Q$1006:$U$1006,0)))),"Fix")))</f>
        <v xml:space="preserve"> </v>
      </c>
      <c r="E175" s="3" t="str">
        <f ca="1">IF(OR(INDEX($K$2:$K$1001,MATCH(ROWS($J$2:J175),$J$2:$J$1001,0),1)&gt;=100000,INDEX($Q$1005:$U$1005,1,MATCH(COLUMNS($Q$1006:T1006),$Q$1006:$U$1006,0))&gt;=100000), " ",IF(INDEX($Q$2:$U$1001,MATCH(ROWS($J$2:J175),$J$2:$J$1001,0),MATCH(COLUMNS($Q$1006:T1006),$Q$1006:$U$1006,0)), HYPERLINK("#",""), HYPERLINK(CONCATENATE("#Metadata!", ADDRESS(INDEX($L$2:$L$1001,MATCH(ROWS($J$2:J175),$J$2:$J$1001,0),0), INDEX($Q$1004:$U$1004,1,MATCH(COLUMNS($Q$1006:T1006),$Q$1006:$U$1006,0)))),"Fix")))</f>
        <v xml:space="preserve"> </v>
      </c>
      <c r="F175" s="3" t="str">
        <f ca="1">IF(OR(INDEX($K$2:$K$1001,MATCH(ROWS($J$2:J175),$J$2:$J$1001,0),1)&gt;=100000,INDEX($Q$1005:$U$1005,1,MATCH(COLUMNS($Q$1006:U1006),$Q$1006:$U$1006,0))&gt;=100000), " ",IF(INDEX($Q$2:$U$1001,MATCH(ROWS($J$2:J175),$J$2:$J$1001,0),MATCH(COLUMNS($Q$1006:U1006),$Q$1006:$U$1006,0)), HYPERLINK("#",""), HYPERLINK(CONCATENATE("#Metadata!", ADDRESS(INDEX($L$2:$L$1001,MATCH(ROWS($J$2:J175),$J$2:$J$1001,0),0), INDEX($Q$1004:$U$1004,1,MATCH(COLUMNS($Q$1006:U1006),$Q$1006:$U$1006,0)))),"Fix")))</f>
        <v xml:space="preserve"> </v>
      </c>
      <c r="J175">
        <f ca="1"/>
        <v>174</v>
      </c>
      <c r="K175">
        <v>100175</v>
      </c>
      <c r="L175">
        <v>175</v>
      </c>
      <c r="M175" t="b">
        <f t="shared" si="2"/>
        <v>1</v>
      </c>
      <c r="N175" t="b">
        <f>COUNTBLANK(Metadata!B175:F175)=COLUMNS(Metadata!B175:F175)</f>
        <v>1</v>
      </c>
      <c r="O175" t="str">
        <v/>
      </c>
      <c r="Q175" t="b">
        <f ca="1"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R175" t="b">
        <f>IF(Metadata!C175="",FALSE,TRUE)</f>
        <v>0</v>
      </c>
      <c r="S175" t="b">
        <f>OR(AND(IF(Metadata!D175="",FALSE,TRUE),EXACT(Metadata!D175,"missing: not collected")),AND(IF(Metadata!D175="",FALSE,TRUE),OR(EXACT(Metadata!D175,"t"),EXACT(Metadata!D175,"f"))))</f>
        <v>0</v>
      </c>
      <c r="T175" t="b">
        <f>AND(IF(Metadata!E175="",FALSE,TRUE),OR(EXACT(Metadata!E175,"a"),EXACT(Metadata!E175,"b")))</f>
        <v>0</v>
      </c>
      <c r="U175" t="b">
        <f>OR(AND(IF(Metadata!F175="",FALSE,TRUE),OR(EXACT(Metadata!F175,"missing: not collected"),EXACT(Metadata!F175,"missing: not provided"))),AND(IF(Metadata!F175="",FALSE,TRUE),OR(EXACT(Metadata!F175,"lo"),EXACT(Metadata!F175,"med"),EXACT(Metadata!F175,"hi"))))</f>
        <v>0</v>
      </c>
    </row>
    <row r="176" spans="1:21" x14ac:dyDescent="0.2">
      <c r="A176" s="4" t="str">
        <f ca="1">IF(B176=" "," ",HYPERLINK(CONCATENATE("#metadata!",ADDRESS(INDEX($L$2:$L$1001,MATCH(ROWS($J$2:J176),$J$2:$J$1001,0),0),1)),INDEX($O$2:$O$1001,MATCH(ROWS($J$2:J176),$J$2:$J$1001,0),0)))</f>
        <v xml:space="preserve"> </v>
      </c>
      <c r="B176" s="3" t="str">
        <f ca="1">IF(OR(INDEX($K$2:$K$1001,MATCH(ROWS($J$2:J176),$J$2:$J$1001,0),1)&gt;=100000,INDEX($Q$1005:$U$1005,1,MATCH(COLUMNS($Q$1006:Q1006),$Q$1006:$U$1006,0))&gt;=100000), " ",IF(INDEX($Q$2:$U$1001,MATCH(ROWS($J$2:J176),$J$2:$J$1001,0),MATCH(COLUMNS($Q$1006:Q1006),$Q$1006:$U$1006,0)), HYPERLINK("#",""), HYPERLINK(CONCATENATE("#Metadata!", ADDRESS(INDEX($L$2:$L$1001,MATCH(ROWS($J$2:J176),$J$2:$J$1001,0),0), INDEX($Q$1004:$U$1004,1,MATCH(COLUMNS($Q$1006:Q1006),$Q$1006:$U$1006,0)))),"Fix")))</f>
        <v xml:space="preserve"> </v>
      </c>
      <c r="C176" s="3" t="str">
        <f ca="1">IF(OR(INDEX($K$2:$K$1001,MATCH(ROWS($J$2:J176),$J$2:$J$1001,0),1)&gt;=100000,INDEX($Q$1005:$U$1005,1,MATCH(COLUMNS($Q$1006:R1006),$Q$1006:$U$1006,0))&gt;=100000), " ",IF(INDEX($Q$2:$U$1001,MATCH(ROWS($J$2:J176),$J$2:$J$1001,0),MATCH(COLUMNS($Q$1006:R1006),$Q$1006:$U$1006,0)), HYPERLINK("#",""), HYPERLINK(CONCATENATE("#Metadata!", ADDRESS(INDEX($L$2:$L$1001,MATCH(ROWS($J$2:J176),$J$2:$J$1001,0),0), INDEX($Q$1004:$U$1004,1,MATCH(COLUMNS($Q$1006:R1006),$Q$1006:$U$1006,0)))),"Fix")))</f>
        <v xml:space="preserve"> </v>
      </c>
      <c r="D176" s="3" t="str">
        <f ca="1">IF(OR(INDEX($K$2:$K$1001,MATCH(ROWS($J$2:J176),$J$2:$J$1001,0),1)&gt;=100000,INDEX($Q$1005:$U$1005,1,MATCH(COLUMNS($Q$1006:S1006),$Q$1006:$U$1006,0))&gt;=100000), " ",IF(INDEX($Q$2:$U$1001,MATCH(ROWS($J$2:J176),$J$2:$J$1001,0),MATCH(COLUMNS($Q$1006:S1006),$Q$1006:$U$1006,0)), HYPERLINK("#",""), HYPERLINK(CONCATENATE("#Metadata!", ADDRESS(INDEX($L$2:$L$1001,MATCH(ROWS($J$2:J176),$J$2:$J$1001,0),0), INDEX($Q$1004:$U$1004,1,MATCH(COLUMNS($Q$1006:S1006),$Q$1006:$U$1006,0)))),"Fix")))</f>
        <v xml:space="preserve"> </v>
      </c>
      <c r="E176" s="3" t="str">
        <f ca="1">IF(OR(INDEX($K$2:$K$1001,MATCH(ROWS($J$2:J176),$J$2:$J$1001,0),1)&gt;=100000,INDEX($Q$1005:$U$1005,1,MATCH(COLUMNS($Q$1006:T1006),$Q$1006:$U$1006,0))&gt;=100000), " ",IF(INDEX($Q$2:$U$1001,MATCH(ROWS($J$2:J176),$J$2:$J$1001,0),MATCH(COLUMNS($Q$1006:T1006),$Q$1006:$U$1006,0)), HYPERLINK("#",""), HYPERLINK(CONCATENATE("#Metadata!", ADDRESS(INDEX($L$2:$L$1001,MATCH(ROWS($J$2:J176),$J$2:$J$1001,0),0), INDEX($Q$1004:$U$1004,1,MATCH(COLUMNS($Q$1006:T1006),$Q$1006:$U$1006,0)))),"Fix")))</f>
        <v xml:space="preserve"> </v>
      </c>
      <c r="F176" s="3" t="str">
        <f ca="1">IF(OR(INDEX($K$2:$K$1001,MATCH(ROWS($J$2:J176),$J$2:$J$1001,0),1)&gt;=100000,INDEX($Q$1005:$U$1005,1,MATCH(COLUMNS($Q$1006:U1006),$Q$1006:$U$1006,0))&gt;=100000), " ",IF(INDEX($Q$2:$U$1001,MATCH(ROWS($J$2:J176),$J$2:$J$1001,0),MATCH(COLUMNS($Q$1006:U1006),$Q$1006:$U$1006,0)), HYPERLINK("#",""), HYPERLINK(CONCATENATE("#Metadata!", ADDRESS(INDEX($L$2:$L$1001,MATCH(ROWS($J$2:J176),$J$2:$J$1001,0),0), INDEX($Q$1004:$U$1004,1,MATCH(COLUMNS($Q$1006:U1006),$Q$1006:$U$1006,0)))),"Fix")))</f>
        <v xml:space="preserve"> </v>
      </c>
      <c r="J176">
        <f ca="1"/>
        <v>175</v>
      </c>
      <c r="K176">
        <v>100176</v>
      </c>
      <c r="L176">
        <v>176</v>
      </c>
      <c r="M176" t="b">
        <f t="shared" si="2"/>
        <v>1</v>
      </c>
      <c r="N176" t="b">
        <f>COUNTBLANK(Metadata!B176:F176)=COLUMNS(Metadata!B176:F176)</f>
        <v>1</v>
      </c>
      <c r="O176" t="str">
        <v/>
      </c>
      <c r="Q176" t="b">
        <f ca="1"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R176" t="b">
        <f>IF(Metadata!C176="",FALSE,TRUE)</f>
        <v>0</v>
      </c>
      <c r="S176" t="b">
        <f>OR(AND(IF(Metadata!D176="",FALSE,TRUE),EXACT(Metadata!D176,"missing: not collected")),AND(IF(Metadata!D176="",FALSE,TRUE),OR(EXACT(Metadata!D176,"t"),EXACT(Metadata!D176,"f"))))</f>
        <v>0</v>
      </c>
      <c r="T176" t="b">
        <f>AND(IF(Metadata!E176="",FALSE,TRUE),OR(EXACT(Metadata!E176,"a"),EXACT(Metadata!E176,"b")))</f>
        <v>0</v>
      </c>
      <c r="U176" t="b">
        <f>OR(AND(IF(Metadata!F176="",FALSE,TRUE),OR(EXACT(Metadata!F176,"missing: not collected"),EXACT(Metadata!F176,"missing: not provided"))),AND(IF(Metadata!F176="",FALSE,TRUE),OR(EXACT(Metadata!F176,"lo"),EXACT(Metadata!F176,"med"),EXACT(Metadata!F176,"hi"))))</f>
        <v>0</v>
      </c>
    </row>
    <row r="177" spans="1:21" x14ac:dyDescent="0.2">
      <c r="A177" s="4" t="str">
        <f ca="1">IF(B177=" "," ",HYPERLINK(CONCATENATE("#metadata!",ADDRESS(INDEX($L$2:$L$1001,MATCH(ROWS($J$2:J177),$J$2:$J$1001,0),0),1)),INDEX($O$2:$O$1001,MATCH(ROWS($J$2:J177),$J$2:$J$1001,0),0)))</f>
        <v xml:space="preserve"> </v>
      </c>
      <c r="B177" s="3" t="str">
        <f ca="1">IF(OR(INDEX($K$2:$K$1001,MATCH(ROWS($J$2:J177),$J$2:$J$1001,0),1)&gt;=100000,INDEX($Q$1005:$U$1005,1,MATCH(COLUMNS($Q$1006:Q1006),$Q$1006:$U$1006,0))&gt;=100000), " ",IF(INDEX($Q$2:$U$1001,MATCH(ROWS($J$2:J177),$J$2:$J$1001,0),MATCH(COLUMNS($Q$1006:Q1006),$Q$1006:$U$1006,0)), HYPERLINK("#",""), HYPERLINK(CONCATENATE("#Metadata!", ADDRESS(INDEX($L$2:$L$1001,MATCH(ROWS($J$2:J177),$J$2:$J$1001,0),0), INDEX($Q$1004:$U$1004,1,MATCH(COLUMNS($Q$1006:Q1006),$Q$1006:$U$1006,0)))),"Fix")))</f>
        <v xml:space="preserve"> </v>
      </c>
      <c r="C177" s="3" t="str">
        <f ca="1">IF(OR(INDEX($K$2:$K$1001,MATCH(ROWS($J$2:J177),$J$2:$J$1001,0),1)&gt;=100000,INDEX($Q$1005:$U$1005,1,MATCH(COLUMNS($Q$1006:R1006),$Q$1006:$U$1006,0))&gt;=100000), " ",IF(INDEX($Q$2:$U$1001,MATCH(ROWS($J$2:J177),$J$2:$J$1001,0),MATCH(COLUMNS($Q$1006:R1006),$Q$1006:$U$1006,0)), HYPERLINK("#",""), HYPERLINK(CONCATENATE("#Metadata!", ADDRESS(INDEX($L$2:$L$1001,MATCH(ROWS($J$2:J177),$J$2:$J$1001,0),0), INDEX($Q$1004:$U$1004,1,MATCH(COLUMNS($Q$1006:R1006),$Q$1006:$U$1006,0)))),"Fix")))</f>
        <v xml:space="preserve"> </v>
      </c>
      <c r="D177" s="3" t="str">
        <f ca="1">IF(OR(INDEX($K$2:$K$1001,MATCH(ROWS($J$2:J177),$J$2:$J$1001,0),1)&gt;=100000,INDEX($Q$1005:$U$1005,1,MATCH(COLUMNS($Q$1006:S1006),$Q$1006:$U$1006,0))&gt;=100000), " ",IF(INDEX($Q$2:$U$1001,MATCH(ROWS($J$2:J177),$J$2:$J$1001,0),MATCH(COLUMNS($Q$1006:S1006),$Q$1006:$U$1006,0)), HYPERLINK("#",""), HYPERLINK(CONCATENATE("#Metadata!", ADDRESS(INDEX($L$2:$L$1001,MATCH(ROWS($J$2:J177),$J$2:$J$1001,0),0), INDEX($Q$1004:$U$1004,1,MATCH(COLUMNS($Q$1006:S1006),$Q$1006:$U$1006,0)))),"Fix")))</f>
        <v xml:space="preserve"> </v>
      </c>
      <c r="E177" s="3" t="str">
        <f ca="1">IF(OR(INDEX($K$2:$K$1001,MATCH(ROWS($J$2:J177),$J$2:$J$1001,0),1)&gt;=100000,INDEX($Q$1005:$U$1005,1,MATCH(COLUMNS($Q$1006:T1006),$Q$1006:$U$1006,0))&gt;=100000), " ",IF(INDEX($Q$2:$U$1001,MATCH(ROWS($J$2:J177),$J$2:$J$1001,0),MATCH(COLUMNS($Q$1006:T1006),$Q$1006:$U$1006,0)), HYPERLINK("#",""), HYPERLINK(CONCATENATE("#Metadata!", ADDRESS(INDEX($L$2:$L$1001,MATCH(ROWS($J$2:J177),$J$2:$J$1001,0),0), INDEX($Q$1004:$U$1004,1,MATCH(COLUMNS($Q$1006:T1006),$Q$1006:$U$1006,0)))),"Fix")))</f>
        <v xml:space="preserve"> </v>
      </c>
      <c r="F177" s="3" t="str">
        <f ca="1">IF(OR(INDEX($K$2:$K$1001,MATCH(ROWS($J$2:J177),$J$2:$J$1001,0),1)&gt;=100000,INDEX($Q$1005:$U$1005,1,MATCH(COLUMNS($Q$1006:U1006),$Q$1006:$U$1006,0))&gt;=100000), " ",IF(INDEX($Q$2:$U$1001,MATCH(ROWS($J$2:J177),$J$2:$J$1001,0),MATCH(COLUMNS($Q$1006:U1006),$Q$1006:$U$1006,0)), HYPERLINK("#",""), HYPERLINK(CONCATENATE("#Metadata!", ADDRESS(INDEX($L$2:$L$1001,MATCH(ROWS($J$2:J177),$J$2:$J$1001,0),0), INDEX($Q$1004:$U$1004,1,MATCH(COLUMNS($Q$1006:U1006),$Q$1006:$U$1006,0)))),"Fix")))</f>
        <v xml:space="preserve"> </v>
      </c>
      <c r="J177">
        <f ca="1"/>
        <v>176</v>
      </c>
      <c r="K177">
        <v>100177</v>
      </c>
      <c r="L177">
        <v>177</v>
      </c>
      <c r="M177" t="b">
        <f t="shared" si="2"/>
        <v>1</v>
      </c>
      <c r="N177" t="b">
        <f>COUNTBLANK(Metadata!B177:F177)=COLUMNS(Metadata!B177:F177)</f>
        <v>1</v>
      </c>
      <c r="O177" t="str">
        <v/>
      </c>
      <c r="Q177" t="b">
        <f ca="1"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R177" t="b">
        <f>IF(Metadata!C177="",FALSE,TRUE)</f>
        <v>0</v>
      </c>
      <c r="S177" t="b">
        <f>OR(AND(IF(Metadata!D177="",FALSE,TRUE),EXACT(Metadata!D177,"missing: not collected")),AND(IF(Metadata!D177="",FALSE,TRUE),OR(EXACT(Metadata!D177,"t"),EXACT(Metadata!D177,"f"))))</f>
        <v>0</v>
      </c>
      <c r="T177" t="b">
        <f>AND(IF(Metadata!E177="",FALSE,TRUE),OR(EXACT(Metadata!E177,"a"),EXACT(Metadata!E177,"b")))</f>
        <v>0</v>
      </c>
      <c r="U177" t="b">
        <f>OR(AND(IF(Metadata!F177="",FALSE,TRUE),OR(EXACT(Metadata!F177,"missing: not collected"),EXACT(Metadata!F177,"missing: not provided"))),AND(IF(Metadata!F177="",FALSE,TRUE),OR(EXACT(Metadata!F177,"lo"),EXACT(Metadata!F177,"med"),EXACT(Metadata!F177,"hi"))))</f>
        <v>0</v>
      </c>
    </row>
    <row r="178" spans="1:21" x14ac:dyDescent="0.2">
      <c r="A178" s="4" t="str">
        <f ca="1">IF(B178=" "," ",HYPERLINK(CONCATENATE("#metadata!",ADDRESS(INDEX($L$2:$L$1001,MATCH(ROWS($J$2:J178),$J$2:$J$1001,0),0),1)),INDEX($O$2:$O$1001,MATCH(ROWS($J$2:J178),$J$2:$J$1001,0),0)))</f>
        <v xml:space="preserve"> </v>
      </c>
      <c r="B178" s="3" t="str">
        <f ca="1">IF(OR(INDEX($K$2:$K$1001,MATCH(ROWS($J$2:J178),$J$2:$J$1001,0),1)&gt;=100000,INDEX($Q$1005:$U$1005,1,MATCH(COLUMNS($Q$1006:Q1006),$Q$1006:$U$1006,0))&gt;=100000), " ",IF(INDEX($Q$2:$U$1001,MATCH(ROWS($J$2:J178),$J$2:$J$1001,0),MATCH(COLUMNS($Q$1006:Q1006),$Q$1006:$U$1006,0)), HYPERLINK("#",""), HYPERLINK(CONCATENATE("#Metadata!", ADDRESS(INDEX($L$2:$L$1001,MATCH(ROWS($J$2:J178),$J$2:$J$1001,0),0), INDEX($Q$1004:$U$1004,1,MATCH(COLUMNS($Q$1006:Q1006),$Q$1006:$U$1006,0)))),"Fix")))</f>
        <v xml:space="preserve"> </v>
      </c>
      <c r="C178" s="3" t="str">
        <f ca="1">IF(OR(INDEX($K$2:$K$1001,MATCH(ROWS($J$2:J178),$J$2:$J$1001,0),1)&gt;=100000,INDEX($Q$1005:$U$1005,1,MATCH(COLUMNS($Q$1006:R1006),$Q$1006:$U$1006,0))&gt;=100000), " ",IF(INDEX($Q$2:$U$1001,MATCH(ROWS($J$2:J178),$J$2:$J$1001,0),MATCH(COLUMNS($Q$1006:R1006),$Q$1006:$U$1006,0)), HYPERLINK("#",""), HYPERLINK(CONCATENATE("#Metadata!", ADDRESS(INDEX($L$2:$L$1001,MATCH(ROWS($J$2:J178),$J$2:$J$1001,0),0), INDEX($Q$1004:$U$1004,1,MATCH(COLUMNS($Q$1006:R1006),$Q$1006:$U$1006,0)))),"Fix")))</f>
        <v xml:space="preserve"> </v>
      </c>
      <c r="D178" s="3" t="str">
        <f ca="1">IF(OR(INDEX($K$2:$K$1001,MATCH(ROWS($J$2:J178),$J$2:$J$1001,0),1)&gt;=100000,INDEX($Q$1005:$U$1005,1,MATCH(COLUMNS($Q$1006:S1006),$Q$1006:$U$1006,0))&gt;=100000), " ",IF(INDEX($Q$2:$U$1001,MATCH(ROWS($J$2:J178),$J$2:$J$1001,0),MATCH(COLUMNS($Q$1006:S1006),$Q$1006:$U$1006,0)), HYPERLINK("#",""), HYPERLINK(CONCATENATE("#Metadata!", ADDRESS(INDEX($L$2:$L$1001,MATCH(ROWS($J$2:J178),$J$2:$J$1001,0),0), INDEX($Q$1004:$U$1004,1,MATCH(COLUMNS($Q$1006:S1006),$Q$1006:$U$1006,0)))),"Fix")))</f>
        <v xml:space="preserve"> </v>
      </c>
      <c r="E178" s="3" t="str">
        <f ca="1">IF(OR(INDEX($K$2:$K$1001,MATCH(ROWS($J$2:J178),$J$2:$J$1001,0),1)&gt;=100000,INDEX($Q$1005:$U$1005,1,MATCH(COLUMNS($Q$1006:T1006),$Q$1006:$U$1006,0))&gt;=100000), " ",IF(INDEX($Q$2:$U$1001,MATCH(ROWS($J$2:J178),$J$2:$J$1001,0),MATCH(COLUMNS($Q$1006:T1006),$Q$1006:$U$1006,0)), HYPERLINK("#",""), HYPERLINK(CONCATENATE("#Metadata!", ADDRESS(INDEX($L$2:$L$1001,MATCH(ROWS($J$2:J178),$J$2:$J$1001,0),0), INDEX($Q$1004:$U$1004,1,MATCH(COLUMNS($Q$1006:T1006),$Q$1006:$U$1006,0)))),"Fix")))</f>
        <v xml:space="preserve"> </v>
      </c>
      <c r="F178" s="3" t="str">
        <f ca="1">IF(OR(INDEX($K$2:$K$1001,MATCH(ROWS($J$2:J178),$J$2:$J$1001,0),1)&gt;=100000,INDEX($Q$1005:$U$1005,1,MATCH(COLUMNS($Q$1006:U1006),$Q$1006:$U$1006,0))&gt;=100000), " ",IF(INDEX($Q$2:$U$1001,MATCH(ROWS($J$2:J178),$J$2:$J$1001,0),MATCH(COLUMNS($Q$1006:U1006),$Q$1006:$U$1006,0)), HYPERLINK("#",""), HYPERLINK(CONCATENATE("#Metadata!", ADDRESS(INDEX($L$2:$L$1001,MATCH(ROWS($J$2:J178),$J$2:$J$1001,0),0), INDEX($Q$1004:$U$1004,1,MATCH(COLUMNS($Q$1006:U1006),$Q$1006:$U$1006,0)))),"Fix")))</f>
        <v xml:space="preserve"> </v>
      </c>
      <c r="J178">
        <f ca="1"/>
        <v>177</v>
      </c>
      <c r="K178">
        <v>100178</v>
      </c>
      <c r="L178">
        <v>178</v>
      </c>
      <c r="M178" t="b">
        <f t="shared" si="2"/>
        <v>1</v>
      </c>
      <c r="N178" t="b">
        <f>COUNTBLANK(Metadata!B178:F178)=COLUMNS(Metadata!B178:F178)</f>
        <v>1</v>
      </c>
      <c r="O178" t="str">
        <v/>
      </c>
      <c r="Q178" t="b">
        <f ca="1"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R178" t="b">
        <f>IF(Metadata!C178="",FALSE,TRUE)</f>
        <v>0</v>
      </c>
      <c r="S178" t="b">
        <f>OR(AND(IF(Metadata!D178="",FALSE,TRUE),EXACT(Metadata!D178,"missing: not collected")),AND(IF(Metadata!D178="",FALSE,TRUE),OR(EXACT(Metadata!D178,"t"),EXACT(Metadata!D178,"f"))))</f>
        <v>0</v>
      </c>
      <c r="T178" t="b">
        <f>AND(IF(Metadata!E178="",FALSE,TRUE),OR(EXACT(Metadata!E178,"a"),EXACT(Metadata!E178,"b")))</f>
        <v>0</v>
      </c>
      <c r="U178" t="b">
        <f>OR(AND(IF(Metadata!F178="",FALSE,TRUE),OR(EXACT(Metadata!F178,"missing: not collected"),EXACT(Metadata!F178,"missing: not provided"))),AND(IF(Metadata!F178="",FALSE,TRUE),OR(EXACT(Metadata!F178,"lo"),EXACT(Metadata!F178,"med"),EXACT(Metadata!F178,"hi"))))</f>
        <v>0</v>
      </c>
    </row>
    <row r="179" spans="1:21" x14ac:dyDescent="0.2">
      <c r="A179" s="4" t="str">
        <f ca="1">IF(B179=" "," ",HYPERLINK(CONCATENATE("#metadata!",ADDRESS(INDEX($L$2:$L$1001,MATCH(ROWS($J$2:J179),$J$2:$J$1001,0),0),1)),INDEX($O$2:$O$1001,MATCH(ROWS($J$2:J179),$J$2:$J$1001,0),0)))</f>
        <v xml:space="preserve"> </v>
      </c>
      <c r="B179" s="3" t="str">
        <f ca="1">IF(OR(INDEX($K$2:$K$1001,MATCH(ROWS($J$2:J179),$J$2:$J$1001,0),1)&gt;=100000,INDEX($Q$1005:$U$1005,1,MATCH(COLUMNS($Q$1006:Q1006),$Q$1006:$U$1006,0))&gt;=100000), " ",IF(INDEX($Q$2:$U$1001,MATCH(ROWS($J$2:J179),$J$2:$J$1001,0),MATCH(COLUMNS($Q$1006:Q1006),$Q$1006:$U$1006,0)), HYPERLINK("#",""), HYPERLINK(CONCATENATE("#Metadata!", ADDRESS(INDEX($L$2:$L$1001,MATCH(ROWS($J$2:J179),$J$2:$J$1001,0),0), INDEX($Q$1004:$U$1004,1,MATCH(COLUMNS($Q$1006:Q1006),$Q$1006:$U$1006,0)))),"Fix")))</f>
        <v xml:space="preserve"> </v>
      </c>
      <c r="C179" s="3" t="str">
        <f ca="1">IF(OR(INDEX($K$2:$K$1001,MATCH(ROWS($J$2:J179),$J$2:$J$1001,0),1)&gt;=100000,INDEX($Q$1005:$U$1005,1,MATCH(COLUMNS($Q$1006:R1006),$Q$1006:$U$1006,0))&gt;=100000), " ",IF(INDEX($Q$2:$U$1001,MATCH(ROWS($J$2:J179),$J$2:$J$1001,0),MATCH(COLUMNS($Q$1006:R1006),$Q$1006:$U$1006,0)), HYPERLINK("#",""), HYPERLINK(CONCATENATE("#Metadata!", ADDRESS(INDEX($L$2:$L$1001,MATCH(ROWS($J$2:J179),$J$2:$J$1001,0),0), INDEX($Q$1004:$U$1004,1,MATCH(COLUMNS($Q$1006:R1006),$Q$1006:$U$1006,0)))),"Fix")))</f>
        <v xml:space="preserve"> </v>
      </c>
      <c r="D179" s="3" t="str">
        <f ca="1">IF(OR(INDEX($K$2:$K$1001,MATCH(ROWS($J$2:J179),$J$2:$J$1001,0),1)&gt;=100000,INDEX($Q$1005:$U$1005,1,MATCH(COLUMNS($Q$1006:S1006),$Q$1006:$U$1006,0))&gt;=100000), " ",IF(INDEX($Q$2:$U$1001,MATCH(ROWS($J$2:J179),$J$2:$J$1001,0),MATCH(COLUMNS($Q$1006:S1006),$Q$1006:$U$1006,0)), HYPERLINK("#",""), HYPERLINK(CONCATENATE("#Metadata!", ADDRESS(INDEX($L$2:$L$1001,MATCH(ROWS($J$2:J179),$J$2:$J$1001,0),0), INDEX($Q$1004:$U$1004,1,MATCH(COLUMNS($Q$1006:S1006),$Q$1006:$U$1006,0)))),"Fix")))</f>
        <v xml:space="preserve"> </v>
      </c>
      <c r="E179" s="3" t="str">
        <f ca="1">IF(OR(INDEX($K$2:$K$1001,MATCH(ROWS($J$2:J179),$J$2:$J$1001,0),1)&gt;=100000,INDEX($Q$1005:$U$1005,1,MATCH(COLUMNS($Q$1006:T1006),$Q$1006:$U$1006,0))&gt;=100000), " ",IF(INDEX($Q$2:$U$1001,MATCH(ROWS($J$2:J179),$J$2:$J$1001,0),MATCH(COLUMNS($Q$1006:T1006),$Q$1006:$U$1006,0)), HYPERLINK("#",""), HYPERLINK(CONCATENATE("#Metadata!", ADDRESS(INDEX($L$2:$L$1001,MATCH(ROWS($J$2:J179),$J$2:$J$1001,0),0), INDEX($Q$1004:$U$1004,1,MATCH(COLUMNS($Q$1006:T1006),$Q$1006:$U$1006,0)))),"Fix")))</f>
        <v xml:space="preserve"> </v>
      </c>
      <c r="F179" s="3" t="str">
        <f ca="1">IF(OR(INDEX($K$2:$K$1001,MATCH(ROWS($J$2:J179),$J$2:$J$1001,0),1)&gt;=100000,INDEX($Q$1005:$U$1005,1,MATCH(COLUMNS($Q$1006:U1006),$Q$1006:$U$1006,0))&gt;=100000), " ",IF(INDEX($Q$2:$U$1001,MATCH(ROWS($J$2:J179),$J$2:$J$1001,0),MATCH(COLUMNS($Q$1006:U1006),$Q$1006:$U$1006,0)), HYPERLINK("#",""), HYPERLINK(CONCATENATE("#Metadata!", ADDRESS(INDEX($L$2:$L$1001,MATCH(ROWS($J$2:J179),$J$2:$J$1001,0),0), INDEX($Q$1004:$U$1004,1,MATCH(COLUMNS($Q$1006:U1006),$Q$1006:$U$1006,0)))),"Fix")))</f>
        <v xml:space="preserve"> </v>
      </c>
      <c r="J179">
        <f ca="1"/>
        <v>178</v>
      </c>
      <c r="K179">
        <v>100179</v>
      </c>
      <c r="L179">
        <v>179</v>
      </c>
      <c r="M179" t="b">
        <f t="shared" si="2"/>
        <v>1</v>
      </c>
      <c r="N179" t="b">
        <f>COUNTBLANK(Metadata!B179:F179)=COLUMNS(Metadata!B179:F179)</f>
        <v>1</v>
      </c>
      <c r="O179" t="str">
        <v/>
      </c>
      <c r="Q179" t="b">
        <f ca="1"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R179" t="b">
        <f>IF(Metadata!C179="",FALSE,TRUE)</f>
        <v>0</v>
      </c>
      <c r="S179" t="b">
        <f>OR(AND(IF(Metadata!D179="",FALSE,TRUE),EXACT(Metadata!D179,"missing: not collected")),AND(IF(Metadata!D179="",FALSE,TRUE),OR(EXACT(Metadata!D179,"t"),EXACT(Metadata!D179,"f"))))</f>
        <v>0</v>
      </c>
      <c r="T179" t="b">
        <f>AND(IF(Metadata!E179="",FALSE,TRUE),OR(EXACT(Metadata!E179,"a"),EXACT(Metadata!E179,"b")))</f>
        <v>0</v>
      </c>
      <c r="U179" t="b">
        <f>OR(AND(IF(Metadata!F179="",FALSE,TRUE),OR(EXACT(Metadata!F179,"missing: not collected"),EXACT(Metadata!F179,"missing: not provided"))),AND(IF(Metadata!F179="",FALSE,TRUE),OR(EXACT(Metadata!F179,"lo"),EXACT(Metadata!F179,"med"),EXACT(Metadata!F179,"hi"))))</f>
        <v>0</v>
      </c>
    </row>
    <row r="180" spans="1:21" x14ac:dyDescent="0.2">
      <c r="A180" s="4" t="str">
        <f ca="1">IF(B180=" "," ",HYPERLINK(CONCATENATE("#metadata!",ADDRESS(INDEX($L$2:$L$1001,MATCH(ROWS($J$2:J180),$J$2:$J$1001,0),0),1)),INDEX($O$2:$O$1001,MATCH(ROWS($J$2:J180),$J$2:$J$1001,0),0)))</f>
        <v xml:space="preserve"> </v>
      </c>
      <c r="B180" s="3" t="str">
        <f ca="1">IF(OR(INDEX($K$2:$K$1001,MATCH(ROWS($J$2:J180),$J$2:$J$1001,0),1)&gt;=100000,INDEX($Q$1005:$U$1005,1,MATCH(COLUMNS($Q$1006:Q1006),$Q$1006:$U$1006,0))&gt;=100000), " ",IF(INDEX($Q$2:$U$1001,MATCH(ROWS($J$2:J180),$J$2:$J$1001,0),MATCH(COLUMNS($Q$1006:Q1006),$Q$1006:$U$1006,0)), HYPERLINK("#",""), HYPERLINK(CONCATENATE("#Metadata!", ADDRESS(INDEX($L$2:$L$1001,MATCH(ROWS($J$2:J180),$J$2:$J$1001,0),0), INDEX($Q$1004:$U$1004,1,MATCH(COLUMNS($Q$1006:Q1006),$Q$1006:$U$1006,0)))),"Fix")))</f>
        <v xml:space="preserve"> </v>
      </c>
      <c r="C180" s="3" t="str">
        <f ca="1">IF(OR(INDEX($K$2:$K$1001,MATCH(ROWS($J$2:J180),$J$2:$J$1001,0),1)&gt;=100000,INDEX($Q$1005:$U$1005,1,MATCH(COLUMNS($Q$1006:R1006),$Q$1006:$U$1006,0))&gt;=100000), " ",IF(INDEX($Q$2:$U$1001,MATCH(ROWS($J$2:J180),$J$2:$J$1001,0),MATCH(COLUMNS($Q$1006:R1006),$Q$1006:$U$1006,0)), HYPERLINK("#",""), HYPERLINK(CONCATENATE("#Metadata!", ADDRESS(INDEX($L$2:$L$1001,MATCH(ROWS($J$2:J180),$J$2:$J$1001,0),0), INDEX($Q$1004:$U$1004,1,MATCH(COLUMNS($Q$1006:R1006),$Q$1006:$U$1006,0)))),"Fix")))</f>
        <v xml:space="preserve"> </v>
      </c>
      <c r="D180" s="3" t="str">
        <f ca="1">IF(OR(INDEX($K$2:$K$1001,MATCH(ROWS($J$2:J180),$J$2:$J$1001,0),1)&gt;=100000,INDEX($Q$1005:$U$1005,1,MATCH(COLUMNS($Q$1006:S1006),$Q$1006:$U$1006,0))&gt;=100000), " ",IF(INDEX($Q$2:$U$1001,MATCH(ROWS($J$2:J180),$J$2:$J$1001,0),MATCH(COLUMNS($Q$1006:S1006),$Q$1006:$U$1006,0)), HYPERLINK("#",""), HYPERLINK(CONCATENATE("#Metadata!", ADDRESS(INDEX($L$2:$L$1001,MATCH(ROWS($J$2:J180),$J$2:$J$1001,0),0), INDEX($Q$1004:$U$1004,1,MATCH(COLUMNS($Q$1006:S1006),$Q$1006:$U$1006,0)))),"Fix")))</f>
        <v xml:space="preserve"> </v>
      </c>
      <c r="E180" s="3" t="str">
        <f ca="1">IF(OR(INDEX($K$2:$K$1001,MATCH(ROWS($J$2:J180),$J$2:$J$1001,0),1)&gt;=100000,INDEX($Q$1005:$U$1005,1,MATCH(COLUMNS($Q$1006:T1006),$Q$1006:$U$1006,0))&gt;=100000), " ",IF(INDEX($Q$2:$U$1001,MATCH(ROWS($J$2:J180),$J$2:$J$1001,0),MATCH(COLUMNS($Q$1006:T1006),$Q$1006:$U$1006,0)), HYPERLINK("#",""), HYPERLINK(CONCATENATE("#Metadata!", ADDRESS(INDEX($L$2:$L$1001,MATCH(ROWS($J$2:J180),$J$2:$J$1001,0),0), INDEX($Q$1004:$U$1004,1,MATCH(COLUMNS($Q$1006:T1006),$Q$1006:$U$1006,0)))),"Fix")))</f>
        <v xml:space="preserve"> </v>
      </c>
      <c r="F180" s="3" t="str">
        <f ca="1">IF(OR(INDEX($K$2:$K$1001,MATCH(ROWS($J$2:J180),$J$2:$J$1001,0),1)&gt;=100000,INDEX($Q$1005:$U$1005,1,MATCH(COLUMNS($Q$1006:U1006),$Q$1006:$U$1006,0))&gt;=100000), " ",IF(INDEX($Q$2:$U$1001,MATCH(ROWS($J$2:J180),$J$2:$J$1001,0),MATCH(COLUMNS($Q$1006:U1006),$Q$1006:$U$1006,0)), HYPERLINK("#",""), HYPERLINK(CONCATENATE("#Metadata!", ADDRESS(INDEX($L$2:$L$1001,MATCH(ROWS($J$2:J180),$J$2:$J$1001,0),0), INDEX($Q$1004:$U$1004,1,MATCH(COLUMNS($Q$1006:U1006),$Q$1006:$U$1006,0)))),"Fix")))</f>
        <v xml:space="preserve"> </v>
      </c>
      <c r="J180">
        <f ca="1"/>
        <v>179</v>
      </c>
      <c r="K180">
        <v>100180</v>
      </c>
      <c r="L180">
        <v>180</v>
      </c>
      <c r="M180" t="b">
        <f t="shared" si="2"/>
        <v>1</v>
      </c>
      <c r="N180" t="b">
        <f>COUNTBLANK(Metadata!B180:F180)=COLUMNS(Metadata!B180:F180)</f>
        <v>1</v>
      </c>
      <c r="O180" t="str">
        <v/>
      </c>
      <c r="Q180" t="b">
        <f ca="1"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R180" t="b">
        <f>IF(Metadata!C180="",FALSE,TRUE)</f>
        <v>0</v>
      </c>
      <c r="S180" t="b">
        <f>OR(AND(IF(Metadata!D180="",FALSE,TRUE),EXACT(Metadata!D180,"missing: not collected")),AND(IF(Metadata!D180="",FALSE,TRUE),OR(EXACT(Metadata!D180,"t"),EXACT(Metadata!D180,"f"))))</f>
        <v>0</v>
      </c>
      <c r="T180" t="b">
        <f>AND(IF(Metadata!E180="",FALSE,TRUE),OR(EXACT(Metadata!E180,"a"),EXACT(Metadata!E180,"b")))</f>
        <v>0</v>
      </c>
      <c r="U180" t="b">
        <f>OR(AND(IF(Metadata!F180="",FALSE,TRUE),OR(EXACT(Metadata!F180,"missing: not collected"),EXACT(Metadata!F180,"missing: not provided"))),AND(IF(Metadata!F180="",FALSE,TRUE),OR(EXACT(Metadata!F180,"lo"),EXACT(Metadata!F180,"med"),EXACT(Metadata!F180,"hi"))))</f>
        <v>0</v>
      </c>
    </row>
    <row r="181" spans="1:21" x14ac:dyDescent="0.2">
      <c r="A181" s="4" t="str">
        <f ca="1">IF(B181=" "," ",HYPERLINK(CONCATENATE("#metadata!",ADDRESS(INDEX($L$2:$L$1001,MATCH(ROWS($J$2:J181),$J$2:$J$1001,0),0),1)),INDEX($O$2:$O$1001,MATCH(ROWS($J$2:J181),$J$2:$J$1001,0),0)))</f>
        <v xml:space="preserve"> </v>
      </c>
      <c r="B181" s="3" t="str">
        <f ca="1">IF(OR(INDEX($K$2:$K$1001,MATCH(ROWS($J$2:J181),$J$2:$J$1001,0),1)&gt;=100000,INDEX($Q$1005:$U$1005,1,MATCH(COLUMNS($Q$1006:Q1006),$Q$1006:$U$1006,0))&gt;=100000), " ",IF(INDEX($Q$2:$U$1001,MATCH(ROWS($J$2:J181),$J$2:$J$1001,0),MATCH(COLUMNS($Q$1006:Q1006),$Q$1006:$U$1006,0)), HYPERLINK("#",""), HYPERLINK(CONCATENATE("#Metadata!", ADDRESS(INDEX($L$2:$L$1001,MATCH(ROWS($J$2:J181),$J$2:$J$1001,0),0), INDEX($Q$1004:$U$1004,1,MATCH(COLUMNS($Q$1006:Q1006),$Q$1006:$U$1006,0)))),"Fix")))</f>
        <v xml:space="preserve"> </v>
      </c>
      <c r="C181" s="3" t="str">
        <f ca="1">IF(OR(INDEX($K$2:$K$1001,MATCH(ROWS($J$2:J181),$J$2:$J$1001,0),1)&gt;=100000,INDEX($Q$1005:$U$1005,1,MATCH(COLUMNS($Q$1006:R1006),$Q$1006:$U$1006,0))&gt;=100000), " ",IF(INDEX($Q$2:$U$1001,MATCH(ROWS($J$2:J181),$J$2:$J$1001,0),MATCH(COLUMNS($Q$1006:R1006),$Q$1006:$U$1006,0)), HYPERLINK("#",""), HYPERLINK(CONCATENATE("#Metadata!", ADDRESS(INDEX($L$2:$L$1001,MATCH(ROWS($J$2:J181),$J$2:$J$1001,0),0), INDEX($Q$1004:$U$1004,1,MATCH(COLUMNS($Q$1006:R1006),$Q$1006:$U$1006,0)))),"Fix")))</f>
        <v xml:space="preserve"> </v>
      </c>
      <c r="D181" s="3" t="str">
        <f ca="1">IF(OR(INDEX($K$2:$K$1001,MATCH(ROWS($J$2:J181),$J$2:$J$1001,0),1)&gt;=100000,INDEX($Q$1005:$U$1005,1,MATCH(COLUMNS($Q$1006:S1006),$Q$1006:$U$1006,0))&gt;=100000), " ",IF(INDEX($Q$2:$U$1001,MATCH(ROWS($J$2:J181),$J$2:$J$1001,0),MATCH(COLUMNS($Q$1006:S1006),$Q$1006:$U$1006,0)), HYPERLINK("#",""), HYPERLINK(CONCATENATE("#Metadata!", ADDRESS(INDEX($L$2:$L$1001,MATCH(ROWS($J$2:J181),$J$2:$J$1001,0),0), INDEX($Q$1004:$U$1004,1,MATCH(COLUMNS($Q$1006:S1006),$Q$1006:$U$1006,0)))),"Fix")))</f>
        <v xml:space="preserve"> </v>
      </c>
      <c r="E181" s="3" t="str">
        <f ca="1">IF(OR(INDEX($K$2:$K$1001,MATCH(ROWS($J$2:J181),$J$2:$J$1001,0),1)&gt;=100000,INDEX($Q$1005:$U$1005,1,MATCH(COLUMNS($Q$1006:T1006),$Q$1006:$U$1006,0))&gt;=100000), " ",IF(INDEX($Q$2:$U$1001,MATCH(ROWS($J$2:J181),$J$2:$J$1001,0),MATCH(COLUMNS($Q$1006:T1006),$Q$1006:$U$1006,0)), HYPERLINK("#",""), HYPERLINK(CONCATENATE("#Metadata!", ADDRESS(INDEX($L$2:$L$1001,MATCH(ROWS($J$2:J181),$J$2:$J$1001,0),0), INDEX($Q$1004:$U$1004,1,MATCH(COLUMNS($Q$1006:T1006),$Q$1006:$U$1006,0)))),"Fix")))</f>
        <v xml:space="preserve"> </v>
      </c>
      <c r="F181" s="3" t="str">
        <f ca="1">IF(OR(INDEX($K$2:$K$1001,MATCH(ROWS($J$2:J181),$J$2:$J$1001,0),1)&gt;=100000,INDEX($Q$1005:$U$1005,1,MATCH(COLUMNS($Q$1006:U1006),$Q$1006:$U$1006,0))&gt;=100000), " ",IF(INDEX($Q$2:$U$1001,MATCH(ROWS($J$2:J181),$J$2:$J$1001,0),MATCH(COLUMNS($Q$1006:U1006),$Q$1006:$U$1006,0)), HYPERLINK("#",""), HYPERLINK(CONCATENATE("#Metadata!", ADDRESS(INDEX($L$2:$L$1001,MATCH(ROWS($J$2:J181),$J$2:$J$1001,0),0), INDEX($Q$1004:$U$1004,1,MATCH(COLUMNS($Q$1006:U1006),$Q$1006:$U$1006,0)))),"Fix")))</f>
        <v xml:space="preserve"> </v>
      </c>
      <c r="J181">
        <f ca="1"/>
        <v>180</v>
      </c>
      <c r="K181">
        <v>100181</v>
      </c>
      <c r="L181">
        <v>181</v>
      </c>
      <c r="M181" t="b">
        <f t="shared" si="2"/>
        <v>1</v>
      </c>
      <c r="N181" t="b">
        <f>COUNTBLANK(Metadata!B181:F181)=COLUMNS(Metadata!B181:F181)</f>
        <v>1</v>
      </c>
      <c r="O181" t="str">
        <v/>
      </c>
      <c r="Q181" t="b">
        <f ca="1"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R181" t="b">
        <f>IF(Metadata!C181="",FALSE,TRUE)</f>
        <v>0</v>
      </c>
      <c r="S181" t="b">
        <f>OR(AND(IF(Metadata!D181="",FALSE,TRUE),EXACT(Metadata!D181,"missing: not collected")),AND(IF(Metadata!D181="",FALSE,TRUE),OR(EXACT(Metadata!D181,"t"),EXACT(Metadata!D181,"f"))))</f>
        <v>0</v>
      </c>
      <c r="T181" t="b">
        <f>AND(IF(Metadata!E181="",FALSE,TRUE),OR(EXACT(Metadata!E181,"a"),EXACT(Metadata!E181,"b")))</f>
        <v>0</v>
      </c>
      <c r="U181" t="b">
        <f>OR(AND(IF(Metadata!F181="",FALSE,TRUE),OR(EXACT(Metadata!F181,"missing: not collected"),EXACT(Metadata!F181,"missing: not provided"))),AND(IF(Metadata!F181="",FALSE,TRUE),OR(EXACT(Metadata!F181,"lo"),EXACT(Metadata!F181,"med"),EXACT(Metadata!F181,"hi"))))</f>
        <v>0</v>
      </c>
    </row>
    <row r="182" spans="1:21" x14ac:dyDescent="0.2">
      <c r="A182" s="4" t="str">
        <f ca="1">IF(B182=" "," ",HYPERLINK(CONCATENATE("#metadata!",ADDRESS(INDEX($L$2:$L$1001,MATCH(ROWS($J$2:J182),$J$2:$J$1001,0),0),1)),INDEX($O$2:$O$1001,MATCH(ROWS($J$2:J182),$J$2:$J$1001,0),0)))</f>
        <v xml:space="preserve"> </v>
      </c>
      <c r="B182" s="3" t="str">
        <f ca="1">IF(OR(INDEX($K$2:$K$1001,MATCH(ROWS($J$2:J182),$J$2:$J$1001,0),1)&gt;=100000,INDEX($Q$1005:$U$1005,1,MATCH(COLUMNS($Q$1006:Q1006),$Q$1006:$U$1006,0))&gt;=100000), " ",IF(INDEX($Q$2:$U$1001,MATCH(ROWS($J$2:J182),$J$2:$J$1001,0),MATCH(COLUMNS($Q$1006:Q1006),$Q$1006:$U$1006,0)), HYPERLINK("#",""), HYPERLINK(CONCATENATE("#Metadata!", ADDRESS(INDEX($L$2:$L$1001,MATCH(ROWS($J$2:J182),$J$2:$J$1001,0),0), INDEX($Q$1004:$U$1004,1,MATCH(COLUMNS($Q$1006:Q1006),$Q$1006:$U$1006,0)))),"Fix")))</f>
        <v xml:space="preserve"> </v>
      </c>
      <c r="C182" s="3" t="str">
        <f ca="1">IF(OR(INDEX($K$2:$K$1001,MATCH(ROWS($J$2:J182),$J$2:$J$1001,0),1)&gt;=100000,INDEX($Q$1005:$U$1005,1,MATCH(COLUMNS($Q$1006:R1006),$Q$1006:$U$1006,0))&gt;=100000), " ",IF(INDEX($Q$2:$U$1001,MATCH(ROWS($J$2:J182),$J$2:$J$1001,0),MATCH(COLUMNS($Q$1006:R1006),$Q$1006:$U$1006,0)), HYPERLINK("#",""), HYPERLINK(CONCATENATE("#Metadata!", ADDRESS(INDEX($L$2:$L$1001,MATCH(ROWS($J$2:J182),$J$2:$J$1001,0),0), INDEX($Q$1004:$U$1004,1,MATCH(COLUMNS($Q$1006:R1006),$Q$1006:$U$1006,0)))),"Fix")))</f>
        <v xml:space="preserve"> </v>
      </c>
      <c r="D182" s="3" t="str">
        <f ca="1">IF(OR(INDEX($K$2:$K$1001,MATCH(ROWS($J$2:J182),$J$2:$J$1001,0),1)&gt;=100000,INDEX($Q$1005:$U$1005,1,MATCH(COLUMNS($Q$1006:S1006),$Q$1006:$U$1006,0))&gt;=100000), " ",IF(INDEX($Q$2:$U$1001,MATCH(ROWS($J$2:J182),$J$2:$J$1001,0),MATCH(COLUMNS($Q$1006:S1006),$Q$1006:$U$1006,0)), HYPERLINK("#",""), HYPERLINK(CONCATENATE("#Metadata!", ADDRESS(INDEX($L$2:$L$1001,MATCH(ROWS($J$2:J182),$J$2:$J$1001,0),0), INDEX($Q$1004:$U$1004,1,MATCH(COLUMNS($Q$1006:S1006),$Q$1006:$U$1006,0)))),"Fix")))</f>
        <v xml:space="preserve"> </v>
      </c>
      <c r="E182" s="3" t="str">
        <f ca="1">IF(OR(INDEX($K$2:$K$1001,MATCH(ROWS($J$2:J182),$J$2:$J$1001,0),1)&gt;=100000,INDEX($Q$1005:$U$1005,1,MATCH(COLUMNS($Q$1006:T1006),$Q$1006:$U$1006,0))&gt;=100000), " ",IF(INDEX($Q$2:$U$1001,MATCH(ROWS($J$2:J182),$J$2:$J$1001,0),MATCH(COLUMNS($Q$1006:T1006),$Q$1006:$U$1006,0)), HYPERLINK("#",""), HYPERLINK(CONCATENATE("#Metadata!", ADDRESS(INDEX($L$2:$L$1001,MATCH(ROWS($J$2:J182),$J$2:$J$1001,0),0), INDEX($Q$1004:$U$1004,1,MATCH(COLUMNS($Q$1006:T1006),$Q$1006:$U$1006,0)))),"Fix")))</f>
        <v xml:space="preserve"> </v>
      </c>
      <c r="F182" s="3" t="str">
        <f ca="1">IF(OR(INDEX($K$2:$K$1001,MATCH(ROWS($J$2:J182),$J$2:$J$1001,0),1)&gt;=100000,INDEX($Q$1005:$U$1005,1,MATCH(COLUMNS($Q$1006:U1006),$Q$1006:$U$1006,0))&gt;=100000), " ",IF(INDEX($Q$2:$U$1001,MATCH(ROWS($J$2:J182),$J$2:$J$1001,0),MATCH(COLUMNS($Q$1006:U1006),$Q$1006:$U$1006,0)), HYPERLINK("#",""), HYPERLINK(CONCATENATE("#Metadata!", ADDRESS(INDEX($L$2:$L$1001,MATCH(ROWS($J$2:J182),$J$2:$J$1001,0),0), INDEX($Q$1004:$U$1004,1,MATCH(COLUMNS($Q$1006:U1006),$Q$1006:$U$1006,0)))),"Fix")))</f>
        <v xml:space="preserve"> </v>
      </c>
      <c r="J182">
        <f ca="1"/>
        <v>181</v>
      </c>
      <c r="K182">
        <v>100182</v>
      </c>
      <c r="L182">
        <v>182</v>
      </c>
      <c r="M182" t="b">
        <f t="shared" si="2"/>
        <v>1</v>
      </c>
      <c r="N182" t="b">
        <f>COUNTBLANK(Metadata!B182:F182)=COLUMNS(Metadata!B182:F182)</f>
        <v>1</v>
      </c>
      <c r="O182" t="str">
        <v/>
      </c>
      <c r="Q182" t="b">
        <f ca="1"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R182" t="b">
        <f>IF(Metadata!C182="",FALSE,TRUE)</f>
        <v>0</v>
      </c>
      <c r="S182" t="b">
        <f>OR(AND(IF(Metadata!D182="",FALSE,TRUE),EXACT(Metadata!D182,"missing: not collected")),AND(IF(Metadata!D182="",FALSE,TRUE),OR(EXACT(Metadata!D182,"t"),EXACT(Metadata!D182,"f"))))</f>
        <v>0</v>
      </c>
      <c r="T182" t="b">
        <f>AND(IF(Metadata!E182="",FALSE,TRUE),OR(EXACT(Metadata!E182,"a"),EXACT(Metadata!E182,"b")))</f>
        <v>0</v>
      </c>
      <c r="U182" t="b">
        <f>OR(AND(IF(Metadata!F182="",FALSE,TRUE),OR(EXACT(Metadata!F182,"missing: not collected"),EXACT(Metadata!F182,"missing: not provided"))),AND(IF(Metadata!F182="",FALSE,TRUE),OR(EXACT(Metadata!F182,"lo"),EXACT(Metadata!F182,"med"),EXACT(Metadata!F182,"hi"))))</f>
        <v>0</v>
      </c>
    </row>
    <row r="183" spans="1:21" x14ac:dyDescent="0.2">
      <c r="A183" s="4" t="str">
        <f ca="1">IF(B183=" "," ",HYPERLINK(CONCATENATE("#metadata!",ADDRESS(INDEX($L$2:$L$1001,MATCH(ROWS($J$2:J183),$J$2:$J$1001,0),0),1)),INDEX($O$2:$O$1001,MATCH(ROWS($J$2:J183),$J$2:$J$1001,0),0)))</f>
        <v xml:space="preserve"> </v>
      </c>
      <c r="B183" s="3" t="str">
        <f ca="1">IF(OR(INDEX($K$2:$K$1001,MATCH(ROWS($J$2:J183),$J$2:$J$1001,0),1)&gt;=100000,INDEX($Q$1005:$U$1005,1,MATCH(COLUMNS($Q$1006:Q1006),$Q$1006:$U$1006,0))&gt;=100000), " ",IF(INDEX($Q$2:$U$1001,MATCH(ROWS($J$2:J183),$J$2:$J$1001,0),MATCH(COLUMNS($Q$1006:Q1006),$Q$1006:$U$1006,0)), HYPERLINK("#",""), HYPERLINK(CONCATENATE("#Metadata!", ADDRESS(INDEX($L$2:$L$1001,MATCH(ROWS($J$2:J183),$J$2:$J$1001,0),0), INDEX($Q$1004:$U$1004,1,MATCH(COLUMNS($Q$1006:Q1006),$Q$1006:$U$1006,0)))),"Fix")))</f>
        <v xml:space="preserve"> </v>
      </c>
      <c r="C183" s="3" t="str">
        <f ca="1">IF(OR(INDEX($K$2:$K$1001,MATCH(ROWS($J$2:J183),$J$2:$J$1001,0),1)&gt;=100000,INDEX($Q$1005:$U$1005,1,MATCH(COLUMNS($Q$1006:R1006),$Q$1006:$U$1006,0))&gt;=100000), " ",IF(INDEX($Q$2:$U$1001,MATCH(ROWS($J$2:J183),$J$2:$J$1001,0),MATCH(COLUMNS($Q$1006:R1006),$Q$1006:$U$1006,0)), HYPERLINK("#",""), HYPERLINK(CONCATENATE("#Metadata!", ADDRESS(INDEX($L$2:$L$1001,MATCH(ROWS($J$2:J183),$J$2:$J$1001,0),0), INDEX($Q$1004:$U$1004,1,MATCH(COLUMNS($Q$1006:R1006),$Q$1006:$U$1006,0)))),"Fix")))</f>
        <v xml:space="preserve"> </v>
      </c>
      <c r="D183" s="3" t="str">
        <f ca="1">IF(OR(INDEX($K$2:$K$1001,MATCH(ROWS($J$2:J183),$J$2:$J$1001,0),1)&gt;=100000,INDEX($Q$1005:$U$1005,1,MATCH(COLUMNS($Q$1006:S1006),$Q$1006:$U$1006,0))&gt;=100000), " ",IF(INDEX($Q$2:$U$1001,MATCH(ROWS($J$2:J183),$J$2:$J$1001,0),MATCH(COLUMNS($Q$1006:S1006),$Q$1006:$U$1006,0)), HYPERLINK("#",""), HYPERLINK(CONCATENATE("#Metadata!", ADDRESS(INDEX($L$2:$L$1001,MATCH(ROWS($J$2:J183),$J$2:$J$1001,0),0), INDEX($Q$1004:$U$1004,1,MATCH(COLUMNS($Q$1006:S1006),$Q$1006:$U$1006,0)))),"Fix")))</f>
        <v xml:space="preserve"> </v>
      </c>
      <c r="E183" s="3" t="str">
        <f ca="1">IF(OR(INDEX($K$2:$K$1001,MATCH(ROWS($J$2:J183),$J$2:$J$1001,0),1)&gt;=100000,INDEX($Q$1005:$U$1005,1,MATCH(COLUMNS($Q$1006:T1006),$Q$1006:$U$1006,0))&gt;=100000), " ",IF(INDEX($Q$2:$U$1001,MATCH(ROWS($J$2:J183),$J$2:$J$1001,0),MATCH(COLUMNS($Q$1006:T1006),$Q$1006:$U$1006,0)), HYPERLINK("#",""), HYPERLINK(CONCATENATE("#Metadata!", ADDRESS(INDEX($L$2:$L$1001,MATCH(ROWS($J$2:J183),$J$2:$J$1001,0),0), INDEX($Q$1004:$U$1004,1,MATCH(COLUMNS($Q$1006:T1006),$Q$1006:$U$1006,0)))),"Fix")))</f>
        <v xml:space="preserve"> </v>
      </c>
      <c r="F183" s="3" t="str">
        <f ca="1">IF(OR(INDEX($K$2:$K$1001,MATCH(ROWS($J$2:J183),$J$2:$J$1001,0),1)&gt;=100000,INDEX($Q$1005:$U$1005,1,MATCH(COLUMNS($Q$1006:U1006),$Q$1006:$U$1006,0))&gt;=100000), " ",IF(INDEX($Q$2:$U$1001,MATCH(ROWS($J$2:J183),$J$2:$J$1001,0),MATCH(COLUMNS($Q$1006:U1006),$Q$1006:$U$1006,0)), HYPERLINK("#",""), HYPERLINK(CONCATENATE("#Metadata!", ADDRESS(INDEX($L$2:$L$1001,MATCH(ROWS($J$2:J183),$J$2:$J$1001,0),0), INDEX($Q$1004:$U$1004,1,MATCH(COLUMNS($Q$1006:U1006),$Q$1006:$U$1006,0)))),"Fix")))</f>
        <v xml:space="preserve"> </v>
      </c>
      <c r="J183">
        <f ca="1"/>
        <v>182</v>
      </c>
      <c r="K183">
        <v>100183</v>
      </c>
      <c r="L183">
        <v>183</v>
      </c>
      <c r="M183" t="b">
        <f t="shared" si="2"/>
        <v>1</v>
      </c>
      <c r="N183" t="b">
        <f>COUNTBLANK(Metadata!B183:F183)=COLUMNS(Metadata!B183:F183)</f>
        <v>1</v>
      </c>
      <c r="O183" t="str">
        <v/>
      </c>
      <c r="Q183" t="b">
        <f ca="1"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R183" t="b">
        <f>IF(Metadata!C183="",FALSE,TRUE)</f>
        <v>0</v>
      </c>
      <c r="S183" t="b">
        <f>OR(AND(IF(Metadata!D183="",FALSE,TRUE),EXACT(Metadata!D183,"missing: not collected")),AND(IF(Metadata!D183="",FALSE,TRUE),OR(EXACT(Metadata!D183,"t"),EXACT(Metadata!D183,"f"))))</f>
        <v>0</v>
      </c>
      <c r="T183" t="b">
        <f>AND(IF(Metadata!E183="",FALSE,TRUE),OR(EXACT(Metadata!E183,"a"),EXACT(Metadata!E183,"b")))</f>
        <v>0</v>
      </c>
      <c r="U183" t="b">
        <f>OR(AND(IF(Metadata!F183="",FALSE,TRUE),OR(EXACT(Metadata!F183,"missing: not collected"),EXACT(Metadata!F183,"missing: not provided"))),AND(IF(Metadata!F183="",FALSE,TRUE),OR(EXACT(Metadata!F183,"lo"),EXACT(Metadata!F183,"med"),EXACT(Metadata!F183,"hi"))))</f>
        <v>0</v>
      </c>
    </row>
    <row r="184" spans="1:21" x14ac:dyDescent="0.2">
      <c r="A184" s="4" t="str">
        <f ca="1">IF(B184=" "," ",HYPERLINK(CONCATENATE("#metadata!",ADDRESS(INDEX($L$2:$L$1001,MATCH(ROWS($J$2:J184),$J$2:$J$1001,0),0),1)),INDEX($O$2:$O$1001,MATCH(ROWS($J$2:J184),$J$2:$J$1001,0),0)))</f>
        <v xml:space="preserve"> </v>
      </c>
      <c r="B184" s="3" t="str">
        <f ca="1">IF(OR(INDEX($K$2:$K$1001,MATCH(ROWS($J$2:J184),$J$2:$J$1001,0),1)&gt;=100000,INDEX($Q$1005:$U$1005,1,MATCH(COLUMNS($Q$1006:Q1006),$Q$1006:$U$1006,0))&gt;=100000), " ",IF(INDEX($Q$2:$U$1001,MATCH(ROWS($J$2:J184),$J$2:$J$1001,0),MATCH(COLUMNS($Q$1006:Q1006),$Q$1006:$U$1006,0)), HYPERLINK("#",""), HYPERLINK(CONCATENATE("#Metadata!", ADDRESS(INDEX($L$2:$L$1001,MATCH(ROWS($J$2:J184),$J$2:$J$1001,0),0), INDEX($Q$1004:$U$1004,1,MATCH(COLUMNS($Q$1006:Q1006),$Q$1006:$U$1006,0)))),"Fix")))</f>
        <v xml:space="preserve"> </v>
      </c>
      <c r="C184" s="3" t="str">
        <f ca="1">IF(OR(INDEX($K$2:$K$1001,MATCH(ROWS($J$2:J184),$J$2:$J$1001,0),1)&gt;=100000,INDEX($Q$1005:$U$1005,1,MATCH(COLUMNS($Q$1006:R1006),$Q$1006:$U$1006,0))&gt;=100000), " ",IF(INDEX($Q$2:$U$1001,MATCH(ROWS($J$2:J184),$J$2:$J$1001,0),MATCH(COLUMNS($Q$1006:R1006),$Q$1006:$U$1006,0)), HYPERLINK("#",""), HYPERLINK(CONCATENATE("#Metadata!", ADDRESS(INDEX($L$2:$L$1001,MATCH(ROWS($J$2:J184),$J$2:$J$1001,0),0), INDEX($Q$1004:$U$1004,1,MATCH(COLUMNS($Q$1006:R1006),$Q$1006:$U$1006,0)))),"Fix")))</f>
        <v xml:space="preserve"> </v>
      </c>
      <c r="D184" s="3" t="str">
        <f ca="1">IF(OR(INDEX($K$2:$K$1001,MATCH(ROWS($J$2:J184),$J$2:$J$1001,0),1)&gt;=100000,INDEX($Q$1005:$U$1005,1,MATCH(COLUMNS($Q$1006:S1006),$Q$1006:$U$1006,0))&gt;=100000), " ",IF(INDEX($Q$2:$U$1001,MATCH(ROWS($J$2:J184),$J$2:$J$1001,0),MATCH(COLUMNS($Q$1006:S1006),$Q$1006:$U$1006,0)), HYPERLINK("#",""), HYPERLINK(CONCATENATE("#Metadata!", ADDRESS(INDEX($L$2:$L$1001,MATCH(ROWS($J$2:J184),$J$2:$J$1001,0),0), INDEX($Q$1004:$U$1004,1,MATCH(COLUMNS($Q$1006:S1006),$Q$1006:$U$1006,0)))),"Fix")))</f>
        <v xml:space="preserve"> </v>
      </c>
      <c r="E184" s="3" t="str">
        <f ca="1">IF(OR(INDEX($K$2:$K$1001,MATCH(ROWS($J$2:J184),$J$2:$J$1001,0),1)&gt;=100000,INDEX($Q$1005:$U$1005,1,MATCH(COLUMNS($Q$1006:T1006),$Q$1006:$U$1006,0))&gt;=100000), " ",IF(INDEX($Q$2:$U$1001,MATCH(ROWS($J$2:J184),$J$2:$J$1001,0),MATCH(COLUMNS($Q$1006:T1006),$Q$1006:$U$1006,0)), HYPERLINK("#",""), HYPERLINK(CONCATENATE("#Metadata!", ADDRESS(INDEX($L$2:$L$1001,MATCH(ROWS($J$2:J184),$J$2:$J$1001,0),0), INDEX($Q$1004:$U$1004,1,MATCH(COLUMNS($Q$1006:T1006),$Q$1006:$U$1006,0)))),"Fix")))</f>
        <v xml:space="preserve"> </v>
      </c>
      <c r="F184" s="3" t="str">
        <f ca="1">IF(OR(INDEX($K$2:$K$1001,MATCH(ROWS($J$2:J184),$J$2:$J$1001,0),1)&gt;=100000,INDEX($Q$1005:$U$1005,1,MATCH(COLUMNS($Q$1006:U1006),$Q$1006:$U$1006,0))&gt;=100000), " ",IF(INDEX($Q$2:$U$1001,MATCH(ROWS($J$2:J184),$J$2:$J$1001,0),MATCH(COLUMNS($Q$1006:U1006),$Q$1006:$U$1006,0)), HYPERLINK("#",""), HYPERLINK(CONCATENATE("#Metadata!", ADDRESS(INDEX($L$2:$L$1001,MATCH(ROWS($J$2:J184),$J$2:$J$1001,0),0), INDEX($Q$1004:$U$1004,1,MATCH(COLUMNS($Q$1006:U1006),$Q$1006:$U$1006,0)))),"Fix")))</f>
        <v xml:space="preserve"> </v>
      </c>
      <c r="J184">
        <f ca="1"/>
        <v>183</v>
      </c>
      <c r="K184">
        <v>100184</v>
      </c>
      <c r="L184">
        <v>184</v>
      </c>
      <c r="M184" t="b">
        <f t="shared" si="2"/>
        <v>1</v>
      </c>
      <c r="N184" t="b">
        <f>COUNTBLANK(Metadata!B184:F184)=COLUMNS(Metadata!B184:F184)</f>
        <v>1</v>
      </c>
      <c r="O184" t="str">
        <v/>
      </c>
      <c r="Q184" t="b">
        <f ca="1"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R184" t="b">
        <f>IF(Metadata!C184="",FALSE,TRUE)</f>
        <v>0</v>
      </c>
      <c r="S184" t="b">
        <f>OR(AND(IF(Metadata!D184="",FALSE,TRUE),EXACT(Metadata!D184,"missing: not collected")),AND(IF(Metadata!D184="",FALSE,TRUE),OR(EXACT(Metadata!D184,"t"),EXACT(Metadata!D184,"f"))))</f>
        <v>0</v>
      </c>
      <c r="T184" t="b">
        <f>AND(IF(Metadata!E184="",FALSE,TRUE),OR(EXACT(Metadata!E184,"a"),EXACT(Metadata!E184,"b")))</f>
        <v>0</v>
      </c>
      <c r="U184" t="b">
        <f>OR(AND(IF(Metadata!F184="",FALSE,TRUE),OR(EXACT(Metadata!F184,"missing: not collected"),EXACT(Metadata!F184,"missing: not provided"))),AND(IF(Metadata!F184="",FALSE,TRUE),OR(EXACT(Metadata!F184,"lo"),EXACT(Metadata!F184,"med"),EXACT(Metadata!F184,"hi"))))</f>
        <v>0</v>
      </c>
    </row>
    <row r="185" spans="1:21" x14ac:dyDescent="0.2">
      <c r="A185" s="4" t="str">
        <f ca="1">IF(B185=" "," ",HYPERLINK(CONCATENATE("#metadata!",ADDRESS(INDEX($L$2:$L$1001,MATCH(ROWS($J$2:J185),$J$2:$J$1001,0),0),1)),INDEX($O$2:$O$1001,MATCH(ROWS($J$2:J185),$J$2:$J$1001,0),0)))</f>
        <v xml:space="preserve"> </v>
      </c>
      <c r="B185" s="3" t="str">
        <f ca="1">IF(OR(INDEX($K$2:$K$1001,MATCH(ROWS($J$2:J185),$J$2:$J$1001,0),1)&gt;=100000,INDEX($Q$1005:$U$1005,1,MATCH(COLUMNS($Q$1006:Q1006),$Q$1006:$U$1006,0))&gt;=100000), " ",IF(INDEX($Q$2:$U$1001,MATCH(ROWS($J$2:J185),$J$2:$J$1001,0),MATCH(COLUMNS($Q$1006:Q1006),$Q$1006:$U$1006,0)), HYPERLINK("#",""), HYPERLINK(CONCATENATE("#Metadata!", ADDRESS(INDEX($L$2:$L$1001,MATCH(ROWS($J$2:J185),$J$2:$J$1001,0),0), INDEX($Q$1004:$U$1004,1,MATCH(COLUMNS($Q$1006:Q1006),$Q$1006:$U$1006,0)))),"Fix")))</f>
        <v xml:space="preserve"> </v>
      </c>
      <c r="C185" s="3" t="str">
        <f ca="1">IF(OR(INDEX($K$2:$K$1001,MATCH(ROWS($J$2:J185),$J$2:$J$1001,0),1)&gt;=100000,INDEX($Q$1005:$U$1005,1,MATCH(COLUMNS($Q$1006:R1006),$Q$1006:$U$1006,0))&gt;=100000), " ",IF(INDEX($Q$2:$U$1001,MATCH(ROWS($J$2:J185),$J$2:$J$1001,0),MATCH(COLUMNS($Q$1006:R1006),$Q$1006:$U$1006,0)), HYPERLINK("#",""), HYPERLINK(CONCATENATE("#Metadata!", ADDRESS(INDEX($L$2:$L$1001,MATCH(ROWS($J$2:J185),$J$2:$J$1001,0),0), INDEX($Q$1004:$U$1004,1,MATCH(COLUMNS($Q$1006:R1006),$Q$1006:$U$1006,0)))),"Fix")))</f>
        <v xml:space="preserve"> </v>
      </c>
      <c r="D185" s="3" t="str">
        <f ca="1">IF(OR(INDEX($K$2:$K$1001,MATCH(ROWS($J$2:J185),$J$2:$J$1001,0),1)&gt;=100000,INDEX($Q$1005:$U$1005,1,MATCH(COLUMNS($Q$1006:S1006),$Q$1006:$U$1006,0))&gt;=100000), " ",IF(INDEX($Q$2:$U$1001,MATCH(ROWS($J$2:J185),$J$2:$J$1001,0),MATCH(COLUMNS($Q$1006:S1006),$Q$1006:$U$1006,0)), HYPERLINK("#",""), HYPERLINK(CONCATENATE("#Metadata!", ADDRESS(INDEX($L$2:$L$1001,MATCH(ROWS($J$2:J185),$J$2:$J$1001,0),0), INDEX($Q$1004:$U$1004,1,MATCH(COLUMNS($Q$1006:S1006),$Q$1006:$U$1006,0)))),"Fix")))</f>
        <v xml:space="preserve"> </v>
      </c>
      <c r="E185" s="3" t="str">
        <f ca="1">IF(OR(INDEX($K$2:$K$1001,MATCH(ROWS($J$2:J185),$J$2:$J$1001,0),1)&gt;=100000,INDEX($Q$1005:$U$1005,1,MATCH(COLUMNS($Q$1006:T1006),$Q$1006:$U$1006,0))&gt;=100000), " ",IF(INDEX($Q$2:$U$1001,MATCH(ROWS($J$2:J185),$J$2:$J$1001,0),MATCH(COLUMNS($Q$1006:T1006),$Q$1006:$U$1006,0)), HYPERLINK("#",""), HYPERLINK(CONCATENATE("#Metadata!", ADDRESS(INDEX($L$2:$L$1001,MATCH(ROWS($J$2:J185),$J$2:$J$1001,0),0), INDEX($Q$1004:$U$1004,1,MATCH(COLUMNS($Q$1006:T1006),$Q$1006:$U$1006,0)))),"Fix")))</f>
        <v xml:space="preserve"> </v>
      </c>
      <c r="F185" s="3" t="str">
        <f ca="1">IF(OR(INDEX($K$2:$K$1001,MATCH(ROWS($J$2:J185),$J$2:$J$1001,0),1)&gt;=100000,INDEX($Q$1005:$U$1005,1,MATCH(COLUMNS($Q$1006:U1006),$Q$1006:$U$1006,0))&gt;=100000), " ",IF(INDEX($Q$2:$U$1001,MATCH(ROWS($J$2:J185),$J$2:$J$1001,0),MATCH(COLUMNS($Q$1006:U1006),$Q$1006:$U$1006,0)), HYPERLINK("#",""), HYPERLINK(CONCATENATE("#Metadata!", ADDRESS(INDEX($L$2:$L$1001,MATCH(ROWS($J$2:J185),$J$2:$J$1001,0),0), INDEX($Q$1004:$U$1004,1,MATCH(COLUMNS($Q$1006:U1006),$Q$1006:$U$1006,0)))),"Fix")))</f>
        <v xml:space="preserve"> </v>
      </c>
      <c r="J185">
        <f ca="1"/>
        <v>184</v>
      </c>
      <c r="K185">
        <v>100185</v>
      </c>
      <c r="L185">
        <v>185</v>
      </c>
      <c r="M185" t="b">
        <f t="shared" si="2"/>
        <v>1</v>
      </c>
      <c r="N185" t="b">
        <f>COUNTBLANK(Metadata!B185:F185)=COLUMNS(Metadata!B185:F185)</f>
        <v>1</v>
      </c>
      <c r="O185" t="str">
        <v/>
      </c>
      <c r="Q185" t="b">
        <f ca="1"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R185" t="b">
        <f>IF(Metadata!C185="",FALSE,TRUE)</f>
        <v>0</v>
      </c>
      <c r="S185" t="b">
        <f>OR(AND(IF(Metadata!D185="",FALSE,TRUE),EXACT(Metadata!D185,"missing: not collected")),AND(IF(Metadata!D185="",FALSE,TRUE),OR(EXACT(Metadata!D185,"t"),EXACT(Metadata!D185,"f"))))</f>
        <v>0</v>
      </c>
      <c r="T185" t="b">
        <f>AND(IF(Metadata!E185="",FALSE,TRUE),OR(EXACT(Metadata!E185,"a"),EXACT(Metadata!E185,"b")))</f>
        <v>0</v>
      </c>
      <c r="U185" t="b">
        <f>OR(AND(IF(Metadata!F185="",FALSE,TRUE),OR(EXACT(Metadata!F185,"missing: not collected"),EXACT(Metadata!F185,"missing: not provided"))),AND(IF(Metadata!F185="",FALSE,TRUE),OR(EXACT(Metadata!F185,"lo"),EXACT(Metadata!F185,"med"),EXACT(Metadata!F185,"hi"))))</f>
        <v>0</v>
      </c>
    </row>
    <row r="186" spans="1:21" x14ac:dyDescent="0.2">
      <c r="A186" s="4" t="str">
        <f ca="1">IF(B186=" "," ",HYPERLINK(CONCATENATE("#metadata!",ADDRESS(INDEX($L$2:$L$1001,MATCH(ROWS($J$2:J186),$J$2:$J$1001,0),0),1)),INDEX($O$2:$O$1001,MATCH(ROWS($J$2:J186),$J$2:$J$1001,0),0)))</f>
        <v xml:space="preserve"> </v>
      </c>
      <c r="B186" s="3" t="str">
        <f ca="1">IF(OR(INDEX($K$2:$K$1001,MATCH(ROWS($J$2:J186),$J$2:$J$1001,0),1)&gt;=100000,INDEX($Q$1005:$U$1005,1,MATCH(COLUMNS($Q$1006:Q1006),$Q$1006:$U$1006,0))&gt;=100000), " ",IF(INDEX($Q$2:$U$1001,MATCH(ROWS($J$2:J186),$J$2:$J$1001,0),MATCH(COLUMNS($Q$1006:Q1006),$Q$1006:$U$1006,0)), HYPERLINK("#",""), HYPERLINK(CONCATENATE("#Metadata!", ADDRESS(INDEX($L$2:$L$1001,MATCH(ROWS($J$2:J186),$J$2:$J$1001,0),0), INDEX($Q$1004:$U$1004,1,MATCH(COLUMNS($Q$1006:Q1006),$Q$1006:$U$1006,0)))),"Fix")))</f>
        <v xml:space="preserve"> </v>
      </c>
      <c r="C186" s="3" t="str">
        <f ca="1">IF(OR(INDEX($K$2:$K$1001,MATCH(ROWS($J$2:J186),$J$2:$J$1001,0),1)&gt;=100000,INDEX($Q$1005:$U$1005,1,MATCH(COLUMNS($Q$1006:R1006),$Q$1006:$U$1006,0))&gt;=100000), " ",IF(INDEX($Q$2:$U$1001,MATCH(ROWS($J$2:J186),$J$2:$J$1001,0),MATCH(COLUMNS($Q$1006:R1006),$Q$1006:$U$1006,0)), HYPERLINK("#",""), HYPERLINK(CONCATENATE("#Metadata!", ADDRESS(INDEX($L$2:$L$1001,MATCH(ROWS($J$2:J186),$J$2:$J$1001,0),0), INDEX($Q$1004:$U$1004,1,MATCH(COLUMNS($Q$1006:R1006),$Q$1006:$U$1006,0)))),"Fix")))</f>
        <v xml:space="preserve"> </v>
      </c>
      <c r="D186" s="3" t="str">
        <f ca="1">IF(OR(INDEX($K$2:$K$1001,MATCH(ROWS($J$2:J186),$J$2:$J$1001,0),1)&gt;=100000,INDEX($Q$1005:$U$1005,1,MATCH(COLUMNS($Q$1006:S1006),$Q$1006:$U$1006,0))&gt;=100000), " ",IF(INDEX($Q$2:$U$1001,MATCH(ROWS($J$2:J186),$J$2:$J$1001,0),MATCH(COLUMNS($Q$1006:S1006),$Q$1006:$U$1006,0)), HYPERLINK("#",""), HYPERLINK(CONCATENATE("#Metadata!", ADDRESS(INDEX($L$2:$L$1001,MATCH(ROWS($J$2:J186),$J$2:$J$1001,0),0), INDEX($Q$1004:$U$1004,1,MATCH(COLUMNS($Q$1006:S1006),$Q$1006:$U$1006,0)))),"Fix")))</f>
        <v xml:space="preserve"> </v>
      </c>
      <c r="E186" s="3" t="str">
        <f ca="1">IF(OR(INDEX($K$2:$K$1001,MATCH(ROWS($J$2:J186),$J$2:$J$1001,0),1)&gt;=100000,INDEX($Q$1005:$U$1005,1,MATCH(COLUMNS($Q$1006:T1006),$Q$1006:$U$1006,0))&gt;=100000), " ",IF(INDEX($Q$2:$U$1001,MATCH(ROWS($J$2:J186),$J$2:$J$1001,0),MATCH(COLUMNS($Q$1006:T1006),$Q$1006:$U$1006,0)), HYPERLINK("#",""), HYPERLINK(CONCATENATE("#Metadata!", ADDRESS(INDEX($L$2:$L$1001,MATCH(ROWS($J$2:J186),$J$2:$J$1001,0),0), INDEX($Q$1004:$U$1004,1,MATCH(COLUMNS($Q$1006:T1006),$Q$1006:$U$1006,0)))),"Fix")))</f>
        <v xml:space="preserve"> </v>
      </c>
      <c r="F186" s="3" t="str">
        <f ca="1">IF(OR(INDEX($K$2:$K$1001,MATCH(ROWS($J$2:J186),$J$2:$J$1001,0),1)&gt;=100000,INDEX($Q$1005:$U$1005,1,MATCH(COLUMNS($Q$1006:U1006),$Q$1006:$U$1006,0))&gt;=100000), " ",IF(INDEX($Q$2:$U$1001,MATCH(ROWS($J$2:J186),$J$2:$J$1001,0),MATCH(COLUMNS($Q$1006:U1006),$Q$1006:$U$1006,0)), HYPERLINK("#",""), HYPERLINK(CONCATENATE("#Metadata!", ADDRESS(INDEX($L$2:$L$1001,MATCH(ROWS($J$2:J186),$J$2:$J$1001,0),0), INDEX($Q$1004:$U$1004,1,MATCH(COLUMNS($Q$1006:U1006),$Q$1006:$U$1006,0)))),"Fix")))</f>
        <v xml:space="preserve"> </v>
      </c>
      <c r="J186">
        <f ca="1"/>
        <v>185</v>
      </c>
      <c r="K186">
        <v>100186</v>
      </c>
      <c r="L186">
        <v>186</v>
      </c>
      <c r="M186" t="b">
        <f t="shared" si="2"/>
        <v>1</v>
      </c>
      <c r="N186" t="b">
        <f>COUNTBLANK(Metadata!B186:F186)=COLUMNS(Metadata!B186:F186)</f>
        <v>1</v>
      </c>
      <c r="O186" t="str">
        <v/>
      </c>
      <c r="Q186" t="b">
        <f ca="1"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R186" t="b">
        <f>IF(Metadata!C186="",FALSE,TRUE)</f>
        <v>0</v>
      </c>
      <c r="S186" t="b">
        <f>OR(AND(IF(Metadata!D186="",FALSE,TRUE),EXACT(Metadata!D186,"missing: not collected")),AND(IF(Metadata!D186="",FALSE,TRUE),OR(EXACT(Metadata!D186,"t"),EXACT(Metadata!D186,"f"))))</f>
        <v>0</v>
      </c>
      <c r="T186" t="b">
        <f>AND(IF(Metadata!E186="",FALSE,TRUE),OR(EXACT(Metadata!E186,"a"),EXACT(Metadata!E186,"b")))</f>
        <v>0</v>
      </c>
      <c r="U186" t="b">
        <f>OR(AND(IF(Metadata!F186="",FALSE,TRUE),OR(EXACT(Metadata!F186,"missing: not collected"),EXACT(Metadata!F186,"missing: not provided"))),AND(IF(Metadata!F186="",FALSE,TRUE),OR(EXACT(Metadata!F186,"lo"),EXACT(Metadata!F186,"med"),EXACT(Metadata!F186,"hi"))))</f>
        <v>0</v>
      </c>
    </row>
    <row r="187" spans="1:21" x14ac:dyDescent="0.2">
      <c r="A187" s="4" t="str">
        <f ca="1">IF(B187=" "," ",HYPERLINK(CONCATENATE("#metadata!",ADDRESS(INDEX($L$2:$L$1001,MATCH(ROWS($J$2:J187),$J$2:$J$1001,0),0),1)),INDEX($O$2:$O$1001,MATCH(ROWS($J$2:J187),$J$2:$J$1001,0),0)))</f>
        <v xml:space="preserve"> </v>
      </c>
      <c r="B187" s="3" t="str">
        <f ca="1">IF(OR(INDEX($K$2:$K$1001,MATCH(ROWS($J$2:J187),$J$2:$J$1001,0),1)&gt;=100000,INDEX($Q$1005:$U$1005,1,MATCH(COLUMNS($Q$1006:Q1006),$Q$1006:$U$1006,0))&gt;=100000), " ",IF(INDEX($Q$2:$U$1001,MATCH(ROWS($J$2:J187),$J$2:$J$1001,0),MATCH(COLUMNS($Q$1006:Q1006),$Q$1006:$U$1006,0)), HYPERLINK("#",""), HYPERLINK(CONCATENATE("#Metadata!", ADDRESS(INDEX($L$2:$L$1001,MATCH(ROWS($J$2:J187),$J$2:$J$1001,0),0), INDEX($Q$1004:$U$1004,1,MATCH(COLUMNS($Q$1006:Q1006),$Q$1006:$U$1006,0)))),"Fix")))</f>
        <v xml:space="preserve"> </v>
      </c>
      <c r="C187" s="3" t="str">
        <f ca="1">IF(OR(INDEX($K$2:$K$1001,MATCH(ROWS($J$2:J187),$J$2:$J$1001,0),1)&gt;=100000,INDEX($Q$1005:$U$1005,1,MATCH(COLUMNS($Q$1006:R1006),$Q$1006:$U$1006,0))&gt;=100000), " ",IF(INDEX($Q$2:$U$1001,MATCH(ROWS($J$2:J187),$J$2:$J$1001,0),MATCH(COLUMNS($Q$1006:R1006),$Q$1006:$U$1006,0)), HYPERLINK("#",""), HYPERLINK(CONCATENATE("#Metadata!", ADDRESS(INDEX($L$2:$L$1001,MATCH(ROWS($J$2:J187),$J$2:$J$1001,0),0), INDEX($Q$1004:$U$1004,1,MATCH(COLUMNS($Q$1006:R1006),$Q$1006:$U$1006,0)))),"Fix")))</f>
        <v xml:space="preserve"> </v>
      </c>
      <c r="D187" s="3" t="str">
        <f ca="1">IF(OR(INDEX($K$2:$K$1001,MATCH(ROWS($J$2:J187),$J$2:$J$1001,0),1)&gt;=100000,INDEX($Q$1005:$U$1005,1,MATCH(COLUMNS($Q$1006:S1006),$Q$1006:$U$1006,0))&gt;=100000), " ",IF(INDEX($Q$2:$U$1001,MATCH(ROWS($J$2:J187),$J$2:$J$1001,0),MATCH(COLUMNS($Q$1006:S1006),$Q$1006:$U$1006,0)), HYPERLINK("#",""), HYPERLINK(CONCATENATE("#Metadata!", ADDRESS(INDEX($L$2:$L$1001,MATCH(ROWS($J$2:J187),$J$2:$J$1001,0),0), INDEX($Q$1004:$U$1004,1,MATCH(COLUMNS($Q$1006:S1006),$Q$1006:$U$1006,0)))),"Fix")))</f>
        <v xml:space="preserve"> </v>
      </c>
      <c r="E187" s="3" t="str">
        <f ca="1">IF(OR(INDEX($K$2:$K$1001,MATCH(ROWS($J$2:J187),$J$2:$J$1001,0),1)&gt;=100000,INDEX($Q$1005:$U$1005,1,MATCH(COLUMNS($Q$1006:T1006),$Q$1006:$U$1006,0))&gt;=100000), " ",IF(INDEX($Q$2:$U$1001,MATCH(ROWS($J$2:J187),$J$2:$J$1001,0),MATCH(COLUMNS($Q$1006:T1006),$Q$1006:$U$1006,0)), HYPERLINK("#",""), HYPERLINK(CONCATENATE("#Metadata!", ADDRESS(INDEX($L$2:$L$1001,MATCH(ROWS($J$2:J187),$J$2:$J$1001,0),0), INDEX($Q$1004:$U$1004,1,MATCH(COLUMNS($Q$1006:T1006),$Q$1006:$U$1006,0)))),"Fix")))</f>
        <v xml:space="preserve"> </v>
      </c>
      <c r="F187" s="3" t="str">
        <f ca="1">IF(OR(INDEX($K$2:$K$1001,MATCH(ROWS($J$2:J187),$J$2:$J$1001,0),1)&gt;=100000,INDEX($Q$1005:$U$1005,1,MATCH(COLUMNS($Q$1006:U1006),$Q$1006:$U$1006,0))&gt;=100000), " ",IF(INDEX($Q$2:$U$1001,MATCH(ROWS($J$2:J187),$J$2:$J$1001,0),MATCH(COLUMNS($Q$1006:U1006),$Q$1006:$U$1006,0)), HYPERLINK("#",""), HYPERLINK(CONCATENATE("#Metadata!", ADDRESS(INDEX($L$2:$L$1001,MATCH(ROWS($J$2:J187),$J$2:$J$1001,0),0), INDEX($Q$1004:$U$1004,1,MATCH(COLUMNS($Q$1006:U1006),$Q$1006:$U$1006,0)))),"Fix")))</f>
        <v xml:space="preserve"> </v>
      </c>
      <c r="J187">
        <f ca="1"/>
        <v>186</v>
      </c>
      <c r="K187">
        <v>100187</v>
      </c>
      <c r="L187">
        <v>187</v>
      </c>
      <c r="M187" t="b">
        <f t="shared" si="2"/>
        <v>1</v>
      </c>
      <c r="N187" t="b">
        <f>COUNTBLANK(Metadata!B187:F187)=COLUMNS(Metadata!B187:F187)</f>
        <v>1</v>
      </c>
      <c r="O187" t="str">
        <v/>
      </c>
      <c r="Q187" t="b">
        <f ca="1"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R187" t="b">
        <f>IF(Metadata!C187="",FALSE,TRUE)</f>
        <v>0</v>
      </c>
      <c r="S187" t="b">
        <f>OR(AND(IF(Metadata!D187="",FALSE,TRUE),EXACT(Metadata!D187,"missing: not collected")),AND(IF(Metadata!D187="",FALSE,TRUE),OR(EXACT(Metadata!D187,"t"),EXACT(Metadata!D187,"f"))))</f>
        <v>0</v>
      </c>
      <c r="T187" t="b">
        <f>AND(IF(Metadata!E187="",FALSE,TRUE),OR(EXACT(Metadata!E187,"a"),EXACT(Metadata!E187,"b")))</f>
        <v>0</v>
      </c>
      <c r="U187" t="b">
        <f>OR(AND(IF(Metadata!F187="",FALSE,TRUE),OR(EXACT(Metadata!F187,"missing: not collected"),EXACT(Metadata!F187,"missing: not provided"))),AND(IF(Metadata!F187="",FALSE,TRUE),OR(EXACT(Metadata!F187,"lo"),EXACT(Metadata!F187,"med"),EXACT(Metadata!F187,"hi"))))</f>
        <v>0</v>
      </c>
    </row>
    <row r="188" spans="1:21" x14ac:dyDescent="0.2">
      <c r="A188" s="4" t="str">
        <f ca="1">IF(B188=" "," ",HYPERLINK(CONCATENATE("#metadata!",ADDRESS(INDEX($L$2:$L$1001,MATCH(ROWS($J$2:J188),$J$2:$J$1001,0),0),1)),INDEX($O$2:$O$1001,MATCH(ROWS($J$2:J188),$J$2:$J$1001,0),0)))</f>
        <v xml:space="preserve"> </v>
      </c>
      <c r="B188" s="3" t="str">
        <f ca="1">IF(OR(INDEX($K$2:$K$1001,MATCH(ROWS($J$2:J188),$J$2:$J$1001,0),1)&gt;=100000,INDEX($Q$1005:$U$1005,1,MATCH(COLUMNS($Q$1006:Q1006),$Q$1006:$U$1006,0))&gt;=100000), " ",IF(INDEX($Q$2:$U$1001,MATCH(ROWS($J$2:J188),$J$2:$J$1001,0),MATCH(COLUMNS($Q$1006:Q1006),$Q$1006:$U$1006,0)), HYPERLINK("#",""), HYPERLINK(CONCATENATE("#Metadata!", ADDRESS(INDEX($L$2:$L$1001,MATCH(ROWS($J$2:J188),$J$2:$J$1001,0),0), INDEX($Q$1004:$U$1004,1,MATCH(COLUMNS($Q$1006:Q1006),$Q$1006:$U$1006,0)))),"Fix")))</f>
        <v xml:space="preserve"> </v>
      </c>
      <c r="C188" s="3" t="str">
        <f ca="1">IF(OR(INDEX($K$2:$K$1001,MATCH(ROWS($J$2:J188),$J$2:$J$1001,0),1)&gt;=100000,INDEX($Q$1005:$U$1005,1,MATCH(COLUMNS($Q$1006:R1006),$Q$1006:$U$1006,0))&gt;=100000), " ",IF(INDEX($Q$2:$U$1001,MATCH(ROWS($J$2:J188),$J$2:$J$1001,0),MATCH(COLUMNS($Q$1006:R1006),$Q$1006:$U$1006,0)), HYPERLINK("#",""), HYPERLINK(CONCATENATE("#Metadata!", ADDRESS(INDEX($L$2:$L$1001,MATCH(ROWS($J$2:J188),$J$2:$J$1001,0),0), INDEX($Q$1004:$U$1004,1,MATCH(COLUMNS($Q$1006:R1006),$Q$1006:$U$1006,0)))),"Fix")))</f>
        <v xml:space="preserve"> </v>
      </c>
      <c r="D188" s="3" t="str">
        <f ca="1">IF(OR(INDEX($K$2:$K$1001,MATCH(ROWS($J$2:J188),$J$2:$J$1001,0),1)&gt;=100000,INDEX($Q$1005:$U$1005,1,MATCH(COLUMNS($Q$1006:S1006),$Q$1006:$U$1006,0))&gt;=100000), " ",IF(INDEX($Q$2:$U$1001,MATCH(ROWS($J$2:J188),$J$2:$J$1001,0),MATCH(COLUMNS($Q$1006:S1006),$Q$1006:$U$1006,0)), HYPERLINK("#",""), HYPERLINK(CONCATENATE("#Metadata!", ADDRESS(INDEX($L$2:$L$1001,MATCH(ROWS($J$2:J188),$J$2:$J$1001,0),0), INDEX($Q$1004:$U$1004,1,MATCH(COLUMNS($Q$1006:S1006),$Q$1006:$U$1006,0)))),"Fix")))</f>
        <v xml:space="preserve"> </v>
      </c>
      <c r="E188" s="3" t="str">
        <f ca="1">IF(OR(INDEX($K$2:$K$1001,MATCH(ROWS($J$2:J188),$J$2:$J$1001,0),1)&gt;=100000,INDEX($Q$1005:$U$1005,1,MATCH(COLUMNS($Q$1006:T1006),$Q$1006:$U$1006,0))&gt;=100000), " ",IF(INDEX($Q$2:$U$1001,MATCH(ROWS($J$2:J188),$J$2:$J$1001,0),MATCH(COLUMNS($Q$1006:T1006),$Q$1006:$U$1006,0)), HYPERLINK("#",""), HYPERLINK(CONCATENATE("#Metadata!", ADDRESS(INDEX($L$2:$L$1001,MATCH(ROWS($J$2:J188),$J$2:$J$1001,0),0), INDEX($Q$1004:$U$1004,1,MATCH(COLUMNS($Q$1006:T1006),$Q$1006:$U$1006,0)))),"Fix")))</f>
        <v xml:space="preserve"> </v>
      </c>
      <c r="F188" s="3" t="str">
        <f ca="1">IF(OR(INDEX($K$2:$K$1001,MATCH(ROWS($J$2:J188),$J$2:$J$1001,0),1)&gt;=100000,INDEX($Q$1005:$U$1005,1,MATCH(COLUMNS($Q$1006:U1006),$Q$1006:$U$1006,0))&gt;=100000), " ",IF(INDEX($Q$2:$U$1001,MATCH(ROWS($J$2:J188),$J$2:$J$1001,0),MATCH(COLUMNS($Q$1006:U1006),$Q$1006:$U$1006,0)), HYPERLINK("#",""), HYPERLINK(CONCATENATE("#Metadata!", ADDRESS(INDEX($L$2:$L$1001,MATCH(ROWS($J$2:J188),$J$2:$J$1001,0),0), INDEX($Q$1004:$U$1004,1,MATCH(COLUMNS($Q$1006:U1006),$Q$1006:$U$1006,0)))),"Fix")))</f>
        <v xml:space="preserve"> </v>
      </c>
      <c r="J188">
        <f ca="1"/>
        <v>187</v>
      </c>
      <c r="K188">
        <v>100188</v>
      </c>
      <c r="L188">
        <v>188</v>
      </c>
      <c r="M188" t="b">
        <f t="shared" si="2"/>
        <v>1</v>
      </c>
      <c r="N188" t="b">
        <f>COUNTBLANK(Metadata!B188:F188)=COLUMNS(Metadata!B188:F188)</f>
        <v>1</v>
      </c>
      <c r="O188" t="str">
        <v/>
      </c>
      <c r="Q188" t="b">
        <f ca="1"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R188" t="b">
        <f>IF(Metadata!C188="",FALSE,TRUE)</f>
        <v>0</v>
      </c>
      <c r="S188" t="b">
        <f>OR(AND(IF(Metadata!D188="",FALSE,TRUE),EXACT(Metadata!D188,"missing: not collected")),AND(IF(Metadata!D188="",FALSE,TRUE),OR(EXACT(Metadata!D188,"t"),EXACT(Metadata!D188,"f"))))</f>
        <v>0</v>
      </c>
      <c r="T188" t="b">
        <f>AND(IF(Metadata!E188="",FALSE,TRUE),OR(EXACT(Metadata!E188,"a"),EXACT(Metadata!E188,"b")))</f>
        <v>0</v>
      </c>
      <c r="U188" t="b">
        <f>OR(AND(IF(Metadata!F188="",FALSE,TRUE),OR(EXACT(Metadata!F188,"missing: not collected"),EXACT(Metadata!F188,"missing: not provided"))),AND(IF(Metadata!F188="",FALSE,TRUE),OR(EXACT(Metadata!F188,"lo"),EXACT(Metadata!F188,"med"),EXACT(Metadata!F188,"hi"))))</f>
        <v>0</v>
      </c>
    </row>
    <row r="189" spans="1:21" x14ac:dyDescent="0.2">
      <c r="A189" s="4" t="str">
        <f ca="1">IF(B189=" "," ",HYPERLINK(CONCATENATE("#metadata!",ADDRESS(INDEX($L$2:$L$1001,MATCH(ROWS($J$2:J189),$J$2:$J$1001,0),0),1)),INDEX($O$2:$O$1001,MATCH(ROWS($J$2:J189),$J$2:$J$1001,0),0)))</f>
        <v xml:space="preserve"> </v>
      </c>
      <c r="B189" s="3" t="str">
        <f ca="1">IF(OR(INDEX($K$2:$K$1001,MATCH(ROWS($J$2:J189),$J$2:$J$1001,0),1)&gt;=100000,INDEX($Q$1005:$U$1005,1,MATCH(COLUMNS($Q$1006:Q1006),$Q$1006:$U$1006,0))&gt;=100000), " ",IF(INDEX($Q$2:$U$1001,MATCH(ROWS($J$2:J189),$J$2:$J$1001,0),MATCH(COLUMNS($Q$1006:Q1006),$Q$1006:$U$1006,0)), HYPERLINK("#",""), HYPERLINK(CONCATENATE("#Metadata!", ADDRESS(INDEX($L$2:$L$1001,MATCH(ROWS($J$2:J189),$J$2:$J$1001,0),0), INDEX($Q$1004:$U$1004,1,MATCH(COLUMNS($Q$1006:Q1006),$Q$1006:$U$1006,0)))),"Fix")))</f>
        <v xml:space="preserve"> </v>
      </c>
      <c r="C189" s="3" t="str">
        <f ca="1">IF(OR(INDEX($K$2:$K$1001,MATCH(ROWS($J$2:J189),$J$2:$J$1001,0),1)&gt;=100000,INDEX($Q$1005:$U$1005,1,MATCH(COLUMNS($Q$1006:R1006),$Q$1006:$U$1006,0))&gt;=100000), " ",IF(INDEX($Q$2:$U$1001,MATCH(ROWS($J$2:J189),$J$2:$J$1001,0),MATCH(COLUMNS($Q$1006:R1006),$Q$1006:$U$1006,0)), HYPERLINK("#",""), HYPERLINK(CONCATENATE("#Metadata!", ADDRESS(INDEX($L$2:$L$1001,MATCH(ROWS($J$2:J189),$J$2:$J$1001,0),0), INDEX($Q$1004:$U$1004,1,MATCH(COLUMNS($Q$1006:R1006),$Q$1006:$U$1006,0)))),"Fix")))</f>
        <v xml:space="preserve"> </v>
      </c>
      <c r="D189" s="3" t="str">
        <f ca="1">IF(OR(INDEX($K$2:$K$1001,MATCH(ROWS($J$2:J189),$J$2:$J$1001,0),1)&gt;=100000,INDEX($Q$1005:$U$1005,1,MATCH(COLUMNS($Q$1006:S1006),$Q$1006:$U$1006,0))&gt;=100000), " ",IF(INDEX($Q$2:$U$1001,MATCH(ROWS($J$2:J189),$J$2:$J$1001,0),MATCH(COLUMNS($Q$1006:S1006),$Q$1006:$U$1006,0)), HYPERLINK("#",""), HYPERLINK(CONCATENATE("#Metadata!", ADDRESS(INDEX($L$2:$L$1001,MATCH(ROWS($J$2:J189),$J$2:$J$1001,0),0), INDEX($Q$1004:$U$1004,1,MATCH(COLUMNS($Q$1006:S1006),$Q$1006:$U$1006,0)))),"Fix")))</f>
        <v xml:space="preserve"> </v>
      </c>
      <c r="E189" s="3" t="str">
        <f ca="1">IF(OR(INDEX($K$2:$K$1001,MATCH(ROWS($J$2:J189),$J$2:$J$1001,0),1)&gt;=100000,INDEX($Q$1005:$U$1005,1,MATCH(COLUMNS($Q$1006:T1006),$Q$1006:$U$1006,0))&gt;=100000), " ",IF(INDEX($Q$2:$U$1001,MATCH(ROWS($J$2:J189),$J$2:$J$1001,0),MATCH(COLUMNS($Q$1006:T1006),$Q$1006:$U$1006,0)), HYPERLINK("#",""), HYPERLINK(CONCATENATE("#Metadata!", ADDRESS(INDEX($L$2:$L$1001,MATCH(ROWS($J$2:J189),$J$2:$J$1001,0),0), INDEX($Q$1004:$U$1004,1,MATCH(COLUMNS($Q$1006:T1006),$Q$1006:$U$1006,0)))),"Fix")))</f>
        <v xml:space="preserve"> </v>
      </c>
      <c r="F189" s="3" t="str">
        <f ca="1">IF(OR(INDEX($K$2:$K$1001,MATCH(ROWS($J$2:J189),$J$2:$J$1001,0),1)&gt;=100000,INDEX($Q$1005:$U$1005,1,MATCH(COLUMNS($Q$1006:U1006),$Q$1006:$U$1006,0))&gt;=100000), " ",IF(INDEX($Q$2:$U$1001,MATCH(ROWS($J$2:J189),$J$2:$J$1001,0),MATCH(COLUMNS($Q$1006:U1006),$Q$1006:$U$1006,0)), HYPERLINK("#",""), HYPERLINK(CONCATENATE("#Metadata!", ADDRESS(INDEX($L$2:$L$1001,MATCH(ROWS($J$2:J189),$J$2:$J$1001,0),0), INDEX($Q$1004:$U$1004,1,MATCH(COLUMNS($Q$1006:U1006),$Q$1006:$U$1006,0)))),"Fix")))</f>
        <v xml:space="preserve"> </v>
      </c>
      <c r="J189">
        <f ca="1"/>
        <v>188</v>
      </c>
      <c r="K189">
        <v>100189</v>
      </c>
      <c r="L189">
        <v>189</v>
      </c>
      <c r="M189" t="b">
        <f t="shared" si="2"/>
        <v>1</v>
      </c>
      <c r="N189" t="b">
        <f>COUNTBLANK(Metadata!B189:F189)=COLUMNS(Metadata!B189:F189)</f>
        <v>1</v>
      </c>
      <c r="O189" t="str">
        <v/>
      </c>
      <c r="Q189" t="b">
        <f ca="1"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R189" t="b">
        <f>IF(Metadata!C189="",FALSE,TRUE)</f>
        <v>0</v>
      </c>
      <c r="S189" t="b">
        <f>OR(AND(IF(Metadata!D189="",FALSE,TRUE),EXACT(Metadata!D189,"missing: not collected")),AND(IF(Metadata!D189="",FALSE,TRUE),OR(EXACT(Metadata!D189,"t"),EXACT(Metadata!D189,"f"))))</f>
        <v>0</v>
      </c>
      <c r="T189" t="b">
        <f>AND(IF(Metadata!E189="",FALSE,TRUE),OR(EXACT(Metadata!E189,"a"),EXACT(Metadata!E189,"b")))</f>
        <v>0</v>
      </c>
      <c r="U189" t="b">
        <f>OR(AND(IF(Metadata!F189="",FALSE,TRUE),OR(EXACT(Metadata!F189,"missing: not collected"),EXACT(Metadata!F189,"missing: not provided"))),AND(IF(Metadata!F189="",FALSE,TRUE),OR(EXACT(Metadata!F189,"lo"),EXACT(Metadata!F189,"med"),EXACT(Metadata!F189,"hi"))))</f>
        <v>0</v>
      </c>
    </row>
    <row r="190" spans="1:21" x14ac:dyDescent="0.2">
      <c r="A190" s="4" t="str">
        <f ca="1">IF(B190=" "," ",HYPERLINK(CONCATENATE("#metadata!",ADDRESS(INDEX($L$2:$L$1001,MATCH(ROWS($J$2:J190),$J$2:$J$1001,0),0),1)),INDEX($O$2:$O$1001,MATCH(ROWS($J$2:J190),$J$2:$J$1001,0),0)))</f>
        <v xml:space="preserve"> </v>
      </c>
      <c r="B190" s="3" t="str">
        <f ca="1">IF(OR(INDEX($K$2:$K$1001,MATCH(ROWS($J$2:J190),$J$2:$J$1001,0),1)&gt;=100000,INDEX($Q$1005:$U$1005,1,MATCH(COLUMNS($Q$1006:Q1006),$Q$1006:$U$1006,0))&gt;=100000), " ",IF(INDEX($Q$2:$U$1001,MATCH(ROWS($J$2:J190),$J$2:$J$1001,0),MATCH(COLUMNS($Q$1006:Q1006),$Q$1006:$U$1006,0)), HYPERLINK("#",""), HYPERLINK(CONCATENATE("#Metadata!", ADDRESS(INDEX($L$2:$L$1001,MATCH(ROWS($J$2:J190),$J$2:$J$1001,0),0), INDEX($Q$1004:$U$1004,1,MATCH(COLUMNS($Q$1006:Q1006),$Q$1006:$U$1006,0)))),"Fix")))</f>
        <v xml:space="preserve"> </v>
      </c>
      <c r="C190" s="3" t="str">
        <f ca="1">IF(OR(INDEX($K$2:$K$1001,MATCH(ROWS($J$2:J190),$J$2:$J$1001,0),1)&gt;=100000,INDEX($Q$1005:$U$1005,1,MATCH(COLUMNS($Q$1006:R1006),$Q$1006:$U$1006,0))&gt;=100000), " ",IF(INDEX($Q$2:$U$1001,MATCH(ROWS($J$2:J190),$J$2:$J$1001,0),MATCH(COLUMNS($Q$1006:R1006),$Q$1006:$U$1006,0)), HYPERLINK("#",""), HYPERLINK(CONCATENATE("#Metadata!", ADDRESS(INDEX($L$2:$L$1001,MATCH(ROWS($J$2:J190),$J$2:$J$1001,0),0), INDEX($Q$1004:$U$1004,1,MATCH(COLUMNS($Q$1006:R1006),$Q$1006:$U$1006,0)))),"Fix")))</f>
        <v xml:space="preserve"> </v>
      </c>
      <c r="D190" s="3" t="str">
        <f ca="1">IF(OR(INDEX($K$2:$K$1001,MATCH(ROWS($J$2:J190),$J$2:$J$1001,0),1)&gt;=100000,INDEX($Q$1005:$U$1005,1,MATCH(COLUMNS($Q$1006:S1006),$Q$1006:$U$1006,0))&gt;=100000), " ",IF(INDEX($Q$2:$U$1001,MATCH(ROWS($J$2:J190),$J$2:$J$1001,0),MATCH(COLUMNS($Q$1006:S1006),$Q$1006:$U$1006,0)), HYPERLINK("#",""), HYPERLINK(CONCATENATE("#Metadata!", ADDRESS(INDEX($L$2:$L$1001,MATCH(ROWS($J$2:J190),$J$2:$J$1001,0),0), INDEX($Q$1004:$U$1004,1,MATCH(COLUMNS($Q$1006:S1006),$Q$1006:$U$1006,0)))),"Fix")))</f>
        <v xml:space="preserve"> </v>
      </c>
      <c r="E190" s="3" t="str">
        <f ca="1">IF(OR(INDEX($K$2:$K$1001,MATCH(ROWS($J$2:J190),$J$2:$J$1001,0),1)&gt;=100000,INDEX($Q$1005:$U$1005,1,MATCH(COLUMNS($Q$1006:T1006),$Q$1006:$U$1006,0))&gt;=100000), " ",IF(INDEX($Q$2:$U$1001,MATCH(ROWS($J$2:J190),$J$2:$J$1001,0),MATCH(COLUMNS($Q$1006:T1006),$Q$1006:$U$1006,0)), HYPERLINK("#",""), HYPERLINK(CONCATENATE("#Metadata!", ADDRESS(INDEX($L$2:$L$1001,MATCH(ROWS($J$2:J190),$J$2:$J$1001,0),0), INDEX($Q$1004:$U$1004,1,MATCH(COLUMNS($Q$1006:T1006),$Q$1006:$U$1006,0)))),"Fix")))</f>
        <v xml:space="preserve"> </v>
      </c>
      <c r="F190" s="3" t="str">
        <f ca="1">IF(OR(INDEX($K$2:$K$1001,MATCH(ROWS($J$2:J190),$J$2:$J$1001,0),1)&gt;=100000,INDEX($Q$1005:$U$1005,1,MATCH(COLUMNS($Q$1006:U1006),$Q$1006:$U$1006,0))&gt;=100000), " ",IF(INDEX($Q$2:$U$1001,MATCH(ROWS($J$2:J190),$J$2:$J$1001,0),MATCH(COLUMNS($Q$1006:U1006),$Q$1006:$U$1006,0)), HYPERLINK("#",""), HYPERLINK(CONCATENATE("#Metadata!", ADDRESS(INDEX($L$2:$L$1001,MATCH(ROWS($J$2:J190),$J$2:$J$1001,0),0), INDEX($Q$1004:$U$1004,1,MATCH(COLUMNS($Q$1006:U1006),$Q$1006:$U$1006,0)))),"Fix")))</f>
        <v xml:space="preserve"> </v>
      </c>
      <c r="J190">
        <f ca="1"/>
        <v>189</v>
      </c>
      <c r="K190">
        <v>100190</v>
      </c>
      <c r="L190">
        <v>190</v>
      </c>
      <c r="M190" t="b">
        <f t="shared" si="2"/>
        <v>1</v>
      </c>
      <c r="N190" t="b">
        <f>COUNTBLANK(Metadata!B190:F190)=COLUMNS(Metadata!B190:F190)</f>
        <v>1</v>
      </c>
      <c r="O190" t="str">
        <v/>
      </c>
      <c r="Q190" t="b">
        <f ca="1"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R190" t="b">
        <f>IF(Metadata!C190="",FALSE,TRUE)</f>
        <v>0</v>
      </c>
      <c r="S190" t="b">
        <f>OR(AND(IF(Metadata!D190="",FALSE,TRUE),EXACT(Metadata!D190,"missing: not collected")),AND(IF(Metadata!D190="",FALSE,TRUE),OR(EXACT(Metadata!D190,"t"),EXACT(Metadata!D190,"f"))))</f>
        <v>0</v>
      </c>
      <c r="T190" t="b">
        <f>AND(IF(Metadata!E190="",FALSE,TRUE),OR(EXACT(Metadata!E190,"a"),EXACT(Metadata!E190,"b")))</f>
        <v>0</v>
      </c>
      <c r="U190" t="b">
        <f>OR(AND(IF(Metadata!F190="",FALSE,TRUE),OR(EXACT(Metadata!F190,"missing: not collected"),EXACT(Metadata!F190,"missing: not provided"))),AND(IF(Metadata!F190="",FALSE,TRUE),OR(EXACT(Metadata!F190,"lo"),EXACT(Metadata!F190,"med"),EXACT(Metadata!F190,"hi"))))</f>
        <v>0</v>
      </c>
    </row>
    <row r="191" spans="1:21" x14ac:dyDescent="0.2">
      <c r="A191" s="4" t="str">
        <f ca="1">IF(B191=" "," ",HYPERLINK(CONCATENATE("#metadata!",ADDRESS(INDEX($L$2:$L$1001,MATCH(ROWS($J$2:J191),$J$2:$J$1001,0),0),1)),INDEX($O$2:$O$1001,MATCH(ROWS($J$2:J191),$J$2:$J$1001,0),0)))</f>
        <v xml:space="preserve"> </v>
      </c>
      <c r="B191" s="3" t="str">
        <f ca="1">IF(OR(INDEX($K$2:$K$1001,MATCH(ROWS($J$2:J191),$J$2:$J$1001,0),1)&gt;=100000,INDEX($Q$1005:$U$1005,1,MATCH(COLUMNS($Q$1006:Q1006),$Q$1006:$U$1006,0))&gt;=100000), " ",IF(INDEX($Q$2:$U$1001,MATCH(ROWS($J$2:J191),$J$2:$J$1001,0),MATCH(COLUMNS($Q$1006:Q1006),$Q$1006:$U$1006,0)), HYPERLINK("#",""), HYPERLINK(CONCATENATE("#Metadata!", ADDRESS(INDEX($L$2:$L$1001,MATCH(ROWS($J$2:J191),$J$2:$J$1001,0),0), INDEX($Q$1004:$U$1004,1,MATCH(COLUMNS($Q$1006:Q1006),$Q$1006:$U$1006,0)))),"Fix")))</f>
        <v xml:space="preserve"> </v>
      </c>
      <c r="C191" s="3" t="str">
        <f ca="1">IF(OR(INDEX($K$2:$K$1001,MATCH(ROWS($J$2:J191),$J$2:$J$1001,0),1)&gt;=100000,INDEX($Q$1005:$U$1005,1,MATCH(COLUMNS($Q$1006:R1006),$Q$1006:$U$1006,0))&gt;=100000), " ",IF(INDEX($Q$2:$U$1001,MATCH(ROWS($J$2:J191),$J$2:$J$1001,0),MATCH(COLUMNS($Q$1006:R1006),$Q$1006:$U$1006,0)), HYPERLINK("#",""), HYPERLINK(CONCATENATE("#Metadata!", ADDRESS(INDEX($L$2:$L$1001,MATCH(ROWS($J$2:J191),$J$2:$J$1001,0),0), INDEX($Q$1004:$U$1004,1,MATCH(COLUMNS($Q$1006:R1006),$Q$1006:$U$1006,0)))),"Fix")))</f>
        <v xml:space="preserve"> </v>
      </c>
      <c r="D191" s="3" t="str">
        <f ca="1">IF(OR(INDEX($K$2:$K$1001,MATCH(ROWS($J$2:J191),$J$2:$J$1001,0),1)&gt;=100000,INDEX($Q$1005:$U$1005,1,MATCH(COLUMNS($Q$1006:S1006),$Q$1006:$U$1006,0))&gt;=100000), " ",IF(INDEX($Q$2:$U$1001,MATCH(ROWS($J$2:J191),$J$2:$J$1001,0),MATCH(COLUMNS($Q$1006:S1006),$Q$1006:$U$1006,0)), HYPERLINK("#",""), HYPERLINK(CONCATENATE("#Metadata!", ADDRESS(INDEX($L$2:$L$1001,MATCH(ROWS($J$2:J191),$J$2:$J$1001,0),0), INDEX($Q$1004:$U$1004,1,MATCH(COLUMNS($Q$1006:S1006),$Q$1006:$U$1006,0)))),"Fix")))</f>
        <v xml:space="preserve"> </v>
      </c>
      <c r="E191" s="3" t="str">
        <f ca="1">IF(OR(INDEX($K$2:$K$1001,MATCH(ROWS($J$2:J191),$J$2:$J$1001,0),1)&gt;=100000,INDEX($Q$1005:$U$1005,1,MATCH(COLUMNS($Q$1006:T1006),$Q$1006:$U$1006,0))&gt;=100000), " ",IF(INDEX($Q$2:$U$1001,MATCH(ROWS($J$2:J191),$J$2:$J$1001,0),MATCH(COLUMNS($Q$1006:T1006),$Q$1006:$U$1006,0)), HYPERLINK("#",""), HYPERLINK(CONCATENATE("#Metadata!", ADDRESS(INDEX($L$2:$L$1001,MATCH(ROWS($J$2:J191),$J$2:$J$1001,0),0), INDEX($Q$1004:$U$1004,1,MATCH(COLUMNS($Q$1006:T1006),$Q$1006:$U$1006,0)))),"Fix")))</f>
        <v xml:space="preserve"> </v>
      </c>
      <c r="F191" s="3" t="str">
        <f ca="1">IF(OR(INDEX($K$2:$K$1001,MATCH(ROWS($J$2:J191),$J$2:$J$1001,0),1)&gt;=100000,INDEX($Q$1005:$U$1005,1,MATCH(COLUMNS($Q$1006:U1006),$Q$1006:$U$1006,0))&gt;=100000), " ",IF(INDEX($Q$2:$U$1001,MATCH(ROWS($J$2:J191),$J$2:$J$1001,0),MATCH(COLUMNS($Q$1006:U1006),$Q$1006:$U$1006,0)), HYPERLINK("#",""), HYPERLINK(CONCATENATE("#Metadata!", ADDRESS(INDEX($L$2:$L$1001,MATCH(ROWS($J$2:J191),$J$2:$J$1001,0),0), INDEX($Q$1004:$U$1004,1,MATCH(COLUMNS($Q$1006:U1006),$Q$1006:$U$1006,0)))),"Fix")))</f>
        <v xml:space="preserve"> </v>
      </c>
      <c r="J191">
        <f ca="1"/>
        <v>190</v>
      </c>
      <c r="K191">
        <v>100191</v>
      </c>
      <c r="L191">
        <v>191</v>
      </c>
      <c r="M191" t="b">
        <f t="shared" si="2"/>
        <v>1</v>
      </c>
      <c r="N191" t="b">
        <f>COUNTBLANK(Metadata!B191:F191)=COLUMNS(Metadata!B191:F191)</f>
        <v>1</v>
      </c>
      <c r="O191" t="str">
        <v/>
      </c>
      <c r="Q191" t="b">
        <f ca="1"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R191" t="b">
        <f>IF(Metadata!C191="",FALSE,TRUE)</f>
        <v>0</v>
      </c>
      <c r="S191" t="b">
        <f>OR(AND(IF(Metadata!D191="",FALSE,TRUE),EXACT(Metadata!D191,"missing: not collected")),AND(IF(Metadata!D191="",FALSE,TRUE),OR(EXACT(Metadata!D191,"t"),EXACT(Metadata!D191,"f"))))</f>
        <v>0</v>
      </c>
      <c r="T191" t="b">
        <f>AND(IF(Metadata!E191="",FALSE,TRUE),OR(EXACT(Metadata!E191,"a"),EXACT(Metadata!E191,"b")))</f>
        <v>0</v>
      </c>
      <c r="U191" t="b">
        <f>OR(AND(IF(Metadata!F191="",FALSE,TRUE),OR(EXACT(Metadata!F191,"missing: not collected"),EXACT(Metadata!F191,"missing: not provided"))),AND(IF(Metadata!F191="",FALSE,TRUE),OR(EXACT(Metadata!F191,"lo"),EXACT(Metadata!F191,"med"),EXACT(Metadata!F191,"hi"))))</f>
        <v>0</v>
      </c>
    </row>
    <row r="192" spans="1:21" x14ac:dyDescent="0.2">
      <c r="A192" s="4" t="str">
        <f ca="1">IF(B192=" "," ",HYPERLINK(CONCATENATE("#metadata!",ADDRESS(INDEX($L$2:$L$1001,MATCH(ROWS($J$2:J192),$J$2:$J$1001,0),0),1)),INDEX($O$2:$O$1001,MATCH(ROWS($J$2:J192),$J$2:$J$1001,0),0)))</f>
        <v xml:space="preserve"> </v>
      </c>
      <c r="B192" s="3" t="str">
        <f ca="1">IF(OR(INDEX($K$2:$K$1001,MATCH(ROWS($J$2:J192),$J$2:$J$1001,0),1)&gt;=100000,INDEX($Q$1005:$U$1005,1,MATCH(COLUMNS($Q$1006:Q1006),$Q$1006:$U$1006,0))&gt;=100000), " ",IF(INDEX($Q$2:$U$1001,MATCH(ROWS($J$2:J192),$J$2:$J$1001,0),MATCH(COLUMNS($Q$1006:Q1006),$Q$1006:$U$1006,0)), HYPERLINK("#",""), HYPERLINK(CONCATENATE("#Metadata!", ADDRESS(INDEX($L$2:$L$1001,MATCH(ROWS($J$2:J192),$J$2:$J$1001,0),0), INDEX($Q$1004:$U$1004,1,MATCH(COLUMNS($Q$1006:Q1006),$Q$1006:$U$1006,0)))),"Fix")))</f>
        <v xml:space="preserve"> </v>
      </c>
      <c r="C192" s="3" t="str">
        <f ca="1">IF(OR(INDEX($K$2:$K$1001,MATCH(ROWS($J$2:J192),$J$2:$J$1001,0),1)&gt;=100000,INDEX($Q$1005:$U$1005,1,MATCH(COLUMNS($Q$1006:R1006),$Q$1006:$U$1006,0))&gt;=100000), " ",IF(INDEX($Q$2:$U$1001,MATCH(ROWS($J$2:J192),$J$2:$J$1001,0),MATCH(COLUMNS($Q$1006:R1006),$Q$1006:$U$1006,0)), HYPERLINK("#",""), HYPERLINK(CONCATENATE("#Metadata!", ADDRESS(INDEX($L$2:$L$1001,MATCH(ROWS($J$2:J192),$J$2:$J$1001,0),0), INDEX($Q$1004:$U$1004,1,MATCH(COLUMNS($Q$1006:R1006),$Q$1006:$U$1006,0)))),"Fix")))</f>
        <v xml:space="preserve"> </v>
      </c>
      <c r="D192" s="3" t="str">
        <f ca="1">IF(OR(INDEX($K$2:$K$1001,MATCH(ROWS($J$2:J192),$J$2:$J$1001,0),1)&gt;=100000,INDEX($Q$1005:$U$1005,1,MATCH(COLUMNS($Q$1006:S1006),$Q$1006:$U$1006,0))&gt;=100000), " ",IF(INDEX($Q$2:$U$1001,MATCH(ROWS($J$2:J192),$J$2:$J$1001,0),MATCH(COLUMNS($Q$1006:S1006),$Q$1006:$U$1006,0)), HYPERLINK("#",""), HYPERLINK(CONCATENATE("#Metadata!", ADDRESS(INDEX($L$2:$L$1001,MATCH(ROWS($J$2:J192),$J$2:$J$1001,0),0), INDEX($Q$1004:$U$1004,1,MATCH(COLUMNS($Q$1006:S1006),$Q$1006:$U$1006,0)))),"Fix")))</f>
        <v xml:space="preserve"> </v>
      </c>
      <c r="E192" s="3" t="str">
        <f ca="1">IF(OR(INDEX($K$2:$K$1001,MATCH(ROWS($J$2:J192),$J$2:$J$1001,0),1)&gt;=100000,INDEX($Q$1005:$U$1005,1,MATCH(COLUMNS($Q$1006:T1006),$Q$1006:$U$1006,0))&gt;=100000), " ",IF(INDEX($Q$2:$U$1001,MATCH(ROWS($J$2:J192),$J$2:$J$1001,0),MATCH(COLUMNS($Q$1006:T1006),$Q$1006:$U$1006,0)), HYPERLINK("#",""), HYPERLINK(CONCATENATE("#Metadata!", ADDRESS(INDEX($L$2:$L$1001,MATCH(ROWS($J$2:J192),$J$2:$J$1001,0),0), INDEX($Q$1004:$U$1004,1,MATCH(COLUMNS($Q$1006:T1006),$Q$1006:$U$1006,0)))),"Fix")))</f>
        <v xml:space="preserve"> </v>
      </c>
      <c r="F192" s="3" t="str">
        <f ca="1">IF(OR(INDEX($K$2:$K$1001,MATCH(ROWS($J$2:J192),$J$2:$J$1001,0),1)&gt;=100000,INDEX($Q$1005:$U$1005,1,MATCH(COLUMNS($Q$1006:U1006),$Q$1006:$U$1006,0))&gt;=100000), " ",IF(INDEX($Q$2:$U$1001,MATCH(ROWS($J$2:J192),$J$2:$J$1001,0),MATCH(COLUMNS($Q$1006:U1006),$Q$1006:$U$1006,0)), HYPERLINK("#",""), HYPERLINK(CONCATENATE("#Metadata!", ADDRESS(INDEX($L$2:$L$1001,MATCH(ROWS($J$2:J192),$J$2:$J$1001,0),0), INDEX($Q$1004:$U$1004,1,MATCH(COLUMNS($Q$1006:U1006),$Q$1006:$U$1006,0)))),"Fix")))</f>
        <v xml:space="preserve"> </v>
      </c>
      <c r="J192">
        <f ca="1"/>
        <v>191</v>
      </c>
      <c r="K192">
        <v>100192</v>
      </c>
      <c r="L192">
        <v>192</v>
      </c>
      <c r="M192" t="b">
        <f t="shared" si="2"/>
        <v>1</v>
      </c>
      <c r="N192" t="b">
        <f>COUNTBLANK(Metadata!B192:F192)=COLUMNS(Metadata!B192:F192)</f>
        <v>1</v>
      </c>
      <c r="O192" t="str">
        <v/>
      </c>
      <c r="Q192" t="b">
        <f ca="1"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R192" t="b">
        <f>IF(Metadata!C192="",FALSE,TRUE)</f>
        <v>0</v>
      </c>
      <c r="S192" t="b">
        <f>OR(AND(IF(Metadata!D192="",FALSE,TRUE),EXACT(Metadata!D192,"missing: not collected")),AND(IF(Metadata!D192="",FALSE,TRUE),OR(EXACT(Metadata!D192,"t"),EXACT(Metadata!D192,"f"))))</f>
        <v>0</v>
      </c>
      <c r="T192" t="b">
        <f>AND(IF(Metadata!E192="",FALSE,TRUE),OR(EXACT(Metadata!E192,"a"),EXACT(Metadata!E192,"b")))</f>
        <v>0</v>
      </c>
      <c r="U192" t="b">
        <f>OR(AND(IF(Metadata!F192="",FALSE,TRUE),OR(EXACT(Metadata!F192,"missing: not collected"),EXACT(Metadata!F192,"missing: not provided"))),AND(IF(Metadata!F192="",FALSE,TRUE),OR(EXACT(Metadata!F192,"lo"),EXACT(Metadata!F192,"med"),EXACT(Metadata!F192,"hi"))))</f>
        <v>0</v>
      </c>
    </row>
    <row r="193" spans="1:21" x14ac:dyDescent="0.2">
      <c r="A193" s="4" t="str">
        <f ca="1">IF(B193=" "," ",HYPERLINK(CONCATENATE("#metadata!",ADDRESS(INDEX($L$2:$L$1001,MATCH(ROWS($J$2:J193),$J$2:$J$1001,0),0),1)),INDEX($O$2:$O$1001,MATCH(ROWS($J$2:J193),$J$2:$J$1001,0),0)))</f>
        <v xml:space="preserve"> </v>
      </c>
      <c r="B193" s="3" t="str">
        <f ca="1">IF(OR(INDEX($K$2:$K$1001,MATCH(ROWS($J$2:J193),$J$2:$J$1001,0),1)&gt;=100000,INDEX($Q$1005:$U$1005,1,MATCH(COLUMNS($Q$1006:Q1006),$Q$1006:$U$1006,0))&gt;=100000), " ",IF(INDEX($Q$2:$U$1001,MATCH(ROWS($J$2:J193),$J$2:$J$1001,0),MATCH(COLUMNS($Q$1006:Q1006),$Q$1006:$U$1006,0)), HYPERLINK("#",""), HYPERLINK(CONCATENATE("#Metadata!", ADDRESS(INDEX($L$2:$L$1001,MATCH(ROWS($J$2:J193),$J$2:$J$1001,0),0), INDEX($Q$1004:$U$1004,1,MATCH(COLUMNS($Q$1006:Q1006),$Q$1006:$U$1006,0)))),"Fix")))</f>
        <v xml:space="preserve"> </v>
      </c>
      <c r="C193" s="3" t="str">
        <f ca="1">IF(OR(INDEX($K$2:$K$1001,MATCH(ROWS($J$2:J193),$J$2:$J$1001,0),1)&gt;=100000,INDEX($Q$1005:$U$1005,1,MATCH(COLUMNS($Q$1006:R1006),$Q$1006:$U$1006,0))&gt;=100000), " ",IF(INDEX($Q$2:$U$1001,MATCH(ROWS($J$2:J193),$J$2:$J$1001,0),MATCH(COLUMNS($Q$1006:R1006),$Q$1006:$U$1006,0)), HYPERLINK("#",""), HYPERLINK(CONCATENATE("#Metadata!", ADDRESS(INDEX($L$2:$L$1001,MATCH(ROWS($J$2:J193),$J$2:$J$1001,0),0), INDEX($Q$1004:$U$1004,1,MATCH(COLUMNS($Q$1006:R1006),$Q$1006:$U$1006,0)))),"Fix")))</f>
        <v xml:space="preserve"> </v>
      </c>
      <c r="D193" s="3" t="str">
        <f ca="1">IF(OR(INDEX($K$2:$K$1001,MATCH(ROWS($J$2:J193),$J$2:$J$1001,0),1)&gt;=100000,INDEX($Q$1005:$U$1005,1,MATCH(COLUMNS($Q$1006:S1006),$Q$1006:$U$1006,0))&gt;=100000), " ",IF(INDEX($Q$2:$U$1001,MATCH(ROWS($J$2:J193),$J$2:$J$1001,0),MATCH(COLUMNS($Q$1006:S1006),$Q$1006:$U$1006,0)), HYPERLINK("#",""), HYPERLINK(CONCATENATE("#Metadata!", ADDRESS(INDEX($L$2:$L$1001,MATCH(ROWS($J$2:J193),$J$2:$J$1001,0),0), INDEX($Q$1004:$U$1004,1,MATCH(COLUMNS($Q$1006:S1006),$Q$1006:$U$1006,0)))),"Fix")))</f>
        <v xml:space="preserve"> </v>
      </c>
      <c r="E193" s="3" t="str">
        <f ca="1">IF(OR(INDEX($K$2:$K$1001,MATCH(ROWS($J$2:J193),$J$2:$J$1001,0),1)&gt;=100000,INDEX($Q$1005:$U$1005,1,MATCH(COLUMNS($Q$1006:T1006),$Q$1006:$U$1006,0))&gt;=100000), " ",IF(INDEX($Q$2:$U$1001,MATCH(ROWS($J$2:J193),$J$2:$J$1001,0),MATCH(COLUMNS($Q$1006:T1006),$Q$1006:$U$1006,0)), HYPERLINK("#",""), HYPERLINK(CONCATENATE("#Metadata!", ADDRESS(INDEX($L$2:$L$1001,MATCH(ROWS($J$2:J193),$J$2:$J$1001,0),0), INDEX($Q$1004:$U$1004,1,MATCH(COLUMNS($Q$1006:T1006),$Q$1006:$U$1006,0)))),"Fix")))</f>
        <v xml:space="preserve"> </v>
      </c>
      <c r="F193" s="3" t="str">
        <f ca="1">IF(OR(INDEX($K$2:$K$1001,MATCH(ROWS($J$2:J193),$J$2:$J$1001,0),1)&gt;=100000,INDEX($Q$1005:$U$1005,1,MATCH(COLUMNS($Q$1006:U1006),$Q$1006:$U$1006,0))&gt;=100000), " ",IF(INDEX($Q$2:$U$1001,MATCH(ROWS($J$2:J193),$J$2:$J$1001,0),MATCH(COLUMNS($Q$1006:U1006),$Q$1006:$U$1006,0)), HYPERLINK("#",""), HYPERLINK(CONCATENATE("#Metadata!", ADDRESS(INDEX($L$2:$L$1001,MATCH(ROWS($J$2:J193),$J$2:$J$1001,0),0), INDEX($Q$1004:$U$1004,1,MATCH(COLUMNS($Q$1006:U1006),$Q$1006:$U$1006,0)))),"Fix")))</f>
        <v xml:space="preserve"> </v>
      </c>
      <c r="J193">
        <f ca="1"/>
        <v>192</v>
      </c>
      <c r="K193">
        <v>100193</v>
      </c>
      <c r="L193">
        <v>193</v>
      </c>
      <c r="M193" t="b">
        <f t="shared" si="2"/>
        <v>1</v>
      </c>
      <c r="N193" t="b">
        <f>COUNTBLANK(Metadata!B193:F193)=COLUMNS(Metadata!B193:F193)</f>
        <v>1</v>
      </c>
      <c r="O193" t="str">
        <v/>
      </c>
      <c r="Q193" t="b">
        <f ca="1"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R193" t="b">
        <f>IF(Metadata!C193="",FALSE,TRUE)</f>
        <v>0</v>
      </c>
      <c r="S193" t="b">
        <f>OR(AND(IF(Metadata!D193="",FALSE,TRUE),EXACT(Metadata!D193,"missing: not collected")),AND(IF(Metadata!D193="",FALSE,TRUE),OR(EXACT(Metadata!D193,"t"),EXACT(Metadata!D193,"f"))))</f>
        <v>0</v>
      </c>
      <c r="T193" t="b">
        <f>AND(IF(Metadata!E193="",FALSE,TRUE),OR(EXACT(Metadata!E193,"a"),EXACT(Metadata!E193,"b")))</f>
        <v>0</v>
      </c>
      <c r="U193" t="b">
        <f>OR(AND(IF(Metadata!F193="",FALSE,TRUE),OR(EXACT(Metadata!F193,"missing: not collected"),EXACT(Metadata!F193,"missing: not provided"))),AND(IF(Metadata!F193="",FALSE,TRUE),OR(EXACT(Metadata!F193,"lo"),EXACT(Metadata!F193,"med"),EXACT(Metadata!F193,"hi"))))</f>
        <v>0</v>
      </c>
    </row>
    <row r="194" spans="1:21" x14ac:dyDescent="0.2">
      <c r="A194" s="4" t="str">
        <f ca="1">IF(B194=" "," ",HYPERLINK(CONCATENATE("#metadata!",ADDRESS(INDEX($L$2:$L$1001,MATCH(ROWS($J$2:J194),$J$2:$J$1001,0),0),1)),INDEX($O$2:$O$1001,MATCH(ROWS($J$2:J194),$J$2:$J$1001,0),0)))</f>
        <v xml:space="preserve"> </v>
      </c>
      <c r="B194" s="3" t="str">
        <f ca="1">IF(OR(INDEX($K$2:$K$1001,MATCH(ROWS($J$2:J194),$J$2:$J$1001,0),1)&gt;=100000,INDEX($Q$1005:$U$1005,1,MATCH(COLUMNS($Q$1006:Q1006),$Q$1006:$U$1006,0))&gt;=100000), " ",IF(INDEX($Q$2:$U$1001,MATCH(ROWS($J$2:J194),$J$2:$J$1001,0),MATCH(COLUMNS($Q$1006:Q1006),$Q$1006:$U$1006,0)), HYPERLINK("#",""), HYPERLINK(CONCATENATE("#Metadata!", ADDRESS(INDEX($L$2:$L$1001,MATCH(ROWS($J$2:J194),$J$2:$J$1001,0),0), INDEX($Q$1004:$U$1004,1,MATCH(COLUMNS($Q$1006:Q1006),$Q$1006:$U$1006,0)))),"Fix")))</f>
        <v xml:space="preserve"> </v>
      </c>
      <c r="C194" s="3" t="str">
        <f ca="1">IF(OR(INDEX($K$2:$K$1001,MATCH(ROWS($J$2:J194),$J$2:$J$1001,0),1)&gt;=100000,INDEX($Q$1005:$U$1005,1,MATCH(COLUMNS($Q$1006:R1006),$Q$1006:$U$1006,0))&gt;=100000), " ",IF(INDEX($Q$2:$U$1001,MATCH(ROWS($J$2:J194),$J$2:$J$1001,0),MATCH(COLUMNS($Q$1006:R1006),$Q$1006:$U$1006,0)), HYPERLINK("#",""), HYPERLINK(CONCATENATE("#Metadata!", ADDRESS(INDEX($L$2:$L$1001,MATCH(ROWS($J$2:J194),$J$2:$J$1001,0),0), INDEX($Q$1004:$U$1004,1,MATCH(COLUMNS($Q$1006:R1006),$Q$1006:$U$1006,0)))),"Fix")))</f>
        <v xml:space="preserve"> </v>
      </c>
      <c r="D194" s="3" t="str">
        <f ca="1">IF(OR(INDEX($K$2:$K$1001,MATCH(ROWS($J$2:J194),$J$2:$J$1001,0),1)&gt;=100000,INDEX($Q$1005:$U$1005,1,MATCH(COLUMNS($Q$1006:S1006),$Q$1006:$U$1006,0))&gt;=100000), " ",IF(INDEX($Q$2:$U$1001,MATCH(ROWS($J$2:J194),$J$2:$J$1001,0),MATCH(COLUMNS($Q$1006:S1006),$Q$1006:$U$1006,0)), HYPERLINK("#",""), HYPERLINK(CONCATENATE("#Metadata!", ADDRESS(INDEX($L$2:$L$1001,MATCH(ROWS($J$2:J194),$J$2:$J$1001,0),0), INDEX($Q$1004:$U$1004,1,MATCH(COLUMNS($Q$1006:S1006),$Q$1006:$U$1006,0)))),"Fix")))</f>
        <v xml:space="preserve"> </v>
      </c>
      <c r="E194" s="3" t="str">
        <f ca="1">IF(OR(INDEX($K$2:$K$1001,MATCH(ROWS($J$2:J194),$J$2:$J$1001,0),1)&gt;=100000,INDEX($Q$1005:$U$1005,1,MATCH(COLUMNS($Q$1006:T1006),$Q$1006:$U$1006,0))&gt;=100000), " ",IF(INDEX($Q$2:$U$1001,MATCH(ROWS($J$2:J194),$J$2:$J$1001,0),MATCH(COLUMNS($Q$1006:T1006),$Q$1006:$U$1006,0)), HYPERLINK("#",""), HYPERLINK(CONCATENATE("#Metadata!", ADDRESS(INDEX($L$2:$L$1001,MATCH(ROWS($J$2:J194),$J$2:$J$1001,0),0), INDEX($Q$1004:$U$1004,1,MATCH(COLUMNS($Q$1006:T1006),$Q$1006:$U$1006,0)))),"Fix")))</f>
        <v xml:space="preserve"> </v>
      </c>
      <c r="F194" s="3" t="str">
        <f ca="1">IF(OR(INDEX($K$2:$K$1001,MATCH(ROWS($J$2:J194),$J$2:$J$1001,0),1)&gt;=100000,INDEX($Q$1005:$U$1005,1,MATCH(COLUMNS($Q$1006:U1006),$Q$1006:$U$1006,0))&gt;=100000), " ",IF(INDEX($Q$2:$U$1001,MATCH(ROWS($J$2:J194),$J$2:$J$1001,0),MATCH(COLUMNS($Q$1006:U1006),$Q$1006:$U$1006,0)), HYPERLINK("#",""), HYPERLINK(CONCATENATE("#Metadata!", ADDRESS(INDEX($L$2:$L$1001,MATCH(ROWS($J$2:J194),$J$2:$J$1001,0),0), INDEX($Q$1004:$U$1004,1,MATCH(COLUMNS($Q$1006:U1006),$Q$1006:$U$1006,0)))),"Fix")))</f>
        <v xml:space="preserve"> </v>
      </c>
      <c r="J194">
        <f ca="1"/>
        <v>193</v>
      </c>
      <c r="K194">
        <v>100194</v>
      </c>
      <c r="L194">
        <v>194</v>
      </c>
      <c r="M194" t="b">
        <f t="shared" ref="M194:M257" si="3">IF(N194,TRUE,AND(Q194:U194))</f>
        <v>1</v>
      </c>
      <c r="N194" t="b">
        <f>COUNTBLANK(Metadata!B194:F194)=COLUMNS(Metadata!B194:F194)</f>
        <v>1</v>
      </c>
      <c r="O194" t="str">
        <v/>
      </c>
      <c r="Q194" t="b">
        <f ca="1"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R194" t="b">
        <f>IF(Metadata!C194="",FALSE,TRUE)</f>
        <v>0</v>
      </c>
      <c r="S194" t="b">
        <f>OR(AND(IF(Metadata!D194="",FALSE,TRUE),EXACT(Metadata!D194,"missing: not collected")),AND(IF(Metadata!D194="",FALSE,TRUE),OR(EXACT(Metadata!D194,"t"),EXACT(Metadata!D194,"f"))))</f>
        <v>0</v>
      </c>
      <c r="T194" t="b">
        <f>AND(IF(Metadata!E194="",FALSE,TRUE),OR(EXACT(Metadata!E194,"a"),EXACT(Metadata!E194,"b")))</f>
        <v>0</v>
      </c>
      <c r="U194" t="b">
        <f>OR(AND(IF(Metadata!F194="",FALSE,TRUE),OR(EXACT(Metadata!F194,"missing: not collected"),EXACT(Metadata!F194,"missing: not provided"))),AND(IF(Metadata!F194="",FALSE,TRUE),OR(EXACT(Metadata!F194,"lo"),EXACT(Metadata!F194,"med"),EXACT(Metadata!F194,"hi"))))</f>
        <v>0</v>
      </c>
    </row>
    <row r="195" spans="1:21" x14ac:dyDescent="0.2">
      <c r="A195" s="4" t="str">
        <f ca="1">IF(B195=" "," ",HYPERLINK(CONCATENATE("#metadata!",ADDRESS(INDEX($L$2:$L$1001,MATCH(ROWS($J$2:J195),$J$2:$J$1001,0),0),1)),INDEX($O$2:$O$1001,MATCH(ROWS($J$2:J195),$J$2:$J$1001,0),0)))</f>
        <v xml:space="preserve"> </v>
      </c>
      <c r="B195" s="3" t="str">
        <f ca="1">IF(OR(INDEX($K$2:$K$1001,MATCH(ROWS($J$2:J195),$J$2:$J$1001,0),1)&gt;=100000,INDEX($Q$1005:$U$1005,1,MATCH(COLUMNS($Q$1006:Q1006),$Q$1006:$U$1006,0))&gt;=100000), " ",IF(INDEX($Q$2:$U$1001,MATCH(ROWS($J$2:J195),$J$2:$J$1001,0),MATCH(COLUMNS($Q$1006:Q1006),$Q$1006:$U$1006,0)), HYPERLINK("#",""), HYPERLINK(CONCATENATE("#Metadata!", ADDRESS(INDEX($L$2:$L$1001,MATCH(ROWS($J$2:J195),$J$2:$J$1001,0),0), INDEX($Q$1004:$U$1004,1,MATCH(COLUMNS($Q$1006:Q1006),$Q$1006:$U$1006,0)))),"Fix")))</f>
        <v xml:space="preserve"> </v>
      </c>
      <c r="C195" s="3" t="str">
        <f ca="1">IF(OR(INDEX($K$2:$K$1001,MATCH(ROWS($J$2:J195),$J$2:$J$1001,0),1)&gt;=100000,INDEX($Q$1005:$U$1005,1,MATCH(COLUMNS($Q$1006:R1006),$Q$1006:$U$1006,0))&gt;=100000), " ",IF(INDEX($Q$2:$U$1001,MATCH(ROWS($J$2:J195),$J$2:$J$1001,0),MATCH(COLUMNS($Q$1006:R1006),$Q$1006:$U$1006,0)), HYPERLINK("#",""), HYPERLINK(CONCATENATE("#Metadata!", ADDRESS(INDEX($L$2:$L$1001,MATCH(ROWS($J$2:J195),$J$2:$J$1001,0),0), INDEX($Q$1004:$U$1004,1,MATCH(COLUMNS($Q$1006:R1006),$Q$1006:$U$1006,0)))),"Fix")))</f>
        <v xml:space="preserve"> </v>
      </c>
      <c r="D195" s="3" t="str">
        <f ca="1">IF(OR(INDEX($K$2:$K$1001,MATCH(ROWS($J$2:J195),$J$2:$J$1001,0),1)&gt;=100000,INDEX($Q$1005:$U$1005,1,MATCH(COLUMNS($Q$1006:S1006),$Q$1006:$U$1006,0))&gt;=100000), " ",IF(INDEX($Q$2:$U$1001,MATCH(ROWS($J$2:J195),$J$2:$J$1001,0),MATCH(COLUMNS($Q$1006:S1006),$Q$1006:$U$1006,0)), HYPERLINK("#",""), HYPERLINK(CONCATENATE("#Metadata!", ADDRESS(INDEX($L$2:$L$1001,MATCH(ROWS($J$2:J195),$J$2:$J$1001,0),0), INDEX($Q$1004:$U$1004,1,MATCH(COLUMNS($Q$1006:S1006),$Q$1006:$U$1006,0)))),"Fix")))</f>
        <v xml:space="preserve"> </v>
      </c>
      <c r="E195" s="3" t="str">
        <f ca="1">IF(OR(INDEX($K$2:$K$1001,MATCH(ROWS($J$2:J195),$J$2:$J$1001,0),1)&gt;=100000,INDEX($Q$1005:$U$1005,1,MATCH(COLUMNS($Q$1006:T1006),$Q$1006:$U$1006,0))&gt;=100000), " ",IF(INDEX($Q$2:$U$1001,MATCH(ROWS($J$2:J195),$J$2:$J$1001,0),MATCH(COLUMNS($Q$1006:T1006),$Q$1006:$U$1006,0)), HYPERLINK("#",""), HYPERLINK(CONCATENATE("#Metadata!", ADDRESS(INDEX($L$2:$L$1001,MATCH(ROWS($J$2:J195),$J$2:$J$1001,0),0), INDEX($Q$1004:$U$1004,1,MATCH(COLUMNS($Q$1006:T1006),$Q$1006:$U$1006,0)))),"Fix")))</f>
        <v xml:space="preserve"> </v>
      </c>
      <c r="F195" s="3" t="str">
        <f ca="1">IF(OR(INDEX($K$2:$K$1001,MATCH(ROWS($J$2:J195),$J$2:$J$1001,0),1)&gt;=100000,INDEX($Q$1005:$U$1005,1,MATCH(COLUMNS($Q$1006:U1006),$Q$1006:$U$1006,0))&gt;=100000), " ",IF(INDEX($Q$2:$U$1001,MATCH(ROWS($J$2:J195),$J$2:$J$1001,0),MATCH(COLUMNS($Q$1006:U1006),$Q$1006:$U$1006,0)), HYPERLINK("#",""), HYPERLINK(CONCATENATE("#Metadata!", ADDRESS(INDEX($L$2:$L$1001,MATCH(ROWS($J$2:J195),$J$2:$J$1001,0),0), INDEX($Q$1004:$U$1004,1,MATCH(COLUMNS($Q$1006:U1006),$Q$1006:$U$1006,0)))),"Fix")))</f>
        <v xml:space="preserve"> </v>
      </c>
      <c r="J195">
        <f ca="1"/>
        <v>194</v>
      </c>
      <c r="K195">
        <v>100195</v>
      </c>
      <c r="L195">
        <v>195</v>
      </c>
      <c r="M195" t="b">
        <f t="shared" si="3"/>
        <v>1</v>
      </c>
      <c r="N195" t="b">
        <f>COUNTBLANK(Metadata!B195:F195)=COLUMNS(Metadata!B195:F195)</f>
        <v>1</v>
      </c>
      <c r="O195" t="str">
        <v/>
      </c>
      <c r="Q195" t="b">
        <f ca="1"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R195" t="b">
        <f>IF(Metadata!C195="",FALSE,TRUE)</f>
        <v>0</v>
      </c>
      <c r="S195" t="b">
        <f>OR(AND(IF(Metadata!D195="",FALSE,TRUE),EXACT(Metadata!D195,"missing: not collected")),AND(IF(Metadata!D195="",FALSE,TRUE),OR(EXACT(Metadata!D195,"t"),EXACT(Metadata!D195,"f"))))</f>
        <v>0</v>
      </c>
      <c r="T195" t="b">
        <f>AND(IF(Metadata!E195="",FALSE,TRUE),OR(EXACT(Metadata!E195,"a"),EXACT(Metadata!E195,"b")))</f>
        <v>0</v>
      </c>
      <c r="U195" t="b">
        <f>OR(AND(IF(Metadata!F195="",FALSE,TRUE),OR(EXACT(Metadata!F195,"missing: not collected"),EXACT(Metadata!F195,"missing: not provided"))),AND(IF(Metadata!F195="",FALSE,TRUE),OR(EXACT(Metadata!F195,"lo"),EXACT(Metadata!F195,"med"),EXACT(Metadata!F195,"hi"))))</f>
        <v>0</v>
      </c>
    </row>
    <row r="196" spans="1:21" x14ac:dyDescent="0.2">
      <c r="A196" s="4" t="str">
        <f ca="1">IF(B196=" "," ",HYPERLINK(CONCATENATE("#metadata!",ADDRESS(INDEX($L$2:$L$1001,MATCH(ROWS($J$2:J196),$J$2:$J$1001,0),0),1)),INDEX($O$2:$O$1001,MATCH(ROWS($J$2:J196),$J$2:$J$1001,0),0)))</f>
        <v xml:space="preserve"> </v>
      </c>
      <c r="B196" s="3" t="str">
        <f ca="1">IF(OR(INDEX($K$2:$K$1001,MATCH(ROWS($J$2:J196),$J$2:$J$1001,0),1)&gt;=100000,INDEX($Q$1005:$U$1005,1,MATCH(COLUMNS($Q$1006:Q1006),$Q$1006:$U$1006,0))&gt;=100000), " ",IF(INDEX($Q$2:$U$1001,MATCH(ROWS($J$2:J196),$J$2:$J$1001,0),MATCH(COLUMNS($Q$1006:Q1006),$Q$1006:$U$1006,0)), HYPERLINK("#",""), HYPERLINK(CONCATENATE("#Metadata!", ADDRESS(INDEX($L$2:$L$1001,MATCH(ROWS($J$2:J196),$J$2:$J$1001,0),0), INDEX($Q$1004:$U$1004,1,MATCH(COLUMNS($Q$1006:Q1006),$Q$1006:$U$1006,0)))),"Fix")))</f>
        <v xml:space="preserve"> </v>
      </c>
      <c r="C196" s="3" t="str">
        <f ca="1">IF(OR(INDEX($K$2:$K$1001,MATCH(ROWS($J$2:J196),$J$2:$J$1001,0),1)&gt;=100000,INDEX($Q$1005:$U$1005,1,MATCH(COLUMNS($Q$1006:R1006),$Q$1006:$U$1006,0))&gt;=100000), " ",IF(INDEX($Q$2:$U$1001,MATCH(ROWS($J$2:J196),$J$2:$J$1001,0),MATCH(COLUMNS($Q$1006:R1006),$Q$1006:$U$1006,0)), HYPERLINK("#",""), HYPERLINK(CONCATENATE("#Metadata!", ADDRESS(INDEX($L$2:$L$1001,MATCH(ROWS($J$2:J196),$J$2:$J$1001,0),0), INDEX($Q$1004:$U$1004,1,MATCH(COLUMNS($Q$1006:R1006),$Q$1006:$U$1006,0)))),"Fix")))</f>
        <v xml:space="preserve"> </v>
      </c>
      <c r="D196" s="3" t="str">
        <f ca="1">IF(OR(INDEX($K$2:$K$1001,MATCH(ROWS($J$2:J196),$J$2:$J$1001,0),1)&gt;=100000,INDEX($Q$1005:$U$1005,1,MATCH(COLUMNS($Q$1006:S1006),$Q$1006:$U$1006,0))&gt;=100000), " ",IF(INDEX($Q$2:$U$1001,MATCH(ROWS($J$2:J196),$J$2:$J$1001,0),MATCH(COLUMNS($Q$1006:S1006),$Q$1006:$U$1006,0)), HYPERLINK("#",""), HYPERLINK(CONCATENATE("#Metadata!", ADDRESS(INDEX($L$2:$L$1001,MATCH(ROWS($J$2:J196),$J$2:$J$1001,0),0), INDEX($Q$1004:$U$1004,1,MATCH(COLUMNS($Q$1006:S1006),$Q$1006:$U$1006,0)))),"Fix")))</f>
        <v xml:space="preserve"> </v>
      </c>
      <c r="E196" s="3" t="str">
        <f ca="1">IF(OR(INDEX($K$2:$K$1001,MATCH(ROWS($J$2:J196),$J$2:$J$1001,0),1)&gt;=100000,INDEX($Q$1005:$U$1005,1,MATCH(COLUMNS($Q$1006:T1006),$Q$1006:$U$1006,0))&gt;=100000), " ",IF(INDEX($Q$2:$U$1001,MATCH(ROWS($J$2:J196),$J$2:$J$1001,0),MATCH(COLUMNS($Q$1006:T1006),$Q$1006:$U$1006,0)), HYPERLINK("#",""), HYPERLINK(CONCATENATE("#Metadata!", ADDRESS(INDEX($L$2:$L$1001,MATCH(ROWS($J$2:J196),$J$2:$J$1001,0),0), INDEX($Q$1004:$U$1004,1,MATCH(COLUMNS($Q$1006:T1006),$Q$1006:$U$1006,0)))),"Fix")))</f>
        <v xml:space="preserve"> </v>
      </c>
      <c r="F196" s="3" t="str">
        <f ca="1">IF(OR(INDEX($K$2:$K$1001,MATCH(ROWS($J$2:J196),$J$2:$J$1001,0),1)&gt;=100000,INDEX($Q$1005:$U$1005,1,MATCH(COLUMNS($Q$1006:U1006),$Q$1006:$U$1006,0))&gt;=100000), " ",IF(INDEX($Q$2:$U$1001,MATCH(ROWS($J$2:J196),$J$2:$J$1001,0),MATCH(COLUMNS($Q$1006:U1006),$Q$1006:$U$1006,0)), HYPERLINK("#",""), HYPERLINK(CONCATENATE("#Metadata!", ADDRESS(INDEX($L$2:$L$1001,MATCH(ROWS($J$2:J196),$J$2:$J$1001,0),0), INDEX($Q$1004:$U$1004,1,MATCH(COLUMNS($Q$1006:U1006),$Q$1006:$U$1006,0)))),"Fix")))</f>
        <v xml:space="preserve"> </v>
      </c>
      <c r="J196">
        <f ca="1"/>
        <v>195</v>
      </c>
      <c r="K196">
        <v>100196</v>
      </c>
      <c r="L196">
        <v>196</v>
      </c>
      <c r="M196" t="b">
        <f t="shared" si="3"/>
        <v>1</v>
      </c>
      <c r="N196" t="b">
        <f>COUNTBLANK(Metadata!B196:F196)=COLUMNS(Metadata!B196:F196)</f>
        <v>1</v>
      </c>
      <c r="O196" t="str">
        <v/>
      </c>
      <c r="Q196" t="b">
        <f ca="1"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R196" t="b">
        <f>IF(Metadata!C196="",FALSE,TRUE)</f>
        <v>0</v>
      </c>
      <c r="S196" t="b">
        <f>OR(AND(IF(Metadata!D196="",FALSE,TRUE),EXACT(Metadata!D196,"missing: not collected")),AND(IF(Metadata!D196="",FALSE,TRUE),OR(EXACT(Metadata!D196,"t"),EXACT(Metadata!D196,"f"))))</f>
        <v>0</v>
      </c>
      <c r="T196" t="b">
        <f>AND(IF(Metadata!E196="",FALSE,TRUE),OR(EXACT(Metadata!E196,"a"),EXACT(Metadata!E196,"b")))</f>
        <v>0</v>
      </c>
      <c r="U196" t="b">
        <f>OR(AND(IF(Metadata!F196="",FALSE,TRUE),OR(EXACT(Metadata!F196,"missing: not collected"),EXACT(Metadata!F196,"missing: not provided"))),AND(IF(Metadata!F196="",FALSE,TRUE),OR(EXACT(Metadata!F196,"lo"),EXACT(Metadata!F196,"med"),EXACT(Metadata!F196,"hi"))))</f>
        <v>0</v>
      </c>
    </row>
    <row r="197" spans="1:21" x14ac:dyDescent="0.2">
      <c r="A197" s="4" t="str">
        <f ca="1">IF(B197=" "," ",HYPERLINK(CONCATENATE("#metadata!",ADDRESS(INDEX($L$2:$L$1001,MATCH(ROWS($J$2:J197),$J$2:$J$1001,0),0),1)),INDEX($O$2:$O$1001,MATCH(ROWS($J$2:J197),$J$2:$J$1001,0),0)))</f>
        <v xml:space="preserve"> </v>
      </c>
      <c r="B197" s="3" t="str">
        <f ca="1">IF(OR(INDEX($K$2:$K$1001,MATCH(ROWS($J$2:J197),$J$2:$J$1001,0),1)&gt;=100000,INDEX($Q$1005:$U$1005,1,MATCH(COLUMNS($Q$1006:Q1006),$Q$1006:$U$1006,0))&gt;=100000), " ",IF(INDEX($Q$2:$U$1001,MATCH(ROWS($J$2:J197),$J$2:$J$1001,0),MATCH(COLUMNS($Q$1006:Q1006),$Q$1006:$U$1006,0)), HYPERLINK("#",""), HYPERLINK(CONCATENATE("#Metadata!", ADDRESS(INDEX($L$2:$L$1001,MATCH(ROWS($J$2:J197),$J$2:$J$1001,0),0), INDEX($Q$1004:$U$1004,1,MATCH(COLUMNS($Q$1006:Q1006),$Q$1006:$U$1006,0)))),"Fix")))</f>
        <v xml:space="preserve"> </v>
      </c>
      <c r="C197" s="3" t="str">
        <f ca="1">IF(OR(INDEX($K$2:$K$1001,MATCH(ROWS($J$2:J197),$J$2:$J$1001,0),1)&gt;=100000,INDEX($Q$1005:$U$1005,1,MATCH(COLUMNS($Q$1006:R1006),$Q$1006:$U$1006,0))&gt;=100000), " ",IF(INDEX($Q$2:$U$1001,MATCH(ROWS($J$2:J197),$J$2:$J$1001,0),MATCH(COLUMNS($Q$1006:R1006),$Q$1006:$U$1006,0)), HYPERLINK("#",""), HYPERLINK(CONCATENATE("#Metadata!", ADDRESS(INDEX($L$2:$L$1001,MATCH(ROWS($J$2:J197),$J$2:$J$1001,0),0), INDEX($Q$1004:$U$1004,1,MATCH(COLUMNS($Q$1006:R1006),$Q$1006:$U$1006,0)))),"Fix")))</f>
        <v xml:space="preserve"> </v>
      </c>
      <c r="D197" s="3" t="str">
        <f ca="1">IF(OR(INDEX($K$2:$K$1001,MATCH(ROWS($J$2:J197),$J$2:$J$1001,0),1)&gt;=100000,INDEX($Q$1005:$U$1005,1,MATCH(COLUMNS($Q$1006:S1006),$Q$1006:$U$1006,0))&gt;=100000), " ",IF(INDEX($Q$2:$U$1001,MATCH(ROWS($J$2:J197),$J$2:$J$1001,0),MATCH(COLUMNS($Q$1006:S1006),$Q$1006:$U$1006,0)), HYPERLINK("#",""), HYPERLINK(CONCATENATE("#Metadata!", ADDRESS(INDEX($L$2:$L$1001,MATCH(ROWS($J$2:J197),$J$2:$J$1001,0),0), INDEX($Q$1004:$U$1004,1,MATCH(COLUMNS($Q$1006:S1006),$Q$1006:$U$1006,0)))),"Fix")))</f>
        <v xml:space="preserve"> </v>
      </c>
      <c r="E197" s="3" t="str">
        <f ca="1">IF(OR(INDEX($K$2:$K$1001,MATCH(ROWS($J$2:J197),$J$2:$J$1001,0),1)&gt;=100000,INDEX($Q$1005:$U$1005,1,MATCH(COLUMNS($Q$1006:T1006),$Q$1006:$U$1006,0))&gt;=100000), " ",IF(INDEX($Q$2:$U$1001,MATCH(ROWS($J$2:J197),$J$2:$J$1001,0),MATCH(COLUMNS($Q$1006:T1006),$Q$1006:$U$1006,0)), HYPERLINK("#",""), HYPERLINK(CONCATENATE("#Metadata!", ADDRESS(INDEX($L$2:$L$1001,MATCH(ROWS($J$2:J197),$J$2:$J$1001,0),0), INDEX($Q$1004:$U$1004,1,MATCH(COLUMNS($Q$1006:T1006),$Q$1006:$U$1006,0)))),"Fix")))</f>
        <v xml:space="preserve"> </v>
      </c>
      <c r="F197" s="3" t="str">
        <f ca="1">IF(OR(INDEX($K$2:$K$1001,MATCH(ROWS($J$2:J197),$J$2:$J$1001,0),1)&gt;=100000,INDEX($Q$1005:$U$1005,1,MATCH(COLUMNS($Q$1006:U1006),$Q$1006:$U$1006,0))&gt;=100000), " ",IF(INDEX($Q$2:$U$1001,MATCH(ROWS($J$2:J197),$J$2:$J$1001,0),MATCH(COLUMNS($Q$1006:U1006),$Q$1006:$U$1006,0)), HYPERLINK("#",""), HYPERLINK(CONCATENATE("#Metadata!", ADDRESS(INDEX($L$2:$L$1001,MATCH(ROWS($J$2:J197),$J$2:$J$1001,0),0), INDEX($Q$1004:$U$1004,1,MATCH(COLUMNS($Q$1006:U1006),$Q$1006:$U$1006,0)))),"Fix")))</f>
        <v xml:space="preserve"> </v>
      </c>
      <c r="J197">
        <f ca="1"/>
        <v>196</v>
      </c>
      <c r="K197">
        <v>100197</v>
      </c>
      <c r="L197">
        <v>197</v>
      </c>
      <c r="M197" t="b">
        <f t="shared" si="3"/>
        <v>1</v>
      </c>
      <c r="N197" t="b">
        <f>COUNTBLANK(Metadata!B197:F197)=COLUMNS(Metadata!B197:F197)</f>
        <v>1</v>
      </c>
      <c r="O197" t="str">
        <v/>
      </c>
      <c r="Q197" t="b">
        <f ca="1"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R197" t="b">
        <f>IF(Metadata!C197="",FALSE,TRUE)</f>
        <v>0</v>
      </c>
      <c r="S197" t="b">
        <f>OR(AND(IF(Metadata!D197="",FALSE,TRUE),EXACT(Metadata!D197,"missing: not collected")),AND(IF(Metadata!D197="",FALSE,TRUE),OR(EXACT(Metadata!D197,"t"),EXACT(Metadata!D197,"f"))))</f>
        <v>0</v>
      </c>
      <c r="T197" t="b">
        <f>AND(IF(Metadata!E197="",FALSE,TRUE),OR(EXACT(Metadata!E197,"a"),EXACT(Metadata!E197,"b")))</f>
        <v>0</v>
      </c>
      <c r="U197" t="b">
        <f>OR(AND(IF(Metadata!F197="",FALSE,TRUE),OR(EXACT(Metadata!F197,"missing: not collected"),EXACT(Metadata!F197,"missing: not provided"))),AND(IF(Metadata!F197="",FALSE,TRUE),OR(EXACT(Metadata!F197,"lo"),EXACT(Metadata!F197,"med"),EXACT(Metadata!F197,"hi"))))</f>
        <v>0</v>
      </c>
    </row>
    <row r="198" spans="1:21" x14ac:dyDescent="0.2">
      <c r="A198" s="4" t="str">
        <f ca="1">IF(B198=" "," ",HYPERLINK(CONCATENATE("#metadata!",ADDRESS(INDEX($L$2:$L$1001,MATCH(ROWS($J$2:J198),$J$2:$J$1001,0),0),1)),INDEX($O$2:$O$1001,MATCH(ROWS($J$2:J198),$J$2:$J$1001,0),0)))</f>
        <v xml:space="preserve"> </v>
      </c>
      <c r="B198" s="3" t="str">
        <f ca="1">IF(OR(INDEX($K$2:$K$1001,MATCH(ROWS($J$2:J198),$J$2:$J$1001,0),1)&gt;=100000,INDEX($Q$1005:$U$1005,1,MATCH(COLUMNS($Q$1006:Q1006),$Q$1006:$U$1006,0))&gt;=100000), " ",IF(INDEX($Q$2:$U$1001,MATCH(ROWS($J$2:J198),$J$2:$J$1001,0),MATCH(COLUMNS($Q$1006:Q1006),$Q$1006:$U$1006,0)), HYPERLINK("#",""), HYPERLINK(CONCATENATE("#Metadata!", ADDRESS(INDEX($L$2:$L$1001,MATCH(ROWS($J$2:J198),$J$2:$J$1001,0),0), INDEX($Q$1004:$U$1004,1,MATCH(COLUMNS($Q$1006:Q1006),$Q$1006:$U$1006,0)))),"Fix")))</f>
        <v xml:space="preserve"> </v>
      </c>
      <c r="C198" s="3" t="str">
        <f ca="1">IF(OR(INDEX($K$2:$K$1001,MATCH(ROWS($J$2:J198),$J$2:$J$1001,0),1)&gt;=100000,INDEX($Q$1005:$U$1005,1,MATCH(COLUMNS($Q$1006:R1006),$Q$1006:$U$1006,0))&gt;=100000), " ",IF(INDEX($Q$2:$U$1001,MATCH(ROWS($J$2:J198),$J$2:$J$1001,0),MATCH(COLUMNS($Q$1006:R1006),$Q$1006:$U$1006,0)), HYPERLINK("#",""), HYPERLINK(CONCATENATE("#Metadata!", ADDRESS(INDEX($L$2:$L$1001,MATCH(ROWS($J$2:J198),$J$2:$J$1001,0),0), INDEX($Q$1004:$U$1004,1,MATCH(COLUMNS($Q$1006:R1006),$Q$1006:$U$1006,0)))),"Fix")))</f>
        <v xml:space="preserve"> </v>
      </c>
      <c r="D198" s="3" t="str">
        <f ca="1">IF(OR(INDEX($K$2:$K$1001,MATCH(ROWS($J$2:J198),$J$2:$J$1001,0),1)&gt;=100000,INDEX($Q$1005:$U$1005,1,MATCH(COLUMNS($Q$1006:S1006),$Q$1006:$U$1006,0))&gt;=100000), " ",IF(INDEX($Q$2:$U$1001,MATCH(ROWS($J$2:J198),$J$2:$J$1001,0),MATCH(COLUMNS($Q$1006:S1006),$Q$1006:$U$1006,0)), HYPERLINK("#",""), HYPERLINK(CONCATENATE("#Metadata!", ADDRESS(INDEX($L$2:$L$1001,MATCH(ROWS($J$2:J198),$J$2:$J$1001,0),0), INDEX($Q$1004:$U$1004,1,MATCH(COLUMNS($Q$1006:S1006),$Q$1006:$U$1006,0)))),"Fix")))</f>
        <v xml:space="preserve"> </v>
      </c>
      <c r="E198" s="3" t="str">
        <f ca="1">IF(OR(INDEX($K$2:$K$1001,MATCH(ROWS($J$2:J198),$J$2:$J$1001,0),1)&gt;=100000,INDEX($Q$1005:$U$1005,1,MATCH(COLUMNS($Q$1006:T1006),$Q$1006:$U$1006,0))&gt;=100000), " ",IF(INDEX($Q$2:$U$1001,MATCH(ROWS($J$2:J198),$J$2:$J$1001,0),MATCH(COLUMNS($Q$1006:T1006),$Q$1006:$U$1006,0)), HYPERLINK("#",""), HYPERLINK(CONCATENATE("#Metadata!", ADDRESS(INDEX($L$2:$L$1001,MATCH(ROWS($J$2:J198),$J$2:$J$1001,0),0), INDEX($Q$1004:$U$1004,1,MATCH(COLUMNS($Q$1006:T1006),$Q$1006:$U$1006,0)))),"Fix")))</f>
        <v xml:space="preserve"> </v>
      </c>
      <c r="F198" s="3" t="str">
        <f ca="1">IF(OR(INDEX($K$2:$K$1001,MATCH(ROWS($J$2:J198),$J$2:$J$1001,0),1)&gt;=100000,INDEX($Q$1005:$U$1005,1,MATCH(COLUMNS($Q$1006:U1006),$Q$1006:$U$1006,0))&gt;=100000), " ",IF(INDEX($Q$2:$U$1001,MATCH(ROWS($J$2:J198),$J$2:$J$1001,0),MATCH(COLUMNS($Q$1006:U1006),$Q$1006:$U$1006,0)), HYPERLINK("#",""), HYPERLINK(CONCATENATE("#Metadata!", ADDRESS(INDEX($L$2:$L$1001,MATCH(ROWS($J$2:J198),$J$2:$J$1001,0),0), INDEX($Q$1004:$U$1004,1,MATCH(COLUMNS($Q$1006:U1006),$Q$1006:$U$1006,0)))),"Fix")))</f>
        <v xml:space="preserve"> </v>
      </c>
      <c r="J198">
        <f ca="1"/>
        <v>197</v>
      </c>
      <c r="K198">
        <v>100198</v>
      </c>
      <c r="L198">
        <v>198</v>
      </c>
      <c r="M198" t="b">
        <f t="shared" si="3"/>
        <v>1</v>
      </c>
      <c r="N198" t="b">
        <f>COUNTBLANK(Metadata!B198:F198)=COLUMNS(Metadata!B198:F198)</f>
        <v>1</v>
      </c>
      <c r="O198" t="str">
        <v/>
      </c>
      <c r="Q198" t="b">
        <f ca="1"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R198" t="b">
        <f>IF(Metadata!C198="",FALSE,TRUE)</f>
        <v>0</v>
      </c>
      <c r="S198" t="b">
        <f>OR(AND(IF(Metadata!D198="",FALSE,TRUE),EXACT(Metadata!D198,"missing: not collected")),AND(IF(Metadata!D198="",FALSE,TRUE),OR(EXACT(Metadata!D198,"t"),EXACT(Metadata!D198,"f"))))</f>
        <v>0</v>
      </c>
      <c r="T198" t="b">
        <f>AND(IF(Metadata!E198="",FALSE,TRUE),OR(EXACT(Metadata!E198,"a"),EXACT(Metadata!E198,"b")))</f>
        <v>0</v>
      </c>
      <c r="U198" t="b">
        <f>OR(AND(IF(Metadata!F198="",FALSE,TRUE),OR(EXACT(Metadata!F198,"missing: not collected"),EXACT(Metadata!F198,"missing: not provided"))),AND(IF(Metadata!F198="",FALSE,TRUE),OR(EXACT(Metadata!F198,"lo"),EXACT(Metadata!F198,"med"),EXACT(Metadata!F198,"hi"))))</f>
        <v>0</v>
      </c>
    </row>
    <row r="199" spans="1:21" x14ac:dyDescent="0.2">
      <c r="A199" s="4" t="str">
        <f ca="1">IF(B199=" "," ",HYPERLINK(CONCATENATE("#metadata!",ADDRESS(INDEX($L$2:$L$1001,MATCH(ROWS($J$2:J199),$J$2:$J$1001,0),0),1)),INDEX($O$2:$O$1001,MATCH(ROWS($J$2:J199),$J$2:$J$1001,0),0)))</f>
        <v xml:space="preserve"> </v>
      </c>
      <c r="B199" s="3" t="str">
        <f ca="1">IF(OR(INDEX($K$2:$K$1001,MATCH(ROWS($J$2:J199),$J$2:$J$1001,0),1)&gt;=100000,INDEX($Q$1005:$U$1005,1,MATCH(COLUMNS($Q$1006:Q1006),$Q$1006:$U$1006,0))&gt;=100000), " ",IF(INDEX($Q$2:$U$1001,MATCH(ROWS($J$2:J199),$J$2:$J$1001,0),MATCH(COLUMNS($Q$1006:Q1006),$Q$1006:$U$1006,0)), HYPERLINK("#",""), HYPERLINK(CONCATENATE("#Metadata!", ADDRESS(INDEX($L$2:$L$1001,MATCH(ROWS($J$2:J199),$J$2:$J$1001,0),0), INDEX($Q$1004:$U$1004,1,MATCH(COLUMNS($Q$1006:Q1006),$Q$1006:$U$1006,0)))),"Fix")))</f>
        <v xml:space="preserve"> </v>
      </c>
      <c r="C199" s="3" t="str">
        <f ca="1">IF(OR(INDEX($K$2:$K$1001,MATCH(ROWS($J$2:J199),$J$2:$J$1001,0),1)&gt;=100000,INDEX($Q$1005:$U$1005,1,MATCH(COLUMNS($Q$1006:R1006),$Q$1006:$U$1006,0))&gt;=100000), " ",IF(INDEX($Q$2:$U$1001,MATCH(ROWS($J$2:J199),$J$2:$J$1001,0),MATCH(COLUMNS($Q$1006:R1006),$Q$1006:$U$1006,0)), HYPERLINK("#",""), HYPERLINK(CONCATENATE("#Metadata!", ADDRESS(INDEX($L$2:$L$1001,MATCH(ROWS($J$2:J199),$J$2:$J$1001,0),0), INDEX($Q$1004:$U$1004,1,MATCH(COLUMNS($Q$1006:R1006),$Q$1006:$U$1006,0)))),"Fix")))</f>
        <v xml:space="preserve"> </v>
      </c>
      <c r="D199" s="3" t="str">
        <f ca="1">IF(OR(INDEX($K$2:$K$1001,MATCH(ROWS($J$2:J199),$J$2:$J$1001,0),1)&gt;=100000,INDEX($Q$1005:$U$1005,1,MATCH(COLUMNS($Q$1006:S1006),$Q$1006:$U$1006,0))&gt;=100000), " ",IF(INDEX($Q$2:$U$1001,MATCH(ROWS($J$2:J199),$J$2:$J$1001,0),MATCH(COLUMNS($Q$1006:S1006),$Q$1006:$U$1006,0)), HYPERLINK("#",""), HYPERLINK(CONCATENATE("#Metadata!", ADDRESS(INDEX($L$2:$L$1001,MATCH(ROWS($J$2:J199),$J$2:$J$1001,0),0), INDEX($Q$1004:$U$1004,1,MATCH(COLUMNS($Q$1006:S1006),$Q$1006:$U$1006,0)))),"Fix")))</f>
        <v xml:space="preserve"> </v>
      </c>
      <c r="E199" s="3" t="str">
        <f ca="1">IF(OR(INDEX($K$2:$K$1001,MATCH(ROWS($J$2:J199),$J$2:$J$1001,0),1)&gt;=100000,INDEX($Q$1005:$U$1005,1,MATCH(COLUMNS($Q$1006:T1006),$Q$1006:$U$1006,0))&gt;=100000), " ",IF(INDEX($Q$2:$U$1001,MATCH(ROWS($J$2:J199),$J$2:$J$1001,0),MATCH(COLUMNS($Q$1006:T1006),$Q$1006:$U$1006,0)), HYPERLINK("#",""), HYPERLINK(CONCATENATE("#Metadata!", ADDRESS(INDEX($L$2:$L$1001,MATCH(ROWS($J$2:J199),$J$2:$J$1001,0),0), INDEX($Q$1004:$U$1004,1,MATCH(COLUMNS($Q$1006:T1006),$Q$1006:$U$1006,0)))),"Fix")))</f>
        <v xml:space="preserve"> </v>
      </c>
      <c r="F199" s="3" t="str">
        <f ca="1">IF(OR(INDEX($K$2:$K$1001,MATCH(ROWS($J$2:J199),$J$2:$J$1001,0),1)&gt;=100000,INDEX($Q$1005:$U$1005,1,MATCH(COLUMNS($Q$1006:U1006),$Q$1006:$U$1006,0))&gt;=100000), " ",IF(INDEX($Q$2:$U$1001,MATCH(ROWS($J$2:J199),$J$2:$J$1001,0),MATCH(COLUMNS($Q$1006:U1006),$Q$1006:$U$1006,0)), HYPERLINK("#",""), HYPERLINK(CONCATENATE("#Metadata!", ADDRESS(INDEX($L$2:$L$1001,MATCH(ROWS($J$2:J199),$J$2:$J$1001,0),0), INDEX($Q$1004:$U$1004,1,MATCH(COLUMNS($Q$1006:U1006),$Q$1006:$U$1006,0)))),"Fix")))</f>
        <v xml:space="preserve"> </v>
      </c>
      <c r="J199">
        <f ca="1"/>
        <v>198</v>
      </c>
      <c r="K199">
        <v>100199</v>
      </c>
      <c r="L199">
        <v>199</v>
      </c>
      <c r="M199" t="b">
        <f t="shared" si="3"/>
        <v>1</v>
      </c>
      <c r="N199" t="b">
        <f>COUNTBLANK(Metadata!B199:F199)=COLUMNS(Metadata!B199:F199)</f>
        <v>1</v>
      </c>
      <c r="O199" t="str">
        <v/>
      </c>
      <c r="Q199" t="b">
        <f ca="1"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R199" t="b">
        <f>IF(Metadata!C199="",FALSE,TRUE)</f>
        <v>0</v>
      </c>
      <c r="S199" t="b">
        <f>OR(AND(IF(Metadata!D199="",FALSE,TRUE),EXACT(Metadata!D199,"missing: not collected")),AND(IF(Metadata!D199="",FALSE,TRUE),OR(EXACT(Metadata!D199,"t"),EXACT(Metadata!D199,"f"))))</f>
        <v>0</v>
      </c>
      <c r="T199" t="b">
        <f>AND(IF(Metadata!E199="",FALSE,TRUE),OR(EXACT(Metadata!E199,"a"),EXACT(Metadata!E199,"b")))</f>
        <v>0</v>
      </c>
      <c r="U199" t="b">
        <f>OR(AND(IF(Metadata!F199="",FALSE,TRUE),OR(EXACT(Metadata!F199,"missing: not collected"),EXACT(Metadata!F199,"missing: not provided"))),AND(IF(Metadata!F199="",FALSE,TRUE),OR(EXACT(Metadata!F199,"lo"),EXACT(Metadata!F199,"med"),EXACT(Metadata!F199,"hi"))))</f>
        <v>0</v>
      </c>
    </row>
    <row r="200" spans="1:21" x14ac:dyDescent="0.2">
      <c r="A200" s="4" t="str">
        <f ca="1">IF(B200=" "," ",HYPERLINK(CONCATENATE("#metadata!",ADDRESS(INDEX($L$2:$L$1001,MATCH(ROWS($J$2:J200),$J$2:$J$1001,0),0),1)),INDEX($O$2:$O$1001,MATCH(ROWS($J$2:J200),$J$2:$J$1001,0),0)))</f>
        <v xml:space="preserve"> </v>
      </c>
      <c r="B200" s="3" t="str">
        <f ca="1">IF(OR(INDEX($K$2:$K$1001,MATCH(ROWS($J$2:J200),$J$2:$J$1001,0),1)&gt;=100000,INDEX($Q$1005:$U$1005,1,MATCH(COLUMNS($Q$1006:Q1006),$Q$1006:$U$1006,0))&gt;=100000), " ",IF(INDEX($Q$2:$U$1001,MATCH(ROWS($J$2:J200),$J$2:$J$1001,0),MATCH(COLUMNS($Q$1006:Q1006),$Q$1006:$U$1006,0)), HYPERLINK("#",""), HYPERLINK(CONCATENATE("#Metadata!", ADDRESS(INDEX($L$2:$L$1001,MATCH(ROWS($J$2:J200),$J$2:$J$1001,0),0), INDEX($Q$1004:$U$1004,1,MATCH(COLUMNS($Q$1006:Q1006),$Q$1006:$U$1006,0)))),"Fix")))</f>
        <v xml:space="preserve"> </v>
      </c>
      <c r="C200" s="3" t="str">
        <f ca="1">IF(OR(INDEX($K$2:$K$1001,MATCH(ROWS($J$2:J200),$J$2:$J$1001,0),1)&gt;=100000,INDEX($Q$1005:$U$1005,1,MATCH(COLUMNS($Q$1006:R1006),$Q$1006:$U$1006,0))&gt;=100000), " ",IF(INDEX($Q$2:$U$1001,MATCH(ROWS($J$2:J200),$J$2:$J$1001,0),MATCH(COLUMNS($Q$1006:R1006),$Q$1006:$U$1006,0)), HYPERLINK("#",""), HYPERLINK(CONCATENATE("#Metadata!", ADDRESS(INDEX($L$2:$L$1001,MATCH(ROWS($J$2:J200),$J$2:$J$1001,0),0), INDEX($Q$1004:$U$1004,1,MATCH(COLUMNS($Q$1006:R1006),$Q$1006:$U$1006,0)))),"Fix")))</f>
        <v xml:space="preserve"> </v>
      </c>
      <c r="D200" s="3" t="str">
        <f ca="1">IF(OR(INDEX($K$2:$K$1001,MATCH(ROWS($J$2:J200),$J$2:$J$1001,0),1)&gt;=100000,INDEX($Q$1005:$U$1005,1,MATCH(COLUMNS($Q$1006:S1006),$Q$1006:$U$1006,0))&gt;=100000), " ",IF(INDEX($Q$2:$U$1001,MATCH(ROWS($J$2:J200),$J$2:$J$1001,0),MATCH(COLUMNS($Q$1006:S1006),$Q$1006:$U$1006,0)), HYPERLINK("#",""), HYPERLINK(CONCATENATE("#Metadata!", ADDRESS(INDEX($L$2:$L$1001,MATCH(ROWS($J$2:J200),$J$2:$J$1001,0),0), INDEX($Q$1004:$U$1004,1,MATCH(COLUMNS($Q$1006:S1006),$Q$1006:$U$1006,0)))),"Fix")))</f>
        <v xml:space="preserve"> </v>
      </c>
      <c r="E200" s="3" t="str">
        <f ca="1">IF(OR(INDEX($K$2:$K$1001,MATCH(ROWS($J$2:J200),$J$2:$J$1001,0),1)&gt;=100000,INDEX($Q$1005:$U$1005,1,MATCH(COLUMNS($Q$1006:T1006),$Q$1006:$U$1006,0))&gt;=100000), " ",IF(INDEX($Q$2:$U$1001,MATCH(ROWS($J$2:J200),$J$2:$J$1001,0),MATCH(COLUMNS($Q$1006:T1006),$Q$1006:$U$1006,0)), HYPERLINK("#",""), HYPERLINK(CONCATENATE("#Metadata!", ADDRESS(INDEX($L$2:$L$1001,MATCH(ROWS($J$2:J200),$J$2:$J$1001,0),0), INDEX($Q$1004:$U$1004,1,MATCH(COLUMNS($Q$1006:T1006),$Q$1006:$U$1006,0)))),"Fix")))</f>
        <v xml:space="preserve"> </v>
      </c>
      <c r="F200" s="3" t="str">
        <f ca="1">IF(OR(INDEX($K$2:$K$1001,MATCH(ROWS($J$2:J200),$J$2:$J$1001,0),1)&gt;=100000,INDEX($Q$1005:$U$1005,1,MATCH(COLUMNS($Q$1006:U1006),$Q$1006:$U$1006,0))&gt;=100000), " ",IF(INDEX($Q$2:$U$1001,MATCH(ROWS($J$2:J200),$J$2:$J$1001,0),MATCH(COLUMNS($Q$1006:U1006),$Q$1006:$U$1006,0)), HYPERLINK("#",""), HYPERLINK(CONCATENATE("#Metadata!", ADDRESS(INDEX($L$2:$L$1001,MATCH(ROWS($J$2:J200),$J$2:$J$1001,0),0), INDEX($Q$1004:$U$1004,1,MATCH(COLUMNS($Q$1006:U1006),$Q$1006:$U$1006,0)))),"Fix")))</f>
        <v xml:space="preserve"> </v>
      </c>
      <c r="J200">
        <f ca="1"/>
        <v>199</v>
      </c>
      <c r="K200">
        <v>100200</v>
      </c>
      <c r="L200">
        <v>200</v>
      </c>
      <c r="M200" t="b">
        <f t="shared" si="3"/>
        <v>1</v>
      </c>
      <c r="N200" t="b">
        <f>COUNTBLANK(Metadata!B200:F200)=COLUMNS(Metadata!B200:F200)</f>
        <v>1</v>
      </c>
      <c r="O200" t="str">
        <v/>
      </c>
      <c r="Q200" t="b">
        <f ca="1"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R200" t="b">
        <f>IF(Metadata!C200="",FALSE,TRUE)</f>
        <v>0</v>
      </c>
      <c r="S200" t="b">
        <f>OR(AND(IF(Metadata!D200="",FALSE,TRUE),EXACT(Metadata!D200,"missing: not collected")),AND(IF(Metadata!D200="",FALSE,TRUE),OR(EXACT(Metadata!D200,"t"),EXACT(Metadata!D200,"f"))))</f>
        <v>0</v>
      </c>
      <c r="T200" t="b">
        <f>AND(IF(Metadata!E200="",FALSE,TRUE),OR(EXACT(Metadata!E200,"a"),EXACT(Metadata!E200,"b")))</f>
        <v>0</v>
      </c>
      <c r="U200" t="b">
        <f>OR(AND(IF(Metadata!F200="",FALSE,TRUE),OR(EXACT(Metadata!F200,"missing: not collected"),EXACT(Metadata!F200,"missing: not provided"))),AND(IF(Metadata!F200="",FALSE,TRUE),OR(EXACT(Metadata!F200,"lo"),EXACT(Metadata!F200,"med"),EXACT(Metadata!F200,"hi"))))</f>
        <v>0</v>
      </c>
    </row>
    <row r="201" spans="1:21" x14ac:dyDescent="0.2">
      <c r="A201" s="4" t="str">
        <f ca="1">IF(B201=" "," ",HYPERLINK(CONCATENATE("#metadata!",ADDRESS(INDEX($L$2:$L$1001,MATCH(ROWS($J$2:J201),$J$2:$J$1001,0),0),1)),INDEX($O$2:$O$1001,MATCH(ROWS($J$2:J201),$J$2:$J$1001,0),0)))</f>
        <v xml:space="preserve"> </v>
      </c>
      <c r="B201" s="3" t="str">
        <f ca="1">IF(OR(INDEX($K$2:$K$1001,MATCH(ROWS($J$2:J201),$J$2:$J$1001,0),1)&gt;=100000,INDEX($Q$1005:$U$1005,1,MATCH(COLUMNS($Q$1006:Q1006),$Q$1006:$U$1006,0))&gt;=100000), " ",IF(INDEX($Q$2:$U$1001,MATCH(ROWS($J$2:J201),$J$2:$J$1001,0),MATCH(COLUMNS($Q$1006:Q1006),$Q$1006:$U$1006,0)), HYPERLINK("#",""), HYPERLINK(CONCATENATE("#Metadata!", ADDRESS(INDEX($L$2:$L$1001,MATCH(ROWS($J$2:J201),$J$2:$J$1001,0),0), INDEX($Q$1004:$U$1004,1,MATCH(COLUMNS($Q$1006:Q1006),$Q$1006:$U$1006,0)))),"Fix")))</f>
        <v xml:space="preserve"> </v>
      </c>
      <c r="C201" s="3" t="str">
        <f ca="1">IF(OR(INDEX($K$2:$K$1001,MATCH(ROWS($J$2:J201),$J$2:$J$1001,0),1)&gt;=100000,INDEX($Q$1005:$U$1005,1,MATCH(COLUMNS($Q$1006:R1006),$Q$1006:$U$1006,0))&gt;=100000), " ",IF(INDEX($Q$2:$U$1001,MATCH(ROWS($J$2:J201),$J$2:$J$1001,0),MATCH(COLUMNS($Q$1006:R1006),$Q$1006:$U$1006,0)), HYPERLINK("#",""), HYPERLINK(CONCATENATE("#Metadata!", ADDRESS(INDEX($L$2:$L$1001,MATCH(ROWS($J$2:J201),$J$2:$J$1001,0),0), INDEX($Q$1004:$U$1004,1,MATCH(COLUMNS($Q$1006:R1006),$Q$1006:$U$1006,0)))),"Fix")))</f>
        <v xml:space="preserve"> </v>
      </c>
      <c r="D201" s="3" t="str">
        <f ca="1">IF(OR(INDEX($K$2:$K$1001,MATCH(ROWS($J$2:J201),$J$2:$J$1001,0),1)&gt;=100000,INDEX($Q$1005:$U$1005,1,MATCH(COLUMNS($Q$1006:S1006),$Q$1006:$U$1006,0))&gt;=100000), " ",IF(INDEX($Q$2:$U$1001,MATCH(ROWS($J$2:J201),$J$2:$J$1001,0),MATCH(COLUMNS($Q$1006:S1006),$Q$1006:$U$1006,0)), HYPERLINK("#",""), HYPERLINK(CONCATENATE("#Metadata!", ADDRESS(INDEX($L$2:$L$1001,MATCH(ROWS($J$2:J201),$J$2:$J$1001,0),0), INDEX($Q$1004:$U$1004,1,MATCH(COLUMNS($Q$1006:S1006),$Q$1006:$U$1006,0)))),"Fix")))</f>
        <v xml:space="preserve"> </v>
      </c>
      <c r="E201" s="3" t="str">
        <f ca="1">IF(OR(INDEX($K$2:$K$1001,MATCH(ROWS($J$2:J201),$J$2:$J$1001,0),1)&gt;=100000,INDEX($Q$1005:$U$1005,1,MATCH(COLUMNS($Q$1006:T1006),$Q$1006:$U$1006,0))&gt;=100000), " ",IF(INDEX($Q$2:$U$1001,MATCH(ROWS($J$2:J201),$J$2:$J$1001,0),MATCH(COLUMNS($Q$1006:T1006),$Q$1006:$U$1006,0)), HYPERLINK("#",""), HYPERLINK(CONCATENATE("#Metadata!", ADDRESS(INDEX($L$2:$L$1001,MATCH(ROWS($J$2:J201),$J$2:$J$1001,0),0), INDEX($Q$1004:$U$1004,1,MATCH(COLUMNS($Q$1006:T1006),$Q$1006:$U$1006,0)))),"Fix")))</f>
        <v xml:space="preserve"> </v>
      </c>
      <c r="F201" s="3" t="str">
        <f ca="1">IF(OR(INDEX($K$2:$K$1001,MATCH(ROWS($J$2:J201),$J$2:$J$1001,0),1)&gt;=100000,INDEX($Q$1005:$U$1005,1,MATCH(COLUMNS($Q$1006:U1006),$Q$1006:$U$1006,0))&gt;=100000), " ",IF(INDEX($Q$2:$U$1001,MATCH(ROWS($J$2:J201),$J$2:$J$1001,0),MATCH(COLUMNS($Q$1006:U1006),$Q$1006:$U$1006,0)), HYPERLINK("#",""), HYPERLINK(CONCATENATE("#Metadata!", ADDRESS(INDEX($L$2:$L$1001,MATCH(ROWS($J$2:J201),$J$2:$J$1001,0),0), INDEX($Q$1004:$U$1004,1,MATCH(COLUMNS($Q$1006:U1006),$Q$1006:$U$1006,0)))),"Fix")))</f>
        <v xml:space="preserve"> </v>
      </c>
      <c r="J201">
        <f ca="1"/>
        <v>200</v>
      </c>
      <c r="K201">
        <v>100201</v>
      </c>
      <c r="L201">
        <v>201</v>
      </c>
      <c r="M201" t="b">
        <f t="shared" si="3"/>
        <v>1</v>
      </c>
      <c r="N201" t="b">
        <f>COUNTBLANK(Metadata!B201:F201)=COLUMNS(Metadata!B201:F201)</f>
        <v>1</v>
      </c>
      <c r="O201" t="str">
        <v/>
      </c>
      <c r="Q201" t="b">
        <f ca="1"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R201" t="b">
        <f>IF(Metadata!C201="",FALSE,TRUE)</f>
        <v>0</v>
      </c>
      <c r="S201" t="b">
        <f>OR(AND(IF(Metadata!D201="",FALSE,TRUE),EXACT(Metadata!D201,"missing: not collected")),AND(IF(Metadata!D201="",FALSE,TRUE),OR(EXACT(Metadata!D201,"t"),EXACT(Metadata!D201,"f"))))</f>
        <v>0</v>
      </c>
      <c r="T201" t="b">
        <f>AND(IF(Metadata!E201="",FALSE,TRUE),OR(EXACT(Metadata!E201,"a"),EXACT(Metadata!E201,"b")))</f>
        <v>0</v>
      </c>
      <c r="U201" t="b">
        <f>OR(AND(IF(Metadata!F201="",FALSE,TRUE),OR(EXACT(Metadata!F201,"missing: not collected"),EXACT(Metadata!F201,"missing: not provided"))),AND(IF(Metadata!F201="",FALSE,TRUE),OR(EXACT(Metadata!F201,"lo"),EXACT(Metadata!F201,"med"),EXACT(Metadata!F201,"hi"))))</f>
        <v>0</v>
      </c>
    </row>
    <row r="202" spans="1:21" x14ac:dyDescent="0.2">
      <c r="A202" s="4" t="str">
        <f ca="1">IF(B202=" "," ",HYPERLINK(CONCATENATE("#metadata!",ADDRESS(INDEX($L$2:$L$1001,MATCH(ROWS($J$2:J202),$J$2:$J$1001,0),0),1)),INDEX($O$2:$O$1001,MATCH(ROWS($J$2:J202),$J$2:$J$1001,0),0)))</f>
        <v xml:space="preserve"> </v>
      </c>
      <c r="B202" s="3" t="str">
        <f ca="1">IF(OR(INDEX($K$2:$K$1001,MATCH(ROWS($J$2:J202),$J$2:$J$1001,0),1)&gt;=100000,INDEX($Q$1005:$U$1005,1,MATCH(COLUMNS($Q$1006:Q1006),$Q$1006:$U$1006,0))&gt;=100000), " ",IF(INDEX($Q$2:$U$1001,MATCH(ROWS($J$2:J202),$J$2:$J$1001,0),MATCH(COLUMNS($Q$1006:Q1006),$Q$1006:$U$1006,0)), HYPERLINK("#",""), HYPERLINK(CONCATENATE("#Metadata!", ADDRESS(INDEX($L$2:$L$1001,MATCH(ROWS($J$2:J202),$J$2:$J$1001,0),0), INDEX($Q$1004:$U$1004,1,MATCH(COLUMNS($Q$1006:Q1006),$Q$1006:$U$1006,0)))),"Fix")))</f>
        <v xml:space="preserve"> </v>
      </c>
      <c r="C202" s="3" t="str">
        <f ca="1">IF(OR(INDEX($K$2:$K$1001,MATCH(ROWS($J$2:J202),$J$2:$J$1001,0),1)&gt;=100000,INDEX($Q$1005:$U$1005,1,MATCH(COLUMNS($Q$1006:R1006),$Q$1006:$U$1006,0))&gt;=100000), " ",IF(INDEX($Q$2:$U$1001,MATCH(ROWS($J$2:J202),$J$2:$J$1001,0),MATCH(COLUMNS($Q$1006:R1006),$Q$1006:$U$1006,0)), HYPERLINK("#",""), HYPERLINK(CONCATENATE("#Metadata!", ADDRESS(INDEX($L$2:$L$1001,MATCH(ROWS($J$2:J202),$J$2:$J$1001,0),0), INDEX($Q$1004:$U$1004,1,MATCH(COLUMNS($Q$1006:R1006),$Q$1006:$U$1006,0)))),"Fix")))</f>
        <v xml:space="preserve"> </v>
      </c>
      <c r="D202" s="3" t="str">
        <f ca="1">IF(OR(INDEX($K$2:$K$1001,MATCH(ROWS($J$2:J202),$J$2:$J$1001,0),1)&gt;=100000,INDEX($Q$1005:$U$1005,1,MATCH(COLUMNS($Q$1006:S1006),$Q$1006:$U$1006,0))&gt;=100000), " ",IF(INDEX($Q$2:$U$1001,MATCH(ROWS($J$2:J202),$J$2:$J$1001,0),MATCH(COLUMNS($Q$1006:S1006),$Q$1006:$U$1006,0)), HYPERLINK("#",""), HYPERLINK(CONCATENATE("#Metadata!", ADDRESS(INDEX($L$2:$L$1001,MATCH(ROWS($J$2:J202),$J$2:$J$1001,0),0), INDEX($Q$1004:$U$1004,1,MATCH(COLUMNS($Q$1006:S1006),$Q$1006:$U$1006,0)))),"Fix")))</f>
        <v xml:space="preserve"> </v>
      </c>
      <c r="E202" s="3" t="str">
        <f ca="1">IF(OR(INDEX($K$2:$K$1001,MATCH(ROWS($J$2:J202),$J$2:$J$1001,0),1)&gt;=100000,INDEX($Q$1005:$U$1005,1,MATCH(COLUMNS($Q$1006:T1006),$Q$1006:$U$1006,0))&gt;=100000), " ",IF(INDEX($Q$2:$U$1001,MATCH(ROWS($J$2:J202),$J$2:$J$1001,0),MATCH(COLUMNS($Q$1006:T1006),$Q$1006:$U$1006,0)), HYPERLINK("#",""), HYPERLINK(CONCATENATE("#Metadata!", ADDRESS(INDEX($L$2:$L$1001,MATCH(ROWS($J$2:J202),$J$2:$J$1001,0),0), INDEX($Q$1004:$U$1004,1,MATCH(COLUMNS($Q$1006:T1006),$Q$1006:$U$1006,0)))),"Fix")))</f>
        <v xml:space="preserve"> </v>
      </c>
      <c r="F202" s="3" t="str">
        <f ca="1">IF(OR(INDEX($K$2:$K$1001,MATCH(ROWS($J$2:J202),$J$2:$J$1001,0),1)&gt;=100000,INDEX($Q$1005:$U$1005,1,MATCH(COLUMNS($Q$1006:U1006),$Q$1006:$U$1006,0))&gt;=100000), " ",IF(INDEX($Q$2:$U$1001,MATCH(ROWS($J$2:J202),$J$2:$J$1001,0),MATCH(COLUMNS($Q$1006:U1006),$Q$1006:$U$1006,0)), HYPERLINK("#",""), HYPERLINK(CONCATENATE("#Metadata!", ADDRESS(INDEX($L$2:$L$1001,MATCH(ROWS($J$2:J202),$J$2:$J$1001,0),0), INDEX($Q$1004:$U$1004,1,MATCH(COLUMNS($Q$1006:U1006),$Q$1006:$U$1006,0)))),"Fix")))</f>
        <v xml:space="preserve"> </v>
      </c>
      <c r="J202">
        <f ca="1"/>
        <v>201</v>
      </c>
      <c r="K202">
        <v>100202</v>
      </c>
      <c r="L202">
        <v>202</v>
      </c>
      <c r="M202" t="b">
        <f t="shared" si="3"/>
        <v>1</v>
      </c>
      <c r="N202" t="b">
        <f>COUNTBLANK(Metadata!B202:F202)=COLUMNS(Metadata!B202:F202)</f>
        <v>1</v>
      </c>
      <c r="O202" t="str">
        <v/>
      </c>
      <c r="Q202" t="b">
        <f ca="1"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R202" t="b">
        <f>IF(Metadata!C202="",FALSE,TRUE)</f>
        <v>0</v>
      </c>
      <c r="S202" t="b">
        <f>OR(AND(IF(Metadata!D202="",FALSE,TRUE),EXACT(Metadata!D202,"missing: not collected")),AND(IF(Metadata!D202="",FALSE,TRUE),OR(EXACT(Metadata!D202,"t"),EXACT(Metadata!D202,"f"))))</f>
        <v>0</v>
      </c>
      <c r="T202" t="b">
        <f>AND(IF(Metadata!E202="",FALSE,TRUE),OR(EXACT(Metadata!E202,"a"),EXACT(Metadata!E202,"b")))</f>
        <v>0</v>
      </c>
      <c r="U202" t="b">
        <f>OR(AND(IF(Metadata!F202="",FALSE,TRUE),OR(EXACT(Metadata!F202,"missing: not collected"),EXACT(Metadata!F202,"missing: not provided"))),AND(IF(Metadata!F202="",FALSE,TRUE),OR(EXACT(Metadata!F202,"lo"),EXACT(Metadata!F202,"med"),EXACT(Metadata!F202,"hi"))))</f>
        <v>0</v>
      </c>
    </row>
    <row r="203" spans="1:21" x14ac:dyDescent="0.2">
      <c r="A203" s="4" t="str">
        <f ca="1">IF(B203=" "," ",HYPERLINK(CONCATENATE("#metadata!",ADDRESS(INDEX($L$2:$L$1001,MATCH(ROWS($J$2:J203),$J$2:$J$1001,0),0),1)),INDEX($O$2:$O$1001,MATCH(ROWS($J$2:J203),$J$2:$J$1001,0),0)))</f>
        <v xml:space="preserve"> </v>
      </c>
      <c r="B203" s="3" t="str">
        <f ca="1">IF(OR(INDEX($K$2:$K$1001,MATCH(ROWS($J$2:J203),$J$2:$J$1001,0),1)&gt;=100000,INDEX($Q$1005:$U$1005,1,MATCH(COLUMNS($Q$1006:Q1006),$Q$1006:$U$1006,0))&gt;=100000), " ",IF(INDEX($Q$2:$U$1001,MATCH(ROWS($J$2:J203),$J$2:$J$1001,0),MATCH(COLUMNS($Q$1006:Q1006),$Q$1006:$U$1006,0)), HYPERLINK("#",""), HYPERLINK(CONCATENATE("#Metadata!", ADDRESS(INDEX($L$2:$L$1001,MATCH(ROWS($J$2:J203),$J$2:$J$1001,0),0), INDEX($Q$1004:$U$1004,1,MATCH(COLUMNS($Q$1006:Q1006),$Q$1006:$U$1006,0)))),"Fix")))</f>
        <v xml:space="preserve"> </v>
      </c>
      <c r="C203" s="3" t="str">
        <f ca="1">IF(OR(INDEX($K$2:$K$1001,MATCH(ROWS($J$2:J203),$J$2:$J$1001,0),1)&gt;=100000,INDEX($Q$1005:$U$1005,1,MATCH(COLUMNS($Q$1006:R1006),$Q$1006:$U$1006,0))&gt;=100000), " ",IF(INDEX($Q$2:$U$1001,MATCH(ROWS($J$2:J203),$J$2:$J$1001,0),MATCH(COLUMNS($Q$1006:R1006),$Q$1006:$U$1006,0)), HYPERLINK("#",""), HYPERLINK(CONCATENATE("#Metadata!", ADDRESS(INDEX($L$2:$L$1001,MATCH(ROWS($J$2:J203),$J$2:$J$1001,0),0), INDEX($Q$1004:$U$1004,1,MATCH(COLUMNS($Q$1006:R1006),$Q$1006:$U$1006,0)))),"Fix")))</f>
        <v xml:space="preserve"> </v>
      </c>
      <c r="D203" s="3" t="str">
        <f ca="1">IF(OR(INDEX($K$2:$K$1001,MATCH(ROWS($J$2:J203),$J$2:$J$1001,0),1)&gt;=100000,INDEX($Q$1005:$U$1005,1,MATCH(COLUMNS($Q$1006:S1006),$Q$1006:$U$1006,0))&gt;=100000), " ",IF(INDEX($Q$2:$U$1001,MATCH(ROWS($J$2:J203),$J$2:$J$1001,0),MATCH(COLUMNS($Q$1006:S1006),$Q$1006:$U$1006,0)), HYPERLINK("#",""), HYPERLINK(CONCATENATE("#Metadata!", ADDRESS(INDEX($L$2:$L$1001,MATCH(ROWS($J$2:J203),$J$2:$J$1001,0),0), INDEX($Q$1004:$U$1004,1,MATCH(COLUMNS($Q$1006:S1006),$Q$1006:$U$1006,0)))),"Fix")))</f>
        <v xml:space="preserve"> </v>
      </c>
      <c r="E203" s="3" t="str">
        <f ca="1">IF(OR(INDEX($K$2:$K$1001,MATCH(ROWS($J$2:J203),$J$2:$J$1001,0),1)&gt;=100000,INDEX($Q$1005:$U$1005,1,MATCH(COLUMNS($Q$1006:T1006),$Q$1006:$U$1006,0))&gt;=100000), " ",IF(INDEX($Q$2:$U$1001,MATCH(ROWS($J$2:J203),$J$2:$J$1001,0),MATCH(COLUMNS($Q$1006:T1006),$Q$1006:$U$1006,0)), HYPERLINK("#",""), HYPERLINK(CONCATENATE("#Metadata!", ADDRESS(INDEX($L$2:$L$1001,MATCH(ROWS($J$2:J203),$J$2:$J$1001,0),0), INDEX($Q$1004:$U$1004,1,MATCH(COLUMNS($Q$1006:T1006),$Q$1006:$U$1006,0)))),"Fix")))</f>
        <v xml:space="preserve"> </v>
      </c>
      <c r="F203" s="3" t="str">
        <f ca="1">IF(OR(INDEX($K$2:$K$1001,MATCH(ROWS($J$2:J203),$J$2:$J$1001,0),1)&gt;=100000,INDEX($Q$1005:$U$1005,1,MATCH(COLUMNS($Q$1006:U1006),$Q$1006:$U$1006,0))&gt;=100000), " ",IF(INDEX($Q$2:$U$1001,MATCH(ROWS($J$2:J203),$J$2:$J$1001,0),MATCH(COLUMNS($Q$1006:U1006),$Q$1006:$U$1006,0)), HYPERLINK("#",""), HYPERLINK(CONCATENATE("#Metadata!", ADDRESS(INDEX($L$2:$L$1001,MATCH(ROWS($J$2:J203),$J$2:$J$1001,0),0), INDEX($Q$1004:$U$1004,1,MATCH(COLUMNS($Q$1006:U1006),$Q$1006:$U$1006,0)))),"Fix")))</f>
        <v xml:space="preserve"> </v>
      </c>
      <c r="J203">
        <f ca="1"/>
        <v>202</v>
      </c>
      <c r="K203">
        <v>100203</v>
      </c>
      <c r="L203">
        <v>203</v>
      </c>
      <c r="M203" t="b">
        <f t="shared" si="3"/>
        <v>1</v>
      </c>
      <c r="N203" t="b">
        <f>COUNTBLANK(Metadata!B203:F203)=COLUMNS(Metadata!B203:F203)</f>
        <v>1</v>
      </c>
      <c r="O203" t="str">
        <v/>
      </c>
      <c r="Q203" t="b">
        <f ca="1"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R203" t="b">
        <f>IF(Metadata!C203="",FALSE,TRUE)</f>
        <v>0</v>
      </c>
      <c r="S203" t="b">
        <f>OR(AND(IF(Metadata!D203="",FALSE,TRUE),EXACT(Metadata!D203,"missing: not collected")),AND(IF(Metadata!D203="",FALSE,TRUE),OR(EXACT(Metadata!D203,"t"),EXACT(Metadata!D203,"f"))))</f>
        <v>0</v>
      </c>
      <c r="T203" t="b">
        <f>AND(IF(Metadata!E203="",FALSE,TRUE),OR(EXACT(Metadata!E203,"a"),EXACT(Metadata!E203,"b")))</f>
        <v>0</v>
      </c>
      <c r="U203" t="b">
        <f>OR(AND(IF(Metadata!F203="",FALSE,TRUE),OR(EXACT(Metadata!F203,"missing: not collected"),EXACT(Metadata!F203,"missing: not provided"))),AND(IF(Metadata!F203="",FALSE,TRUE),OR(EXACT(Metadata!F203,"lo"),EXACT(Metadata!F203,"med"),EXACT(Metadata!F203,"hi"))))</f>
        <v>0</v>
      </c>
    </row>
    <row r="204" spans="1:21" x14ac:dyDescent="0.2">
      <c r="A204" s="4" t="str">
        <f ca="1">IF(B204=" "," ",HYPERLINK(CONCATENATE("#metadata!",ADDRESS(INDEX($L$2:$L$1001,MATCH(ROWS($J$2:J204),$J$2:$J$1001,0),0),1)),INDEX($O$2:$O$1001,MATCH(ROWS($J$2:J204),$J$2:$J$1001,0),0)))</f>
        <v xml:space="preserve"> </v>
      </c>
      <c r="B204" s="3" t="str">
        <f ca="1">IF(OR(INDEX($K$2:$K$1001,MATCH(ROWS($J$2:J204),$J$2:$J$1001,0),1)&gt;=100000,INDEX($Q$1005:$U$1005,1,MATCH(COLUMNS($Q$1006:Q1006),$Q$1006:$U$1006,0))&gt;=100000), " ",IF(INDEX($Q$2:$U$1001,MATCH(ROWS($J$2:J204),$J$2:$J$1001,0),MATCH(COLUMNS($Q$1006:Q1006),$Q$1006:$U$1006,0)), HYPERLINK("#",""), HYPERLINK(CONCATENATE("#Metadata!", ADDRESS(INDEX($L$2:$L$1001,MATCH(ROWS($J$2:J204),$J$2:$J$1001,0),0), INDEX($Q$1004:$U$1004,1,MATCH(COLUMNS($Q$1006:Q1006),$Q$1006:$U$1006,0)))),"Fix")))</f>
        <v xml:space="preserve"> </v>
      </c>
      <c r="C204" s="3" t="str">
        <f ca="1">IF(OR(INDEX($K$2:$K$1001,MATCH(ROWS($J$2:J204),$J$2:$J$1001,0),1)&gt;=100000,INDEX($Q$1005:$U$1005,1,MATCH(COLUMNS($Q$1006:R1006),$Q$1006:$U$1006,0))&gt;=100000), " ",IF(INDEX($Q$2:$U$1001,MATCH(ROWS($J$2:J204),$J$2:$J$1001,0),MATCH(COLUMNS($Q$1006:R1006),$Q$1006:$U$1006,0)), HYPERLINK("#",""), HYPERLINK(CONCATENATE("#Metadata!", ADDRESS(INDEX($L$2:$L$1001,MATCH(ROWS($J$2:J204),$J$2:$J$1001,0),0), INDEX($Q$1004:$U$1004,1,MATCH(COLUMNS($Q$1006:R1006),$Q$1006:$U$1006,0)))),"Fix")))</f>
        <v xml:space="preserve"> </v>
      </c>
      <c r="D204" s="3" t="str">
        <f ca="1">IF(OR(INDEX($K$2:$K$1001,MATCH(ROWS($J$2:J204),$J$2:$J$1001,0),1)&gt;=100000,INDEX($Q$1005:$U$1005,1,MATCH(COLUMNS($Q$1006:S1006),$Q$1006:$U$1006,0))&gt;=100000), " ",IF(INDEX($Q$2:$U$1001,MATCH(ROWS($J$2:J204),$J$2:$J$1001,0),MATCH(COLUMNS($Q$1006:S1006),$Q$1006:$U$1006,0)), HYPERLINK("#",""), HYPERLINK(CONCATENATE("#Metadata!", ADDRESS(INDEX($L$2:$L$1001,MATCH(ROWS($J$2:J204),$J$2:$J$1001,0),0), INDEX($Q$1004:$U$1004,1,MATCH(COLUMNS($Q$1006:S1006),$Q$1006:$U$1006,0)))),"Fix")))</f>
        <v xml:space="preserve"> </v>
      </c>
      <c r="E204" s="3" t="str">
        <f ca="1">IF(OR(INDEX($K$2:$K$1001,MATCH(ROWS($J$2:J204),$J$2:$J$1001,0),1)&gt;=100000,INDEX($Q$1005:$U$1005,1,MATCH(COLUMNS($Q$1006:T1006),$Q$1006:$U$1006,0))&gt;=100000), " ",IF(INDEX($Q$2:$U$1001,MATCH(ROWS($J$2:J204),$J$2:$J$1001,0),MATCH(COLUMNS($Q$1006:T1006),$Q$1006:$U$1006,0)), HYPERLINK("#",""), HYPERLINK(CONCATENATE("#Metadata!", ADDRESS(INDEX($L$2:$L$1001,MATCH(ROWS($J$2:J204),$J$2:$J$1001,0),0), INDEX($Q$1004:$U$1004,1,MATCH(COLUMNS($Q$1006:T1006),$Q$1006:$U$1006,0)))),"Fix")))</f>
        <v xml:space="preserve"> </v>
      </c>
      <c r="F204" s="3" t="str">
        <f ca="1">IF(OR(INDEX($K$2:$K$1001,MATCH(ROWS($J$2:J204),$J$2:$J$1001,0),1)&gt;=100000,INDEX($Q$1005:$U$1005,1,MATCH(COLUMNS($Q$1006:U1006),$Q$1006:$U$1006,0))&gt;=100000), " ",IF(INDEX($Q$2:$U$1001,MATCH(ROWS($J$2:J204),$J$2:$J$1001,0),MATCH(COLUMNS($Q$1006:U1006),$Q$1006:$U$1006,0)), HYPERLINK("#",""), HYPERLINK(CONCATENATE("#Metadata!", ADDRESS(INDEX($L$2:$L$1001,MATCH(ROWS($J$2:J204),$J$2:$J$1001,0),0), INDEX($Q$1004:$U$1004,1,MATCH(COLUMNS($Q$1006:U1006),$Q$1006:$U$1006,0)))),"Fix")))</f>
        <v xml:space="preserve"> </v>
      </c>
      <c r="J204">
        <f ca="1"/>
        <v>203</v>
      </c>
      <c r="K204">
        <v>100204</v>
      </c>
      <c r="L204">
        <v>204</v>
      </c>
      <c r="M204" t="b">
        <f t="shared" si="3"/>
        <v>1</v>
      </c>
      <c r="N204" t="b">
        <f>COUNTBLANK(Metadata!B204:F204)=COLUMNS(Metadata!B204:F204)</f>
        <v>1</v>
      </c>
      <c r="O204" t="str">
        <v/>
      </c>
      <c r="Q204" t="b">
        <f ca="1"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R204" t="b">
        <f>IF(Metadata!C204="",FALSE,TRUE)</f>
        <v>0</v>
      </c>
      <c r="S204" t="b">
        <f>OR(AND(IF(Metadata!D204="",FALSE,TRUE),EXACT(Metadata!D204,"missing: not collected")),AND(IF(Metadata!D204="",FALSE,TRUE),OR(EXACT(Metadata!D204,"t"),EXACT(Metadata!D204,"f"))))</f>
        <v>0</v>
      </c>
      <c r="T204" t="b">
        <f>AND(IF(Metadata!E204="",FALSE,TRUE),OR(EXACT(Metadata!E204,"a"),EXACT(Metadata!E204,"b")))</f>
        <v>0</v>
      </c>
      <c r="U204" t="b">
        <f>OR(AND(IF(Metadata!F204="",FALSE,TRUE),OR(EXACT(Metadata!F204,"missing: not collected"),EXACT(Metadata!F204,"missing: not provided"))),AND(IF(Metadata!F204="",FALSE,TRUE),OR(EXACT(Metadata!F204,"lo"),EXACT(Metadata!F204,"med"),EXACT(Metadata!F204,"hi"))))</f>
        <v>0</v>
      </c>
    </row>
    <row r="205" spans="1:21" x14ac:dyDescent="0.2">
      <c r="A205" s="4" t="str">
        <f ca="1">IF(B205=" "," ",HYPERLINK(CONCATENATE("#metadata!",ADDRESS(INDEX($L$2:$L$1001,MATCH(ROWS($J$2:J205),$J$2:$J$1001,0),0),1)),INDEX($O$2:$O$1001,MATCH(ROWS($J$2:J205),$J$2:$J$1001,0),0)))</f>
        <v xml:space="preserve"> </v>
      </c>
      <c r="B205" s="3" t="str">
        <f ca="1">IF(OR(INDEX($K$2:$K$1001,MATCH(ROWS($J$2:J205),$J$2:$J$1001,0),1)&gt;=100000,INDEX($Q$1005:$U$1005,1,MATCH(COLUMNS($Q$1006:Q1006),$Q$1006:$U$1006,0))&gt;=100000), " ",IF(INDEX($Q$2:$U$1001,MATCH(ROWS($J$2:J205),$J$2:$J$1001,0),MATCH(COLUMNS($Q$1006:Q1006),$Q$1006:$U$1006,0)), HYPERLINK("#",""), HYPERLINK(CONCATENATE("#Metadata!", ADDRESS(INDEX($L$2:$L$1001,MATCH(ROWS($J$2:J205),$J$2:$J$1001,0),0), INDEX($Q$1004:$U$1004,1,MATCH(COLUMNS($Q$1006:Q1006),$Q$1006:$U$1006,0)))),"Fix")))</f>
        <v xml:space="preserve"> </v>
      </c>
      <c r="C205" s="3" t="str">
        <f ca="1">IF(OR(INDEX($K$2:$K$1001,MATCH(ROWS($J$2:J205),$J$2:$J$1001,0),1)&gt;=100000,INDEX($Q$1005:$U$1005,1,MATCH(COLUMNS($Q$1006:R1006),$Q$1006:$U$1006,0))&gt;=100000), " ",IF(INDEX($Q$2:$U$1001,MATCH(ROWS($J$2:J205),$J$2:$J$1001,0),MATCH(COLUMNS($Q$1006:R1006),$Q$1006:$U$1006,0)), HYPERLINK("#",""), HYPERLINK(CONCATENATE("#Metadata!", ADDRESS(INDEX($L$2:$L$1001,MATCH(ROWS($J$2:J205),$J$2:$J$1001,0),0), INDEX($Q$1004:$U$1004,1,MATCH(COLUMNS($Q$1006:R1006),$Q$1006:$U$1006,0)))),"Fix")))</f>
        <v xml:space="preserve"> </v>
      </c>
      <c r="D205" s="3" t="str">
        <f ca="1">IF(OR(INDEX($K$2:$K$1001,MATCH(ROWS($J$2:J205),$J$2:$J$1001,0),1)&gt;=100000,INDEX($Q$1005:$U$1005,1,MATCH(COLUMNS($Q$1006:S1006),$Q$1006:$U$1006,0))&gt;=100000), " ",IF(INDEX($Q$2:$U$1001,MATCH(ROWS($J$2:J205),$J$2:$J$1001,0),MATCH(COLUMNS($Q$1006:S1006),$Q$1006:$U$1006,0)), HYPERLINK("#",""), HYPERLINK(CONCATENATE("#Metadata!", ADDRESS(INDEX($L$2:$L$1001,MATCH(ROWS($J$2:J205),$J$2:$J$1001,0),0), INDEX($Q$1004:$U$1004,1,MATCH(COLUMNS($Q$1006:S1006),$Q$1006:$U$1006,0)))),"Fix")))</f>
        <v xml:space="preserve"> </v>
      </c>
      <c r="E205" s="3" t="str">
        <f ca="1">IF(OR(INDEX($K$2:$K$1001,MATCH(ROWS($J$2:J205),$J$2:$J$1001,0),1)&gt;=100000,INDEX($Q$1005:$U$1005,1,MATCH(COLUMNS($Q$1006:T1006),$Q$1006:$U$1006,0))&gt;=100000), " ",IF(INDEX($Q$2:$U$1001,MATCH(ROWS($J$2:J205),$J$2:$J$1001,0),MATCH(COLUMNS($Q$1006:T1006),$Q$1006:$U$1006,0)), HYPERLINK("#",""), HYPERLINK(CONCATENATE("#Metadata!", ADDRESS(INDEX($L$2:$L$1001,MATCH(ROWS($J$2:J205),$J$2:$J$1001,0),0), INDEX($Q$1004:$U$1004,1,MATCH(COLUMNS($Q$1006:T1006),$Q$1006:$U$1006,0)))),"Fix")))</f>
        <v xml:space="preserve"> </v>
      </c>
      <c r="F205" s="3" t="str">
        <f ca="1">IF(OR(INDEX($K$2:$K$1001,MATCH(ROWS($J$2:J205),$J$2:$J$1001,0),1)&gt;=100000,INDEX($Q$1005:$U$1005,1,MATCH(COLUMNS($Q$1006:U1006),$Q$1006:$U$1006,0))&gt;=100000), " ",IF(INDEX($Q$2:$U$1001,MATCH(ROWS($J$2:J205),$J$2:$J$1001,0),MATCH(COLUMNS($Q$1006:U1006),$Q$1006:$U$1006,0)), HYPERLINK("#",""), HYPERLINK(CONCATENATE("#Metadata!", ADDRESS(INDEX($L$2:$L$1001,MATCH(ROWS($J$2:J205),$J$2:$J$1001,0),0), INDEX($Q$1004:$U$1004,1,MATCH(COLUMNS($Q$1006:U1006),$Q$1006:$U$1006,0)))),"Fix")))</f>
        <v xml:space="preserve"> </v>
      </c>
      <c r="J205">
        <f ca="1"/>
        <v>204</v>
      </c>
      <c r="K205">
        <v>100205</v>
      </c>
      <c r="L205">
        <v>205</v>
      </c>
      <c r="M205" t="b">
        <f t="shared" si="3"/>
        <v>1</v>
      </c>
      <c r="N205" t="b">
        <f>COUNTBLANK(Metadata!B205:F205)=COLUMNS(Metadata!B205:F205)</f>
        <v>1</v>
      </c>
      <c r="O205" t="str">
        <v/>
      </c>
      <c r="Q205" t="b">
        <f ca="1"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R205" t="b">
        <f>IF(Metadata!C205="",FALSE,TRUE)</f>
        <v>0</v>
      </c>
      <c r="S205" t="b">
        <f>OR(AND(IF(Metadata!D205="",FALSE,TRUE),EXACT(Metadata!D205,"missing: not collected")),AND(IF(Metadata!D205="",FALSE,TRUE),OR(EXACT(Metadata!D205,"t"),EXACT(Metadata!D205,"f"))))</f>
        <v>0</v>
      </c>
      <c r="T205" t="b">
        <f>AND(IF(Metadata!E205="",FALSE,TRUE),OR(EXACT(Metadata!E205,"a"),EXACT(Metadata!E205,"b")))</f>
        <v>0</v>
      </c>
      <c r="U205" t="b">
        <f>OR(AND(IF(Metadata!F205="",FALSE,TRUE),OR(EXACT(Metadata!F205,"missing: not collected"),EXACT(Metadata!F205,"missing: not provided"))),AND(IF(Metadata!F205="",FALSE,TRUE),OR(EXACT(Metadata!F205,"lo"),EXACT(Metadata!F205,"med"),EXACT(Metadata!F205,"hi"))))</f>
        <v>0</v>
      </c>
    </row>
    <row r="206" spans="1:21" x14ac:dyDescent="0.2">
      <c r="A206" s="4" t="str">
        <f ca="1">IF(B206=" "," ",HYPERLINK(CONCATENATE("#metadata!",ADDRESS(INDEX($L$2:$L$1001,MATCH(ROWS($J$2:J206),$J$2:$J$1001,0),0),1)),INDEX($O$2:$O$1001,MATCH(ROWS($J$2:J206),$J$2:$J$1001,0),0)))</f>
        <v xml:space="preserve"> </v>
      </c>
      <c r="B206" s="3" t="str">
        <f ca="1">IF(OR(INDEX($K$2:$K$1001,MATCH(ROWS($J$2:J206),$J$2:$J$1001,0),1)&gt;=100000,INDEX($Q$1005:$U$1005,1,MATCH(COLUMNS($Q$1006:Q1006),$Q$1006:$U$1006,0))&gt;=100000), " ",IF(INDEX($Q$2:$U$1001,MATCH(ROWS($J$2:J206),$J$2:$J$1001,0),MATCH(COLUMNS($Q$1006:Q1006),$Q$1006:$U$1006,0)), HYPERLINK("#",""), HYPERLINK(CONCATENATE("#Metadata!", ADDRESS(INDEX($L$2:$L$1001,MATCH(ROWS($J$2:J206),$J$2:$J$1001,0),0), INDEX($Q$1004:$U$1004,1,MATCH(COLUMNS($Q$1006:Q1006),$Q$1006:$U$1006,0)))),"Fix")))</f>
        <v xml:space="preserve"> </v>
      </c>
      <c r="C206" s="3" t="str">
        <f ca="1">IF(OR(INDEX($K$2:$K$1001,MATCH(ROWS($J$2:J206),$J$2:$J$1001,0),1)&gt;=100000,INDEX($Q$1005:$U$1005,1,MATCH(COLUMNS($Q$1006:R1006),$Q$1006:$U$1006,0))&gt;=100000), " ",IF(INDEX($Q$2:$U$1001,MATCH(ROWS($J$2:J206),$J$2:$J$1001,0),MATCH(COLUMNS($Q$1006:R1006),$Q$1006:$U$1006,0)), HYPERLINK("#",""), HYPERLINK(CONCATENATE("#Metadata!", ADDRESS(INDEX($L$2:$L$1001,MATCH(ROWS($J$2:J206),$J$2:$J$1001,0),0), INDEX($Q$1004:$U$1004,1,MATCH(COLUMNS($Q$1006:R1006),$Q$1006:$U$1006,0)))),"Fix")))</f>
        <v xml:space="preserve"> </v>
      </c>
      <c r="D206" s="3" t="str">
        <f ca="1">IF(OR(INDEX($K$2:$K$1001,MATCH(ROWS($J$2:J206),$J$2:$J$1001,0),1)&gt;=100000,INDEX($Q$1005:$U$1005,1,MATCH(COLUMNS($Q$1006:S1006),$Q$1006:$U$1006,0))&gt;=100000), " ",IF(INDEX($Q$2:$U$1001,MATCH(ROWS($J$2:J206),$J$2:$J$1001,0),MATCH(COLUMNS($Q$1006:S1006),$Q$1006:$U$1006,0)), HYPERLINK("#",""), HYPERLINK(CONCATENATE("#Metadata!", ADDRESS(INDEX($L$2:$L$1001,MATCH(ROWS($J$2:J206),$J$2:$J$1001,0),0), INDEX($Q$1004:$U$1004,1,MATCH(COLUMNS($Q$1006:S1006),$Q$1006:$U$1006,0)))),"Fix")))</f>
        <v xml:space="preserve"> </v>
      </c>
      <c r="E206" s="3" t="str">
        <f ca="1">IF(OR(INDEX($K$2:$K$1001,MATCH(ROWS($J$2:J206),$J$2:$J$1001,0),1)&gt;=100000,INDEX($Q$1005:$U$1005,1,MATCH(COLUMNS($Q$1006:T1006),$Q$1006:$U$1006,0))&gt;=100000), " ",IF(INDEX($Q$2:$U$1001,MATCH(ROWS($J$2:J206),$J$2:$J$1001,0),MATCH(COLUMNS($Q$1006:T1006),$Q$1006:$U$1006,0)), HYPERLINK("#",""), HYPERLINK(CONCATENATE("#Metadata!", ADDRESS(INDEX($L$2:$L$1001,MATCH(ROWS($J$2:J206),$J$2:$J$1001,0),0), INDEX($Q$1004:$U$1004,1,MATCH(COLUMNS($Q$1006:T1006),$Q$1006:$U$1006,0)))),"Fix")))</f>
        <v xml:space="preserve"> </v>
      </c>
      <c r="F206" s="3" t="str">
        <f ca="1">IF(OR(INDEX($K$2:$K$1001,MATCH(ROWS($J$2:J206),$J$2:$J$1001,0),1)&gt;=100000,INDEX($Q$1005:$U$1005,1,MATCH(COLUMNS($Q$1006:U1006),$Q$1006:$U$1006,0))&gt;=100000), " ",IF(INDEX($Q$2:$U$1001,MATCH(ROWS($J$2:J206),$J$2:$J$1001,0),MATCH(COLUMNS($Q$1006:U1006),$Q$1006:$U$1006,0)), HYPERLINK("#",""), HYPERLINK(CONCATENATE("#Metadata!", ADDRESS(INDEX($L$2:$L$1001,MATCH(ROWS($J$2:J206),$J$2:$J$1001,0),0), INDEX($Q$1004:$U$1004,1,MATCH(COLUMNS($Q$1006:U1006),$Q$1006:$U$1006,0)))),"Fix")))</f>
        <v xml:space="preserve"> </v>
      </c>
      <c r="J206">
        <f ca="1"/>
        <v>205</v>
      </c>
      <c r="K206">
        <v>100206</v>
      </c>
      <c r="L206">
        <v>206</v>
      </c>
      <c r="M206" t="b">
        <f t="shared" si="3"/>
        <v>1</v>
      </c>
      <c r="N206" t="b">
        <f>COUNTBLANK(Metadata!B206:F206)=COLUMNS(Metadata!B206:F206)</f>
        <v>1</v>
      </c>
      <c r="O206" t="str">
        <v/>
      </c>
      <c r="Q206" t="b">
        <f ca="1"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R206" t="b">
        <f>IF(Metadata!C206="",FALSE,TRUE)</f>
        <v>0</v>
      </c>
      <c r="S206" t="b">
        <f>OR(AND(IF(Metadata!D206="",FALSE,TRUE),EXACT(Metadata!D206,"missing: not collected")),AND(IF(Metadata!D206="",FALSE,TRUE),OR(EXACT(Metadata!D206,"t"),EXACT(Metadata!D206,"f"))))</f>
        <v>0</v>
      </c>
      <c r="T206" t="b">
        <f>AND(IF(Metadata!E206="",FALSE,TRUE),OR(EXACT(Metadata!E206,"a"),EXACT(Metadata!E206,"b")))</f>
        <v>0</v>
      </c>
      <c r="U206" t="b">
        <f>OR(AND(IF(Metadata!F206="",FALSE,TRUE),OR(EXACT(Metadata!F206,"missing: not collected"),EXACT(Metadata!F206,"missing: not provided"))),AND(IF(Metadata!F206="",FALSE,TRUE),OR(EXACT(Metadata!F206,"lo"),EXACT(Metadata!F206,"med"),EXACT(Metadata!F206,"hi"))))</f>
        <v>0</v>
      </c>
    </row>
    <row r="207" spans="1:21" x14ac:dyDescent="0.2">
      <c r="A207" s="4" t="str">
        <f ca="1">IF(B207=" "," ",HYPERLINK(CONCATENATE("#metadata!",ADDRESS(INDEX($L$2:$L$1001,MATCH(ROWS($J$2:J207),$J$2:$J$1001,0),0),1)),INDEX($O$2:$O$1001,MATCH(ROWS($J$2:J207),$J$2:$J$1001,0),0)))</f>
        <v xml:space="preserve"> </v>
      </c>
      <c r="B207" s="3" t="str">
        <f ca="1">IF(OR(INDEX($K$2:$K$1001,MATCH(ROWS($J$2:J207),$J$2:$J$1001,0),1)&gt;=100000,INDEX($Q$1005:$U$1005,1,MATCH(COLUMNS($Q$1006:Q1006),$Q$1006:$U$1006,0))&gt;=100000), " ",IF(INDEX($Q$2:$U$1001,MATCH(ROWS($J$2:J207),$J$2:$J$1001,0),MATCH(COLUMNS($Q$1006:Q1006),$Q$1006:$U$1006,0)), HYPERLINK("#",""), HYPERLINK(CONCATENATE("#Metadata!", ADDRESS(INDEX($L$2:$L$1001,MATCH(ROWS($J$2:J207),$J$2:$J$1001,0),0), INDEX($Q$1004:$U$1004,1,MATCH(COLUMNS($Q$1006:Q1006),$Q$1006:$U$1006,0)))),"Fix")))</f>
        <v xml:space="preserve"> </v>
      </c>
      <c r="C207" s="3" t="str">
        <f ca="1">IF(OR(INDEX($K$2:$K$1001,MATCH(ROWS($J$2:J207),$J$2:$J$1001,0),1)&gt;=100000,INDEX($Q$1005:$U$1005,1,MATCH(COLUMNS($Q$1006:R1006),$Q$1006:$U$1006,0))&gt;=100000), " ",IF(INDEX($Q$2:$U$1001,MATCH(ROWS($J$2:J207),$J$2:$J$1001,0),MATCH(COLUMNS($Q$1006:R1006),$Q$1006:$U$1006,0)), HYPERLINK("#",""), HYPERLINK(CONCATENATE("#Metadata!", ADDRESS(INDEX($L$2:$L$1001,MATCH(ROWS($J$2:J207),$J$2:$J$1001,0),0), INDEX($Q$1004:$U$1004,1,MATCH(COLUMNS($Q$1006:R1006),$Q$1006:$U$1006,0)))),"Fix")))</f>
        <v xml:space="preserve"> </v>
      </c>
      <c r="D207" s="3" t="str">
        <f ca="1">IF(OR(INDEX($K$2:$K$1001,MATCH(ROWS($J$2:J207),$J$2:$J$1001,0),1)&gt;=100000,INDEX($Q$1005:$U$1005,1,MATCH(COLUMNS($Q$1006:S1006),$Q$1006:$U$1006,0))&gt;=100000), " ",IF(INDEX($Q$2:$U$1001,MATCH(ROWS($J$2:J207),$J$2:$J$1001,0),MATCH(COLUMNS($Q$1006:S1006),$Q$1006:$U$1006,0)), HYPERLINK("#",""), HYPERLINK(CONCATENATE("#Metadata!", ADDRESS(INDEX($L$2:$L$1001,MATCH(ROWS($J$2:J207),$J$2:$J$1001,0),0), INDEX($Q$1004:$U$1004,1,MATCH(COLUMNS($Q$1006:S1006),$Q$1006:$U$1006,0)))),"Fix")))</f>
        <v xml:space="preserve"> </v>
      </c>
      <c r="E207" s="3" t="str">
        <f ca="1">IF(OR(INDEX($K$2:$K$1001,MATCH(ROWS($J$2:J207),$J$2:$J$1001,0),1)&gt;=100000,INDEX($Q$1005:$U$1005,1,MATCH(COLUMNS($Q$1006:T1006),$Q$1006:$U$1006,0))&gt;=100000), " ",IF(INDEX($Q$2:$U$1001,MATCH(ROWS($J$2:J207),$J$2:$J$1001,0),MATCH(COLUMNS($Q$1006:T1006),$Q$1006:$U$1006,0)), HYPERLINK("#",""), HYPERLINK(CONCATENATE("#Metadata!", ADDRESS(INDEX($L$2:$L$1001,MATCH(ROWS($J$2:J207),$J$2:$J$1001,0),0), INDEX($Q$1004:$U$1004,1,MATCH(COLUMNS($Q$1006:T1006),$Q$1006:$U$1006,0)))),"Fix")))</f>
        <v xml:space="preserve"> </v>
      </c>
      <c r="F207" s="3" t="str">
        <f ca="1">IF(OR(INDEX($K$2:$K$1001,MATCH(ROWS($J$2:J207),$J$2:$J$1001,0),1)&gt;=100000,INDEX($Q$1005:$U$1005,1,MATCH(COLUMNS($Q$1006:U1006),$Q$1006:$U$1006,0))&gt;=100000), " ",IF(INDEX($Q$2:$U$1001,MATCH(ROWS($J$2:J207),$J$2:$J$1001,0),MATCH(COLUMNS($Q$1006:U1006),$Q$1006:$U$1006,0)), HYPERLINK("#",""), HYPERLINK(CONCATENATE("#Metadata!", ADDRESS(INDEX($L$2:$L$1001,MATCH(ROWS($J$2:J207),$J$2:$J$1001,0),0), INDEX($Q$1004:$U$1004,1,MATCH(COLUMNS($Q$1006:U1006),$Q$1006:$U$1006,0)))),"Fix")))</f>
        <v xml:space="preserve"> </v>
      </c>
      <c r="J207">
        <f ca="1"/>
        <v>206</v>
      </c>
      <c r="K207">
        <v>100207</v>
      </c>
      <c r="L207">
        <v>207</v>
      </c>
      <c r="M207" t="b">
        <f t="shared" si="3"/>
        <v>1</v>
      </c>
      <c r="N207" t="b">
        <f>COUNTBLANK(Metadata!B207:F207)=COLUMNS(Metadata!B207:F207)</f>
        <v>1</v>
      </c>
      <c r="O207" t="str">
        <v/>
      </c>
      <c r="Q207" t="b">
        <f ca="1"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R207" t="b">
        <f>IF(Metadata!C207="",FALSE,TRUE)</f>
        <v>0</v>
      </c>
      <c r="S207" t="b">
        <f>OR(AND(IF(Metadata!D207="",FALSE,TRUE),EXACT(Metadata!D207,"missing: not collected")),AND(IF(Metadata!D207="",FALSE,TRUE),OR(EXACT(Metadata!D207,"t"),EXACT(Metadata!D207,"f"))))</f>
        <v>0</v>
      </c>
      <c r="T207" t="b">
        <f>AND(IF(Metadata!E207="",FALSE,TRUE),OR(EXACT(Metadata!E207,"a"),EXACT(Metadata!E207,"b")))</f>
        <v>0</v>
      </c>
      <c r="U207" t="b">
        <f>OR(AND(IF(Metadata!F207="",FALSE,TRUE),OR(EXACT(Metadata!F207,"missing: not collected"),EXACT(Metadata!F207,"missing: not provided"))),AND(IF(Metadata!F207="",FALSE,TRUE),OR(EXACT(Metadata!F207,"lo"),EXACT(Metadata!F207,"med"),EXACT(Metadata!F207,"hi"))))</f>
        <v>0</v>
      </c>
    </row>
    <row r="208" spans="1:21" x14ac:dyDescent="0.2">
      <c r="A208" s="4" t="str">
        <f ca="1">IF(B208=" "," ",HYPERLINK(CONCATENATE("#metadata!",ADDRESS(INDEX($L$2:$L$1001,MATCH(ROWS($J$2:J208),$J$2:$J$1001,0),0),1)),INDEX($O$2:$O$1001,MATCH(ROWS($J$2:J208),$J$2:$J$1001,0),0)))</f>
        <v xml:space="preserve"> </v>
      </c>
      <c r="B208" s="3" t="str">
        <f ca="1">IF(OR(INDEX($K$2:$K$1001,MATCH(ROWS($J$2:J208),$J$2:$J$1001,0),1)&gt;=100000,INDEX($Q$1005:$U$1005,1,MATCH(COLUMNS($Q$1006:Q1006),$Q$1006:$U$1006,0))&gt;=100000), " ",IF(INDEX($Q$2:$U$1001,MATCH(ROWS($J$2:J208),$J$2:$J$1001,0),MATCH(COLUMNS($Q$1006:Q1006),$Q$1006:$U$1006,0)), HYPERLINK("#",""), HYPERLINK(CONCATENATE("#Metadata!", ADDRESS(INDEX($L$2:$L$1001,MATCH(ROWS($J$2:J208),$J$2:$J$1001,0),0), INDEX($Q$1004:$U$1004,1,MATCH(COLUMNS($Q$1006:Q1006),$Q$1006:$U$1006,0)))),"Fix")))</f>
        <v xml:space="preserve"> </v>
      </c>
      <c r="C208" s="3" t="str">
        <f ca="1">IF(OR(INDEX($K$2:$K$1001,MATCH(ROWS($J$2:J208),$J$2:$J$1001,0),1)&gt;=100000,INDEX($Q$1005:$U$1005,1,MATCH(COLUMNS($Q$1006:R1006),$Q$1006:$U$1006,0))&gt;=100000), " ",IF(INDEX($Q$2:$U$1001,MATCH(ROWS($J$2:J208),$J$2:$J$1001,0),MATCH(COLUMNS($Q$1006:R1006),$Q$1006:$U$1006,0)), HYPERLINK("#",""), HYPERLINK(CONCATENATE("#Metadata!", ADDRESS(INDEX($L$2:$L$1001,MATCH(ROWS($J$2:J208),$J$2:$J$1001,0),0), INDEX($Q$1004:$U$1004,1,MATCH(COLUMNS($Q$1006:R1006),$Q$1006:$U$1006,0)))),"Fix")))</f>
        <v xml:space="preserve"> </v>
      </c>
      <c r="D208" s="3" t="str">
        <f ca="1">IF(OR(INDEX($K$2:$K$1001,MATCH(ROWS($J$2:J208),$J$2:$J$1001,0),1)&gt;=100000,INDEX($Q$1005:$U$1005,1,MATCH(COLUMNS($Q$1006:S1006),$Q$1006:$U$1006,0))&gt;=100000), " ",IF(INDEX($Q$2:$U$1001,MATCH(ROWS($J$2:J208),$J$2:$J$1001,0),MATCH(COLUMNS($Q$1006:S1006),$Q$1006:$U$1006,0)), HYPERLINK("#",""), HYPERLINK(CONCATENATE("#Metadata!", ADDRESS(INDEX($L$2:$L$1001,MATCH(ROWS($J$2:J208),$J$2:$J$1001,0),0), INDEX($Q$1004:$U$1004,1,MATCH(COLUMNS($Q$1006:S1006),$Q$1006:$U$1006,0)))),"Fix")))</f>
        <v xml:space="preserve"> </v>
      </c>
      <c r="E208" s="3" t="str">
        <f ca="1">IF(OR(INDEX($K$2:$K$1001,MATCH(ROWS($J$2:J208),$J$2:$J$1001,0),1)&gt;=100000,INDEX($Q$1005:$U$1005,1,MATCH(COLUMNS($Q$1006:T1006),$Q$1006:$U$1006,0))&gt;=100000), " ",IF(INDEX($Q$2:$U$1001,MATCH(ROWS($J$2:J208),$J$2:$J$1001,0),MATCH(COLUMNS($Q$1006:T1006),$Q$1006:$U$1006,0)), HYPERLINK("#",""), HYPERLINK(CONCATENATE("#Metadata!", ADDRESS(INDEX($L$2:$L$1001,MATCH(ROWS($J$2:J208),$J$2:$J$1001,0),0), INDEX($Q$1004:$U$1004,1,MATCH(COLUMNS($Q$1006:T1006),$Q$1006:$U$1006,0)))),"Fix")))</f>
        <v xml:space="preserve"> </v>
      </c>
      <c r="F208" s="3" t="str">
        <f ca="1">IF(OR(INDEX($K$2:$K$1001,MATCH(ROWS($J$2:J208),$J$2:$J$1001,0),1)&gt;=100000,INDEX($Q$1005:$U$1005,1,MATCH(COLUMNS($Q$1006:U1006),$Q$1006:$U$1006,0))&gt;=100000), " ",IF(INDEX($Q$2:$U$1001,MATCH(ROWS($J$2:J208),$J$2:$J$1001,0),MATCH(COLUMNS($Q$1006:U1006),$Q$1006:$U$1006,0)), HYPERLINK("#",""), HYPERLINK(CONCATENATE("#Metadata!", ADDRESS(INDEX($L$2:$L$1001,MATCH(ROWS($J$2:J208),$J$2:$J$1001,0),0), INDEX($Q$1004:$U$1004,1,MATCH(COLUMNS($Q$1006:U1006),$Q$1006:$U$1006,0)))),"Fix")))</f>
        <v xml:space="preserve"> </v>
      </c>
      <c r="J208">
        <f ca="1"/>
        <v>207</v>
      </c>
      <c r="K208">
        <v>100208</v>
      </c>
      <c r="L208">
        <v>208</v>
      </c>
      <c r="M208" t="b">
        <f t="shared" si="3"/>
        <v>1</v>
      </c>
      <c r="N208" t="b">
        <f>COUNTBLANK(Metadata!B208:F208)=COLUMNS(Metadata!B208:F208)</f>
        <v>1</v>
      </c>
      <c r="O208" t="str">
        <v/>
      </c>
      <c r="Q208" t="b">
        <f ca="1"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R208" t="b">
        <f>IF(Metadata!C208="",FALSE,TRUE)</f>
        <v>0</v>
      </c>
      <c r="S208" t="b">
        <f>OR(AND(IF(Metadata!D208="",FALSE,TRUE),EXACT(Metadata!D208,"missing: not collected")),AND(IF(Metadata!D208="",FALSE,TRUE),OR(EXACT(Metadata!D208,"t"),EXACT(Metadata!D208,"f"))))</f>
        <v>0</v>
      </c>
      <c r="T208" t="b">
        <f>AND(IF(Metadata!E208="",FALSE,TRUE),OR(EXACT(Metadata!E208,"a"),EXACT(Metadata!E208,"b")))</f>
        <v>0</v>
      </c>
      <c r="U208" t="b">
        <f>OR(AND(IF(Metadata!F208="",FALSE,TRUE),OR(EXACT(Metadata!F208,"missing: not collected"),EXACT(Metadata!F208,"missing: not provided"))),AND(IF(Metadata!F208="",FALSE,TRUE),OR(EXACT(Metadata!F208,"lo"),EXACT(Metadata!F208,"med"),EXACT(Metadata!F208,"hi"))))</f>
        <v>0</v>
      </c>
    </row>
    <row r="209" spans="1:21" x14ac:dyDescent="0.2">
      <c r="A209" s="4" t="str">
        <f ca="1">IF(B209=" "," ",HYPERLINK(CONCATENATE("#metadata!",ADDRESS(INDEX($L$2:$L$1001,MATCH(ROWS($J$2:J209),$J$2:$J$1001,0),0),1)),INDEX($O$2:$O$1001,MATCH(ROWS($J$2:J209),$J$2:$J$1001,0),0)))</f>
        <v xml:space="preserve"> </v>
      </c>
      <c r="B209" s="3" t="str">
        <f ca="1">IF(OR(INDEX($K$2:$K$1001,MATCH(ROWS($J$2:J209),$J$2:$J$1001,0),1)&gt;=100000,INDEX($Q$1005:$U$1005,1,MATCH(COLUMNS($Q$1006:Q1006),$Q$1006:$U$1006,0))&gt;=100000), " ",IF(INDEX($Q$2:$U$1001,MATCH(ROWS($J$2:J209),$J$2:$J$1001,0),MATCH(COLUMNS($Q$1006:Q1006),$Q$1006:$U$1006,0)), HYPERLINK("#",""), HYPERLINK(CONCATENATE("#Metadata!", ADDRESS(INDEX($L$2:$L$1001,MATCH(ROWS($J$2:J209),$J$2:$J$1001,0),0), INDEX($Q$1004:$U$1004,1,MATCH(COLUMNS($Q$1006:Q1006),$Q$1006:$U$1006,0)))),"Fix")))</f>
        <v xml:space="preserve"> </v>
      </c>
      <c r="C209" s="3" t="str">
        <f ca="1">IF(OR(INDEX($K$2:$K$1001,MATCH(ROWS($J$2:J209),$J$2:$J$1001,0),1)&gt;=100000,INDEX($Q$1005:$U$1005,1,MATCH(COLUMNS($Q$1006:R1006),$Q$1006:$U$1006,0))&gt;=100000), " ",IF(INDEX($Q$2:$U$1001,MATCH(ROWS($J$2:J209),$J$2:$J$1001,0),MATCH(COLUMNS($Q$1006:R1006),$Q$1006:$U$1006,0)), HYPERLINK("#",""), HYPERLINK(CONCATENATE("#Metadata!", ADDRESS(INDEX($L$2:$L$1001,MATCH(ROWS($J$2:J209),$J$2:$J$1001,0),0), INDEX($Q$1004:$U$1004,1,MATCH(COLUMNS($Q$1006:R1006),$Q$1006:$U$1006,0)))),"Fix")))</f>
        <v xml:space="preserve"> </v>
      </c>
      <c r="D209" s="3" t="str">
        <f ca="1">IF(OR(INDEX($K$2:$K$1001,MATCH(ROWS($J$2:J209),$J$2:$J$1001,0),1)&gt;=100000,INDEX($Q$1005:$U$1005,1,MATCH(COLUMNS($Q$1006:S1006),$Q$1006:$U$1006,0))&gt;=100000), " ",IF(INDEX($Q$2:$U$1001,MATCH(ROWS($J$2:J209),$J$2:$J$1001,0),MATCH(COLUMNS($Q$1006:S1006),$Q$1006:$U$1006,0)), HYPERLINK("#",""), HYPERLINK(CONCATENATE("#Metadata!", ADDRESS(INDEX($L$2:$L$1001,MATCH(ROWS($J$2:J209),$J$2:$J$1001,0),0), INDEX($Q$1004:$U$1004,1,MATCH(COLUMNS($Q$1006:S1006),$Q$1006:$U$1006,0)))),"Fix")))</f>
        <v xml:space="preserve"> </v>
      </c>
      <c r="E209" s="3" t="str">
        <f ca="1">IF(OR(INDEX($K$2:$K$1001,MATCH(ROWS($J$2:J209),$J$2:$J$1001,0),1)&gt;=100000,INDEX($Q$1005:$U$1005,1,MATCH(COLUMNS($Q$1006:T1006),$Q$1006:$U$1006,0))&gt;=100000), " ",IF(INDEX($Q$2:$U$1001,MATCH(ROWS($J$2:J209),$J$2:$J$1001,0),MATCH(COLUMNS($Q$1006:T1006),$Q$1006:$U$1006,0)), HYPERLINK("#",""), HYPERLINK(CONCATENATE("#Metadata!", ADDRESS(INDEX($L$2:$L$1001,MATCH(ROWS($J$2:J209),$J$2:$J$1001,0),0), INDEX($Q$1004:$U$1004,1,MATCH(COLUMNS($Q$1006:T1006),$Q$1006:$U$1006,0)))),"Fix")))</f>
        <v xml:space="preserve"> </v>
      </c>
      <c r="F209" s="3" t="str">
        <f ca="1">IF(OR(INDEX($K$2:$K$1001,MATCH(ROWS($J$2:J209),$J$2:$J$1001,0),1)&gt;=100000,INDEX($Q$1005:$U$1005,1,MATCH(COLUMNS($Q$1006:U1006),$Q$1006:$U$1006,0))&gt;=100000), " ",IF(INDEX($Q$2:$U$1001,MATCH(ROWS($J$2:J209),$J$2:$J$1001,0),MATCH(COLUMNS($Q$1006:U1006),$Q$1006:$U$1006,0)), HYPERLINK("#",""), HYPERLINK(CONCATENATE("#Metadata!", ADDRESS(INDEX($L$2:$L$1001,MATCH(ROWS($J$2:J209),$J$2:$J$1001,0),0), INDEX($Q$1004:$U$1004,1,MATCH(COLUMNS($Q$1006:U1006),$Q$1006:$U$1006,0)))),"Fix")))</f>
        <v xml:space="preserve"> </v>
      </c>
      <c r="J209">
        <f ca="1"/>
        <v>208</v>
      </c>
      <c r="K209">
        <v>100209</v>
      </c>
      <c r="L209">
        <v>209</v>
      </c>
      <c r="M209" t="b">
        <f t="shared" si="3"/>
        <v>1</v>
      </c>
      <c r="N209" t="b">
        <f>COUNTBLANK(Metadata!B209:F209)=COLUMNS(Metadata!B209:F209)</f>
        <v>1</v>
      </c>
      <c r="O209" t="str">
        <v/>
      </c>
      <c r="Q209" t="b">
        <f ca="1"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R209" t="b">
        <f>IF(Metadata!C209="",FALSE,TRUE)</f>
        <v>0</v>
      </c>
      <c r="S209" t="b">
        <f>OR(AND(IF(Metadata!D209="",FALSE,TRUE),EXACT(Metadata!D209,"missing: not collected")),AND(IF(Metadata!D209="",FALSE,TRUE),OR(EXACT(Metadata!D209,"t"),EXACT(Metadata!D209,"f"))))</f>
        <v>0</v>
      </c>
      <c r="T209" t="b">
        <f>AND(IF(Metadata!E209="",FALSE,TRUE),OR(EXACT(Metadata!E209,"a"),EXACT(Metadata!E209,"b")))</f>
        <v>0</v>
      </c>
      <c r="U209" t="b">
        <f>OR(AND(IF(Metadata!F209="",FALSE,TRUE),OR(EXACT(Metadata!F209,"missing: not collected"),EXACT(Metadata!F209,"missing: not provided"))),AND(IF(Metadata!F209="",FALSE,TRUE),OR(EXACT(Metadata!F209,"lo"),EXACT(Metadata!F209,"med"),EXACT(Metadata!F209,"hi"))))</f>
        <v>0</v>
      </c>
    </row>
    <row r="210" spans="1:21" x14ac:dyDescent="0.2">
      <c r="A210" s="4" t="str">
        <f ca="1">IF(B210=" "," ",HYPERLINK(CONCATENATE("#metadata!",ADDRESS(INDEX($L$2:$L$1001,MATCH(ROWS($J$2:J210),$J$2:$J$1001,0),0),1)),INDEX($O$2:$O$1001,MATCH(ROWS($J$2:J210),$J$2:$J$1001,0),0)))</f>
        <v xml:space="preserve"> </v>
      </c>
      <c r="B210" s="3" t="str">
        <f ca="1">IF(OR(INDEX($K$2:$K$1001,MATCH(ROWS($J$2:J210),$J$2:$J$1001,0),1)&gt;=100000,INDEX($Q$1005:$U$1005,1,MATCH(COLUMNS($Q$1006:Q1006),$Q$1006:$U$1006,0))&gt;=100000), " ",IF(INDEX($Q$2:$U$1001,MATCH(ROWS($J$2:J210),$J$2:$J$1001,0),MATCH(COLUMNS($Q$1006:Q1006),$Q$1006:$U$1006,0)), HYPERLINK("#",""), HYPERLINK(CONCATENATE("#Metadata!", ADDRESS(INDEX($L$2:$L$1001,MATCH(ROWS($J$2:J210),$J$2:$J$1001,0),0), INDEX($Q$1004:$U$1004,1,MATCH(COLUMNS($Q$1006:Q1006),$Q$1006:$U$1006,0)))),"Fix")))</f>
        <v xml:space="preserve"> </v>
      </c>
      <c r="C210" s="3" t="str">
        <f ca="1">IF(OR(INDEX($K$2:$K$1001,MATCH(ROWS($J$2:J210),$J$2:$J$1001,0),1)&gt;=100000,INDEX($Q$1005:$U$1005,1,MATCH(COLUMNS($Q$1006:R1006),$Q$1006:$U$1006,0))&gt;=100000), " ",IF(INDEX($Q$2:$U$1001,MATCH(ROWS($J$2:J210),$J$2:$J$1001,0),MATCH(COLUMNS($Q$1006:R1006),$Q$1006:$U$1006,0)), HYPERLINK("#",""), HYPERLINK(CONCATENATE("#Metadata!", ADDRESS(INDEX($L$2:$L$1001,MATCH(ROWS($J$2:J210),$J$2:$J$1001,0),0), INDEX($Q$1004:$U$1004,1,MATCH(COLUMNS($Q$1006:R1006),$Q$1006:$U$1006,0)))),"Fix")))</f>
        <v xml:space="preserve"> </v>
      </c>
      <c r="D210" s="3" t="str">
        <f ca="1">IF(OR(INDEX($K$2:$K$1001,MATCH(ROWS($J$2:J210),$J$2:$J$1001,0),1)&gt;=100000,INDEX($Q$1005:$U$1005,1,MATCH(COLUMNS($Q$1006:S1006),$Q$1006:$U$1006,0))&gt;=100000), " ",IF(INDEX($Q$2:$U$1001,MATCH(ROWS($J$2:J210),$J$2:$J$1001,0),MATCH(COLUMNS($Q$1006:S1006),$Q$1006:$U$1006,0)), HYPERLINK("#",""), HYPERLINK(CONCATENATE("#Metadata!", ADDRESS(INDEX($L$2:$L$1001,MATCH(ROWS($J$2:J210),$J$2:$J$1001,0),0), INDEX($Q$1004:$U$1004,1,MATCH(COLUMNS($Q$1006:S1006),$Q$1006:$U$1006,0)))),"Fix")))</f>
        <v xml:space="preserve"> </v>
      </c>
      <c r="E210" s="3" t="str">
        <f ca="1">IF(OR(INDEX($K$2:$K$1001,MATCH(ROWS($J$2:J210),$J$2:$J$1001,0),1)&gt;=100000,INDEX($Q$1005:$U$1005,1,MATCH(COLUMNS($Q$1006:T1006),$Q$1006:$U$1006,0))&gt;=100000), " ",IF(INDEX($Q$2:$U$1001,MATCH(ROWS($J$2:J210),$J$2:$J$1001,0),MATCH(COLUMNS($Q$1006:T1006),$Q$1006:$U$1006,0)), HYPERLINK("#",""), HYPERLINK(CONCATENATE("#Metadata!", ADDRESS(INDEX($L$2:$L$1001,MATCH(ROWS($J$2:J210),$J$2:$J$1001,0),0), INDEX($Q$1004:$U$1004,1,MATCH(COLUMNS($Q$1006:T1006),$Q$1006:$U$1006,0)))),"Fix")))</f>
        <v xml:space="preserve"> </v>
      </c>
      <c r="F210" s="3" t="str">
        <f ca="1">IF(OR(INDEX($K$2:$K$1001,MATCH(ROWS($J$2:J210),$J$2:$J$1001,0),1)&gt;=100000,INDEX($Q$1005:$U$1005,1,MATCH(COLUMNS($Q$1006:U1006),$Q$1006:$U$1006,0))&gt;=100000), " ",IF(INDEX($Q$2:$U$1001,MATCH(ROWS($J$2:J210),$J$2:$J$1001,0),MATCH(COLUMNS($Q$1006:U1006),$Q$1006:$U$1006,0)), HYPERLINK("#",""), HYPERLINK(CONCATENATE("#Metadata!", ADDRESS(INDEX($L$2:$L$1001,MATCH(ROWS($J$2:J210),$J$2:$J$1001,0),0), INDEX($Q$1004:$U$1004,1,MATCH(COLUMNS($Q$1006:U1006),$Q$1006:$U$1006,0)))),"Fix")))</f>
        <v xml:space="preserve"> </v>
      </c>
      <c r="J210">
        <f ca="1"/>
        <v>209</v>
      </c>
      <c r="K210">
        <v>100210</v>
      </c>
      <c r="L210">
        <v>210</v>
      </c>
      <c r="M210" t="b">
        <f t="shared" si="3"/>
        <v>1</v>
      </c>
      <c r="N210" t="b">
        <f>COUNTBLANK(Metadata!B210:F210)=COLUMNS(Metadata!B210:F210)</f>
        <v>1</v>
      </c>
      <c r="O210" t="str">
        <v/>
      </c>
      <c r="Q210" t="b">
        <f ca="1"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R210" t="b">
        <f>IF(Metadata!C210="",FALSE,TRUE)</f>
        <v>0</v>
      </c>
      <c r="S210" t="b">
        <f>OR(AND(IF(Metadata!D210="",FALSE,TRUE),EXACT(Metadata!D210,"missing: not collected")),AND(IF(Metadata!D210="",FALSE,TRUE),OR(EXACT(Metadata!D210,"t"),EXACT(Metadata!D210,"f"))))</f>
        <v>0</v>
      </c>
      <c r="T210" t="b">
        <f>AND(IF(Metadata!E210="",FALSE,TRUE),OR(EXACT(Metadata!E210,"a"),EXACT(Metadata!E210,"b")))</f>
        <v>0</v>
      </c>
      <c r="U210" t="b">
        <f>OR(AND(IF(Metadata!F210="",FALSE,TRUE),OR(EXACT(Metadata!F210,"missing: not collected"),EXACT(Metadata!F210,"missing: not provided"))),AND(IF(Metadata!F210="",FALSE,TRUE),OR(EXACT(Metadata!F210,"lo"),EXACT(Metadata!F210,"med"),EXACT(Metadata!F210,"hi"))))</f>
        <v>0</v>
      </c>
    </row>
    <row r="211" spans="1:21" x14ac:dyDescent="0.2">
      <c r="A211" s="4" t="str">
        <f ca="1">IF(B211=" "," ",HYPERLINK(CONCATENATE("#metadata!",ADDRESS(INDEX($L$2:$L$1001,MATCH(ROWS($J$2:J211),$J$2:$J$1001,0),0),1)),INDEX($O$2:$O$1001,MATCH(ROWS($J$2:J211),$J$2:$J$1001,0),0)))</f>
        <v xml:space="preserve"> </v>
      </c>
      <c r="B211" s="3" t="str">
        <f ca="1">IF(OR(INDEX($K$2:$K$1001,MATCH(ROWS($J$2:J211),$J$2:$J$1001,0),1)&gt;=100000,INDEX($Q$1005:$U$1005,1,MATCH(COLUMNS($Q$1006:Q1006),$Q$1006:$U$1006,0))&gt;=100000), " ",IF(INDEX($Q$2:$U$1001,MATCH(ROWS($J$2:J211),$J$2:$J$1001,0),MATCH(COLUMNS($Q$1006:Q1006),$Q$1006:$U$1006,0)), HYPERLINK("#",""), HYPERLINK(CONCATENATE("#Metadata!", ADDRESS(INDEX($L$2:$L$1001,MATCH(ROWS($J$2:J211),$J$2:$J$1001,0),0), INDEX($Q$1004:$U$1004,1,MATCH(COLUMNS($Q$1006:Q1006),$Q$1006:$U$1006,0)))),"Fix")))</f>
        <v xml:space="preserve"> </v>
      </c>
      <c r="C211" s="3" t="str">
        <f ca="1">IF(OR(INDEX($K$2:$K$1001,MATCH(ROWS($J$2:J211),$J$2:$J$1001,0),1)&gt;=100000,INDEX($Q$1005:$U$1005,1,MATCH(COLUMNS($Q$1006:R1006),$Q$1006:$U$1006,0))&gt;=100000), " ",IF(INDEX($Q$2:$U$1001,MATCH(ROWS($J$2:J211),$J$2:$J$1001,0),MATCH(COLUMNS($Q$1006:R1006),$Q$1006:$U$1006,0)), HYPERLINK("#",""), HYPERLINK(CONCATENATE("#Metadata!", ADDRESS(INDEX($L$2:$L$1001,MATCH(ROWS($J$2:J211),$J$2:$J$1001,0),0), INDEX($Q$1004:$U$1004,1,MATCH(COLUMNS($Q$1006:R1006),$Q$1006:$U$1006,0)))),"Fix")))</f>
        <v xml:space="preserve"> </v>
      </c>
      <c r="D211" s="3" t="str">
        <f ca="1">IF(OR(INDEX($K$2:$K$1001,MATCH(ROWS($J$2:J211),$J$2:$J$1001,0),1)&gt;=100000,INDEX($Q$1005:$U$1005,1,MATCH(COLUMNS($Q$1006:S1006),$Q$1006:$U$1006,0))&gt;=100000), " ",IF(INDEX($Q$2:$U$1001,MATCH(ROWS($J$2:J211),$J$2:$J$1001,0),MATCH(COLUMNS($Q$1006:S1006),$Q$1006:$U$1006,0)), HYPERLINK("#",""), HYPERLINK(CONCATENATE("#Metadata!", ADDRESS(INDEX($L$2:$L$1001,MATCH(ROWS($J$2:J211),$J$2:$J$1001,0),0), INDEX($Q$1004:$U$1004,1,MATCH(COLUMNS($Q$1006:S1006),$Q$1006:$U$1006,0)))),"Fix")))</f>
        <v xml:space="preserve"> </v>
      </c>
      <c r="E211" s="3" t="str">
        <f ca="1">IF(OR(INDEX($K$2:$K$1001,MATCH(ROWS($J$2:J211),$J$2:$J$1001,0),1)&gt;=100000,INDEX($Q$1005:$U$1005,1,MATCH(COLUMNS($Q$1006:T1006),$Q$1006:$U$1006,0))&gt;=100000), " ",IF(INDEX($Q$2:$U$1001,MATCH(ROWS($J$2:J211),$J$2:$J$1001,0),MATCH(COLUMNS($Q$1006:T1006),$Q$1006:$U$1006,0)), HYPERLINK("#",""), HYPERLINK(CONCATENATE("#Metadata!", ADDRESS(INDEX($L$2:$L$1001,MATCH(ROWS($J$2:J211),$J$2:$J$1001,0),0), INDEX($Q$1004:$U$1004,1,MATCH(COLUMNS($Q$1006:T1006),$Q$1006:$U$1006,0)))),"Fix")))</f>
        <v xml:space="preserve"> </v>
      </c>
      <c r="F211" s="3" t="str">
        <f ca="1">IF(OR(INDEX($K$2:$K$1001,MATCH(ROWS($J$2:J211),$J$2:$J$1001,0),1)&gt;=100000,INDEX($Q$1005:$U$1005,1,MATCH(COLUMNS($Q$1006:U1006),$Q$1006:$U$1006,0))&gt;=100000), " ",IF(INDEX($Q$2:$U$1001,MATCH(ROWS($J$2:J211),$J$2:$J$1001,0),MATCH(COLUMNS($Q$1006:U1006),$Q$1006:$U$1006,0)), HYPERLINK("#",""), HYPERLINK(CONCATENATE("#Metadata!", ADDRESS(INDEX($L$2:$L$1001,MATCH(ROWS($J$2:J211),$J$2:$J$1001,0),0), INDEX($Q$1004:$U$1004,1,MATCH(COLUMNS($Q$1006:U1006),$Q$1006:$U$1006,0)))),"Fix")))</f>
        <v xml:space="preserve"> </v>
      </c>
      <c r="J211">
        <f ca="1"/>
        <v>210</v>
      </c>
      <c r="K211">
        <v>100211</v>
      </c>
      <c r="L211">
        <v>211</v>
      </c>
      <c r="M211" t="b">
        <f t="shared" si="3"/>
        <v>1</v>
      </c>
      <c r="N211" t="b">
        <f>COUNTBLANK(Metadata!B211:F211)=COLUMNS(Metadata!B211:F211)</f>
        <v>1</v>
      </c>
      <c r="O211" t="str">
        <v/>
      </c>
      <c r="Q211" t="b">
        <f ca="1"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R211" t="b">
        <f>IF(Metadata!C211="",FALSE,TRUE)</f>
        <v>0</v>
      </c>
      <c r="S211" t="b">
        <f>OR(AND(IF(Metadata!D211="",FALSE,TRUE),EXACT(Metadata!D211,"missing: not collected")),AND(IF(Metadata!D211="",FALSE,TRUE),OR(EXACT(Metadata!D211,"t"),EXACT(Metadata!D211,"f"))))</f>
        <v>0</v>
      </c>
      <c r="T211" t="b">
        <f>AND(IF(Metadata!E211="",FALSE,TRUE),OR(EXACT(Metadata!E211,"a"),EXACT(Metadata!E211,"b")))</f>
        <v>0</v>
      </c>
      <c r="U211" t="b">
        <f>OR(AND(IF(Metadata!F211="",FALSE,TRUE),OR(EXACT(Metadata!F211,"missing: not collected"),EXACT(Metadata!F211,"missing: not provided"))),AND(IF(Metadata!F211="",FALSE,TRUE),OR(EXACT(Metadata!F211,"lo"),EXACT(Metadata!F211,"med"),EXACT(Metadata!F211,"hi"))))</f>
        <v>0</v>
      </c>
    </row>
    <row r="212" spans="1:21" x14ac:dyDescent="0.2">
      <c r="A212" s="4" t="str">
        <f ca="1">IF(B212=" "," ",HYPERLINK(CONCATENATE("#metadata!",ADDRESS(INDEX($L$2:$L$1001,MATCH(ROWS($J$2:J212),$J$2:$J$1001,0),0),1)),INDEX($O$2:$O$1001,MATCH(ROWS($J$2:J212),$J$2:$J$1001,0),0)))</f>
        <v xml:space="preserve"> </v>
      </c>
      <c r="B212" s="3" t="str">
        <f ca="1">IF(OR(INDEX($K$2:$K$1001,MATCH(ROWS($J$2:J212),$J$2:$J$1001,0),1)&gt;=100000,INDEX($Q$1005:$U$1005,1,MATCH(COLUMNS($Q$1006:Q1006),$Q$1006:$U$1006,0))&gt;=100000), " ",IF(INDEX($Q$2:$U$1001,MATCH(ROWS($J$2:J212),$J$2:$J$1001,0),MATCH(COLUMNS($Q$1006:Q1006),$Q$1006:$U$1006,0)), HYPERLINK("#",""), HYPERLINK(CONCATENATE("#Metadata!", ADDRESS(INDEX($L$2:$L$1001,MATCH(ROWS($J$2:J212),$J$2:$J$1001,0),0), INDEX($Q$1004:$U$1004,1,MATCH(COLUMNS($Q$1006:Q1006),$Q$1006:$U$1006,0)))),"Fix")))</f>
        <v xml:space="preserve"> </v>
      </c>
      <c r="C212" s="3" t="str">
        <f ca="1">IF(OR(INDEX($K$2:$K$1001,MATCH(ROWS($J$2:J212),$J$2:$J$1001,0),1)&gt;=100000,INDEX($Q$1005:$U$1005,1,MATCH(COLUMNS($Q$1006:R1006),$Q$1006:$U$1006,0))&gt;=100000), " ",IF(INDEX($Q$2:$U$1001,MATCH(ROWS($J$2:J212),$J$2:$J$1001,0),MATCH(COLUMNS($Q$1006:R1006),$Q$1006:$U$1006,0)), HYPERLINK("#",""), HYPERLINK(CONCATENATE("#Metadata!", ADDRESS(INDEX($L$2:$L$1001,MATCH(ROWS($J$2:J212),$J$2:$J$1001,0),0), INDEX($Q$1004:$U$1004,1,MATCH(COLUMNS($Q$1006:R1006),$Q$1006:$U$1006,0)))),"Fix")))</f>
        <v xml:space="preserve"> </v>
      </c>
      <c r="D212" s="3" t="str">
        <f ca="1">IF(OR(INDEX($K$2:$K$1001,MATCH(ROWS($J$2:J212),$J$2:$J$1001,0),1)&gt;=100000,INDEX($Q$1005:$U$1005,1,MATCH(COLUMNS($Q$1006:S1006),$Q$1006:$U$1006,0))&gt;=100000), " ",IF(INDEX($Q$2:$U$1001,MATCH(ROWS($J$2:J212),$J$2:$J$1001,0),MATCH(COLUMNS($Q$1006:S1006),$Q$1006:$U$1006,0)), HYPERLINK("#",""), HYPERLINK(CONCATENATE("#Metadata!", ADDRESS(INDEX($L$2:$L$1001,MATCH(ROWS($J$2:J212),$J$2:$J$1001,0),0), INDEX($Q$1004:$U$1004,1,MATCH(COLUMNS($Q$1006:S1006),$Q$1006:$U$1006,0)))),"Fix")))</f>
        <v xml:space="preserve"> </v>
      </c>
      <c r="E212" s="3" t="str">
        <f ca="1">IF(OR(INDEX($K$2:$K$1001,MATCH(ROWS($J$2:J212),$J$2:$J$1001,0),1)&gt;=100000,INDEX($Q$1005:$U$1005,1,MATCH(COLUMNS($Q$1006:T1006),$Q$1006:$U$1006,0))&gt;=100000), " ",IF(INDEX($Q$2:$U$1001,MATCH(ROWS($J$2:J212),$J$2:$J$1001,0),MATCH(COLUMNS($Q$1006:T1006),$Q$1006:$U$1006,0)), HYPERLINK("#",""), HYPERLINK(CONCATENATE("#Metadata!", ADDRESS(INDEX($L$2:$L$1001,MATCH(ROWS($J$2:J212),$J$2:$J$1001,0),0), INDEX($Q$1004:$U$1004,1,MATCH(COLUMNS($Q$1006:T1006),$Q$1006:$U$1006,0)))),"Fix")))</f>
        <v xml:space="preserve"> </v>
      </c>
      <c r="F212" s="3" t="str">
        <f ca="1">IF(OR(INDEX($K$2:$K$1001,MATCH(ROWS($J$2:J212),$J$2:$J$1001,0),1)&gt;=100000,INDEX($Q$1005:$U$1005,1,MATCH(COLUMNS($Q$1006:U1006),$Q$1006:$U$1006,0))&gt;=100000), " ",IF(INDEX($Q$2:$U$1001,MATCH(ROWS($J$2:J212),$J$2:$J$1001,0),MATCH(COLUMNS($Q$1006:U1006),$Q$1006:$U$1006,0)), HYPERLINK("#",""), HYPERLINK(CONCATENATE("#Metadata!", ADDRESS(INDEX($L$2:$L$1001,MATCH(ROWS($J$2:J212),$J$2:$J$1001,0),0), INDEX($Q$1004:$U$1004,1,MATCH(COLUMNS($Q$1006:U1006),$Q$1006:$U$1006,0)))),"Fix")))</f>
        <v xml:space="preserve"> </v>
      </c>
      <c r="J212">
        <f ca="1"/>
        <v>211</v>
      </c>
      <c r="K212">
        <v>100212</v>
      </c>
      <c r="L212">
        <v>212</v>
      </c>
      <c r="M212" t="b">
        <f t="shared" si="3"/>
        <v>1</v>
      </c>
      <c r="N212" t="b">
        <f>COUNTBLANK(Metadata!B212:F212)=COLUMNS(Metadata!B212:F212)</f>
        <v>1</v>
      </c>
      <c r="O212" t="str">
        <v/>
      </c>
      <c r="Q212" t="b">
        <f ca="1"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R212" t="b">
        <f>IF(Metadata!C212="",FALSE,TRUE)</f>
        <v>0</v>
      </c>
      <c r="S212" t="b">
        <f>OR(AND(IF(Metadata!D212="",FALSE,TRUE),EXACT(Metadata!D212,"missing: not collected")),AND(IF(Metadata!D212="",FALSE,TRUE),OR(EXACT(Metadata!D212,"t"),EXACT(Metadata!D212,"f"))))</f>
        <v>0</v>
      </c>
      <c r="T212" t="b">
        <f>AND(IF(Metadata!E212="",FALSE,TRUE),OR(EXACT(Metadata!E212,"a"),EXACT(Metadata!E212,"b")))</f>
        <v>0</v>
      </c>
      <c r="U212" t="b">
        <f>OR(AND(IF(Metadata!F212="",FALSE,TRUE),OR(EXACT(Metadata!F212,"missing: not collected"),EXACT(Metadata!F212,"missing: not provided"))),AND(IF(Metadata!F212="",FALSE,TRUE),OR(EXACT(Metadata!F212,"lo"),EXACT(Metadata!F212,"med"),EXACT(Metadata!F212,"hi"))))</f>
        <v>0</v>
      </c>
    </row>
    <row r="213" spans="1:21" x14ac:dyDescent="0.2">
      <c r="A213" s="4" t="str">
        <f ca="1">IF(B213=" "," ",HYPERLINK(CONCATENATE("#metadata!",ADDRESS(INDEX($L$2:$L$1001,MATCH(ROWS($J$2:J213),$J$2:$J$1001,0),0),1)),INDEX($O$2:$O$1001,MATCH(ROWS($J$2:J213),$J$2:$J$1001,0),0)))</f>
        <v xml:space="preserve"> </v>
      </c>
      <c r="B213" s="3" t="str">
        <f ca="1">IF(OR(INDEX($K$2:$K$1001,MATCH(ROWS($J$2:J213),$J$2:$J$1001,0),1)&gt;=100000,INDEX($Q$1005:$U$1005,1,MATCH(COLUMNS($Q$1006:Q1006),$Q$1006:$U$1006,0))&gt;=100000), " ",IF(INDEX($Q$2:$U$1001,MATCH(ROWS($J$2:J213),$J$2:$J$1001,0),MATCH(COLUMNS($Q$1006:Q1006),$Q$1006:$U$1006,0)), HYPERLINK("#",""), HYPERLINK(CONCATENATE("#Metadata!", ADDRESS(INDEX($L$2:$L$1001,MATCH(ROWS($J$2:J213),$J$2:$J$1001,0),0), INDEX($Q$1004:$U$1004,1,MATCH(COLUMNS($Q$1006:Q1006),$Q$1006:$U$1006,0)))),"Fix")))</f>
        <v xml:space="preserve"> </v>
      </c>
      <c r="C213" s="3" t="str">
        <f ca="1">IF(OR(INDEX($K$2:$K$1001,MATCH(ROWS($J$2:J213),$J$2:$J$1001,0),1)&gt;=100000,INDEX($Q$1005:$U$1005,1,MATCH(COLUMNS($Q$1006:R1006),$Q$1006:$U$1006,0))&gt;=100000), " ",IF(INDEX($Q$2:$U$1001,MATCH(ROWS($J$2:J213),$J$2:$J$1001,0),MATCH(COLUMNS($Q$1006:R1006),$Q$1006:$U$1006,0)), HYPERLINK("#",""), HYPERLINK(CONCATENATE("#Metadata!", ADDRESS(INDEX($L$2:$L$1001,MATCH(ROWS($J$2:J213),$J$2:$J$1001,0),0), INDEX($Q$1004:$U$1004,1,MATCH(COLUMNS($Q$1006:R1006),$Q$1006:$U$1006,0)))),"Fix")))</f>
        <v xml:space="preserve"> </v>
      </c>
      <c r="D213" s="3" t="str">
        <f ca="1">IF(OR(INDEX($K$2:$K$1001,MATCH(ROWS($J$2:J213),$J$2:$J$1001,0),1)&gt;=100000,INDEX($Q$1005:$U$1005,1,MATCH(COLUMNS($Q$1006:S1006),$Q$1006:$U$1006,0))&gt;=100000), " ",IF(INDEX($Q$2:$U$1001,MATCH(ROWS($J$2:J213),$J$2:$J$1001,0),MATCH(COLUMNS($Q$1006:S1006),$Q$1006:$U$1006,0)), HYPERLINK("#",""), HYPERLINK(CONCATENATE("#Metadata!", ADDRESS(INDEX($L$2:$L$1001,MATCH(ROWS($J$2:J213),$J$2:$J$1001,0),0), INDEX($Q$1004:$U$1004,1,MATCH(COLUMNS($Q$1006:S1006),$Q$1006:$U$1006,0)))),"Fix")))</f>
        <v xml:space="preserve"> </v>
      </c>
      <c r="E213" s="3" t="str">
        <f ca="1">IF(OR(INDEX($K$2:$K$1001,MATCH(ROWS($J$2:J213),$J$2:$J$1001,0),1)&gt;=100000,INDEX($Q$1005:$U$1005,1,MATCH(COLUMNS($Q$1006:T1006),$Q$1006:$U$1006,0))&gt;=100000), " ",IF(INDEX($Q$2:$U$1001,MATCH(ROWS($J$2:J213),$J$2:$J$1001,0),MATCH(COLUMNS($Q$1006:T1006),$Q$1006:$U$1006,0)), HYPERLINK("#",""), HYPERLINK(CONCATENATE("#Metadata!", ADDRESS(INDEX($L$2:$L$1001,MATCH(ROWS($J$2:J213),$J$2:$J$1001,0),0), INDEX($Q$1004:$U$1004,1,MATCH(COLUMNS($Q$1006:T1006),$Q$1006:$U$1006,0)))),"Fix")))</f>
        <v xml:space="preserve"> </v>
      </c>
      <c r="F213" s="3" t="str">
        <f ca="1">IF(OR(INDEX($K$2:$K$1001,MATCH(ROWS($J$2:J213),$J$2:$J$1001,0),1)&gt;=100000,INDEX($Q$1005:$U$1005,1,MATCH(COLUMNS($Q$1006:U1006),$Q$1006:$U$1006,0))&gt;=100000), " ",IF(INDEX($Q$2:$U$1001,MATCH(ROWS($J$2:J213),$J$2:$J$1001,0),MATCH(COLUMNS($Q$1006:U1006),$Q$1006:$U$1006,0)), HYPERLINK("#",""), HYPERLINK(CONCATENATE("#Metadata!", ADDRESS(INDEX($L$2:$L$1001,MATCH(ROWS($J$2:J213),$J$2:$J$1001,0),0), INDEX($Q$1004:$U$1004,1,MATCH(COLUMNS($Q$1006:U1006),$Q$1006:$U$1006,0)))),"Fix")))</f>
        <v xml:space="preserve"> </v>
      </c>
      <c r="J213">
        <f ca="1"/>
        <v>212</v>
      </c>
      <c r="K213">
        <v>100213</v>
      </c>
      <c r="L213">
        <v>213</v>
      </c>
      <c r="M213" t="b">
        <f t="shared" si="3"/>
        <v>1</v>
      </c>
      <c r="N213" t="b">
        <f>COUNTBLANK(Metadata!B213:F213)=COLUMNS(Metadata!B213:F213)</f>
        <v>1</v>
      </c>
      <c r="O213" t="str">
        <v/>
      </c>
      <c r="Q213" t="b">
        <f ca="1"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R213" t="b">
        <f>IF(Metadata!C213="",FALSE,TRUE)</f>
        <v>0</v>
      </c>
      <c r="S213" t="b">
        <f>OR(AND(IF(Metadata!D213="",FALSE,TRUE),EXACT(Metadata!D213,"missing: not collected")),AND(IF(Metadata!D213="",FALSE,TRUE),OR(EXACT(Metadata!D213,"t"),EXACT(Metadata!D213,"f"))))</f>
        <v>0</v>
      </c>
      <c r="T213" t="b">
        <f>AND(IF(Metadata!E213="",FALSE,TRUE),OR(EXACT(Metadata!E213,"a"),EXACT(Metadata!E213,"b")))</f>
        <v>0</v>
      </c>
      <c r="U213" t="b">
        <f>OR(AND(IF(Metadata!F213="",FALSE,TRUE),OR(EXACT(Metadata!F213,"missing: not collected"),EXACT(Metadata!F213,"missing: not provided"))),AND(IF(Metadata!F213="",FALSE,TRUE),OR(EXACT(Metadata!F213,"lo"),EXACT(Metadata!F213,"med"),EXACT(Metadata!F213,"hi"))))</f>
        <v>0</v>
      </c>
    </row>
    <row r="214" spans="1:21" x14ac:dyDescent="0.2">
      <c r="A214" s="4" t="str">
        <f ca="1">IF(B214=" "," ",HYPERLINK(CONCATENATE("#metadata!",ADDRESS(INDEX($L$2:$L$1001,MATCH(ROWS($J$2:J214),$J$2:$J$1001,0),0),1)),INDEX($O$2:$O$1001,MATCH(ROWS($J$2:J214),$J$2:$J$1001,0),0)))</f>
        <v xml:space="preserve"> </v>
      </c>
      <c r="B214" s="3" t="str">
        <f ca="1">IF(OR(INDEX($K$2:$K$1001,MATCH(ROWS($J$2:J214),$J$2:$J$1001,0),1)&gt;=100000,INDEX($Q$1005:$U$1005,1,MATCH(COLUMNS($Q$1006:Q1006),$Q$1006:$U$1006,0))&gt;=100000), " ",IF(INDEX($Q$2:$U$1001,MATCH(ROWS($J$2:J214),$J$2:$J$1001,0),MATCH(COLUMNS($Q$1006:Q1006),$Q$1006:$U$1006,0)), HYPERLINK("#",""), HYPERLINK(CONCATENATE("#Metadata!", ADDRESS(INDEX($L$2:$L$1001,MATCH(ROWS($J$2:J214),$J$2:$J$1001,0),0), INDEX($Q$1004:$U$1004,1,MATCH(COLUMNS($Q$1006:Q1006),$Q$1006:$U$1006,0)))),"Fix")))</f>
        <v xml:space="preserve"> </v>
      </c>
      <c r="C214" s="3" t="str">
        <f ca="1">IF(OR(INDEX($K$2:$K$1001,MATCH(ROWS($J$2:J214),$J$2:$J$1001,0),1)&gt;=100000,INDEX($Q$1005:$U$1005,1,MATCH(COLUMNS($Q$1006:R1006),$Q$1006:$U$1006,0))&gt;=100000), " ",IF(INDEX($Q$2:$U$1001,MATCH(ROWS($J$2:J214),$J$2:$J$1001,0),MATCH(COLUMNS($Q$1006:R1006),$Q$1006:$U$1006,0)), HYPERLINK("#",""), HYPERLINK(CONCATENATE("#Metadata!", ADDRESS(INDEX($L$2:$L$1001,MATCH(ROWS($J$2:J214),$J$2:$J$1001,0),0), INDEX($Q$1004:$U$1004,1,MATCH(COLUMNS($Q$1006:R1006),$Q$1006:$U$1006,0)))),"Fix")))</f>
        <v xml:space="preserve"> </v>
      </c>
      <c r="D214" s="3" t="str">
        <f ca="1">IF(OR(INDEX($K$2:$K$1001,MATCH(ROWS($J$2:J214),$J$2:$J$1001,0),1)&gt;=100000,INDEX($Q$1005:$U$1005,1,MATCH(COLUMNS($Q$1006:S1006),$Q$1006:$U$1006,0))&gt;=100000), " ",IF(INDEX($Q$2:$U$1001,MATCH(ROWS($J$2:J214),$J$2:$J$1001,0),MATCH(COLUMNS($Q$1006:S1006),$Q$1006:$U$1006,0)), HYPERLINK("#",""), HYPERLINK(CONCATENATE("#Metadata!", ADDRESS(INDEX($L$2:$L$1001,MATCH(ROWS($J$2:J214),$J$2:$J$1001,0),0), INDEX($Q$1004:$U$1004,1,MATCH(COLUMNS($Q$1006:S1006),$Q$1006:$U$1006,0)))),"Fix")))</f>
        <v xml:space="preserve"> </v>
      </c>
      <c r="E214" s="3" t="str">
        <f ca="1">IF(OR(INDEX($K$2:$K$1001,MATCH(ROWS($J$2:J214),$J$2:$J$1001,0),1)&gt;=100000,INDEX($Q$1005:$U$1005,1,MATCH(COLUMNS($Q$1006:T1006),$Q$1006:$U$1006,0))&gt;=100000), " ",IF(INDEX($Q$2:$U$1001,MATCH(ROWS($J$2:J214),$J$2:$J$1001,0),MATCH(COLUMNS($Q$1006:T1006),$Q$1006:$U$1006,0)), HYPERLINK("#",""), HYPERLINK(CONCATENATE("#Metadata!", ADDRESS(INDEX($L$2:$L$1001,MATCH(ROWS($J$2:J214),$J$2:$J$1001,0),0), INDEX($Q$1004:$U$1004,1,MATCH(COLUMNS($Q$1006:T1006),$Q$1006:$U$1006,0)))),"Fix")))</f>
        <v xml:space="preserve"> </v>
      </c>
      <c r="F214" s="3" t="str">
        <f ca="1">IF(OR(INDEX($K$2:$K$1001,MATCH(ROWS($J$2:J214),$J$2:$J$1001,0),1)&gt;=100000,INDEX($Q$1005:$U$1005,1,MATCH(COLUMNS($Q$1006:U1006),$Q$1006:$U$1006,0))&gt;=100000), " ",IF(INDEX($Q$2:$U$1001,MATCH(ROWS($J$2:J214),$J$2:$J$1001,0),MATCH(COLUMNS($Q$1006:U1006),$Q$1006:$U$1006,0)), HYPERLINK("#",""), HYPERLINK(CONCATENATE("#Metadata!", ADDRESS(INDEX($L$2:$L$1001,MATCH(ROWS($J$2:J214),$J$2:$J$1001,0),0), INDEX($Q$1004:$U$1004,1,MATCH(COLUMNS($Q$1006:U1006),$Q$1006:$U$1006,0)))),"Fix")))</f>
        <v xml:space="preserve"> </v>
      </c>
      <c r="J214">
        <f ca="1"/>
        <v>213</v>
      </c>
      <c r="K214">
        <v>100214</v>
      </c>
      <c r="L214">
        <v>214</v>
      </c>
      <c r="M214" t="b">
        <f t="shared" si="3"/>
        <v>1</v>
      </c>
      <c r="N214" t="b">
        <f>COUNTBLANK(Metadata!B214:F214)=COLUMNS(Metadata!B214:F214)</f>
        <v>1</v>
      </c>
      <c r="O214" t="str">
        <v/>
      </c>
      <c r="Q214" t="b">
        <f ca="1"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R214" t="b">
        <f>IF(Metadata!C214="",FALSE,TRUE)</f>
        <v>0</v>
      </c>
      <c r="S214" t="b">
        <f>OR(AND(IF(Metadata!D214="",FALSE,TRUE),EXACT(Metadata!D214,"missing: not collected")),AND(IF(Metadata!D214="",FALSE,TRUE),OR(EXACT(Metadata!D214,"t"),EXACT(Metadata!D214,"f"))))</f>
        <v>0</v>
      </c>
      <c r="T214" t="b">
        <f>AND(IF(Metadata!E214="",FALSE,TRUE),OR(EXACT(Metadata!E214,"a"),EXACT(Metadata!E214,"b")))</f>
        <v>0</v>
      </c>
      <c r="U214" t="b">
        <f>OR(AND(IF(Metadata!F214="",FALSE,TRUE),OR(EXACT(Metadata!F214,"missing: not collected"),EXACT(Metadata!F214,"missing: not provided"))),AND(IF(Metadata!F214="",FALSE,TRUE),OR(EXACT(Metadata!F214,"lo"),EXACT(Metadata!F214,"med"),EXACT(Metadata!F214,"hi"))))</f>
        <v>0</v>
      </c>
    </row>
    <row r="215" spans="1:21" x14ac:dyDescent="0.2">
      <c r="A215" s="4" t="str">
        <f ca="1">IF(B215=" "," ",HYPERLINK(CONCATENATE("#metadata!",ADDRESS(INDEX($L$2:$L$1001,MATCH(ROWS($J$2:J215),$J$2:$J$1001,0),0),1)),INDEX($O$2:$O$1001,MATCH(ROWS($J$2:J215),$J$2:$J$1001,0),0)))</f>
        <v xml:space="preserve"> </v>
      </c>
      <c r="B215" s="3" t="str">
        <f ca="1">IF(OR(INDEX($K$2:$K$1001,MATCH(ROWS($J$2:J215),$J$2:$J$1001,0),1)&gt;=100000,INDEX($Q$1005:$U$1005,1,MATCH(COLUMNS($Q$1006:Q1006),$Q$1006:$U$1006,0))&gt;=100000), " ",IF(INDEX($Q$2:$U$1001,MATCH(ROWS($J$2:J215),$J$2:$J$1001,0),MATCH(COLUMNS($Q$1006:Q1006),$Q$1006:$U$1006,0)), HYPERLINK("#",""), HYPERLINK(CONCATENATE("#Metadata!", ADDRESS(INDEX($L$2:$L$1001,MATCH(ROWS($J$2:J215),$J$2:$J$1001,0),0), INDEX($Q$1004:$U$1004,1,MATCH(COLUMNS($Q$1006:Q1006),$Q$1006:$U$1006,0)))),"Fix")))</f>
        <v xml:space="preserve"> </v>
      </c>
      <c r="C215" s="3" t="str">
        <f ca="1">IF(OR(INDEX($K$2:$K$1001,MATCH(ROWS($J$2:J215),$J$2:$J$1001,0),1)&gt;=100000,INDEX($Q$1005:$U$1005,1,MATCH(COLUMNS($Q$1006:R1006),$Q$1006:$U$1006,0))&gt;=100000), " ",IF(INDEX($Q$2:$U$1001,MATCH(ROWS($J$2:J215),$J$2:$J$1001,0),MATCH(COLUMNS($Q$1006:R1006),$Q$1006:$U$1006,0)), HYPERLINK("#",""), HYPERLINK(CONCATENATE("#Metadata!", ADDRESS(INDEX($L$2:$L$1001,MATCH(ROWS($J$2:J215),$J$2:$J$1001,0),0), INDEX($Q$1004:$U$1004,1,MATCH(COLUMNS($Q$1006:R1006),$Q$1006:$U$1006,0)))),"Fix")))</f>
        <v xml:space="preserve"> </v>
      </c>
      <c r="D215" s="3" t="str">
        <f ca="1">IF(OR(INDEX($K$2:$K$1001,MATCH(ROWS($J$2:J215),$J$2:$J$1001,0),1)&gt;=100000,INDEX($Q$1005:$U$1005,1,MATCH(COLUMNS($Q$1006:S1006),$Q$1006:$U$1006,0))&gt;=100000), " ",IF(INDEX($Q$2:$U$1001,MATCH(ROWS($J$2:J215),$J$2:$J$1001,0),MATCH(COLUMNS($Q$1006:S1006),$Q$1006:$U$1006,0)), HYPERLINK("#",""), HYPERLINK(CONCATENATE("#Metadata!", ADDRESS(INDEX($L$2:$L$1001,MATCH(ROWS($J$2:J215),$J$2:$J$1001,0),0), INDEX($Q$1004:$U$1004,1,MATCH(COLUMNS($Q$1006:S1006),$Q$1006:$U$1006,0)))),"Fix")))</f>
        <v xml:space="preserve"> </v>
      </c>
      <c r="E215" s="3" t="str">
        <f ca="1">IF(OR(INDEX($K$2:$K$1001,MATCH(ROWS($J$2:J215),$J$2:$J$1001,0),1)&gt;=100000,INDEX($Q$1005:$U$1005,1,MATCH(COLUMNS($Q$1006:T1006),$Q$1006:$U$1006,0))&gt;=100000), " ",IF(INDEX($Q$2:$U$1001,MATCH(ROWS($J$2:J215),$J$2:$J$1001,0),MATCH(COLUMNS($Q$1006:T1006),$Q$1006:$U$1006,0)), HYPERLINK("#",""), HYPERLINK(CONCATENATE("#Metadata!", ADDRESS(INDEX($L$2:$L$1001,MATCH(ROWS($J$2:J215),$J$2:$J$1001,0),0), INDEX($Q$1004:$U$1004,1,MATCH(COLUMNS($Q$1006:T1006),$Q$1006:$U$1006,0)))),"Fix")))</f>
        <v xml:space="preserve"> </v>
      </c>
      <c r="F215" s="3" t="str">
        <f ca="1">IF(OR(INDEX($K$2:$K$1001,MATCH(ROWS($J$2:J215),$J$2:$J$1001,0),1)&gt;=100000,INDEX($Q$1005:$U$1005,1,MATCH(COLUMNS($Q$1006:U1006),$Q$1006:$U$1006,0))&gt;=100000), " ",IF(INDEX($Q$2:$U$1001,MATCH(ROWS($J$2:J215),$J$2:$J$1001,0),MATCH(COLUMNS($Q$1006:U1006),$Q$1006:$U$1006,0)), HYPERLINK("#",""), HYPERLINK(CONCATENATE("#Metadata!", ADDRESS(INDEX($L$2:$L$1001,MATCH(ROWS($J$2:J215),$J$2:$J$1001,0),0), INDEX($Q$1004:$U$1004,1,MATCH(COLUMNS($Q$1006:U1006),$Q$1006:$U$1006,0)))),"Fix")))</f>
        <v xml:space="preserve"> </v>
      </c>
      <c r="J215">
        <f ca="1"/>
        <v>214</v>
      </c>
      <c r="K215">
        <v>100215</v>
      </c>
      <c r="L215">
        <v>215</v>
      </c>
      <c r="M215" t="b">
        <f t="shared" si="3"/>
        <v>1</v>
      </c>
      <c r="N215" t="b">
        <f>COUNTBLANK(Metadata!B215:F215)=COLUMNS(Metadata!B215:F215)</f>
        <v>1</v>
      </c>
      <c r="O215" t="str">
        <v/>
      </c>
      <c r="Q215" t="b">
        <f ca="1"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R215" t="b">
        <f>IF(Metadata!C215="",FALSE,TRUE)</f>
        <v>0</v>
      </c>
      <c r="S215" t="b">
        <f>OR(AND(IF(Metadata!D215="",FALSE,TRUE),EXACT(Metadata!D215,"missing: not collected")),AND(IF(Metadata!D215="",FALSE,TRUE),OR(EXACT(Metadata!D215,"t"),EXACT(Metadata!D215,"f"))))</f>
        <v>0</v>
      </c>
      <c r="T215" t="b">
        <f>AND(IF(Metadata!E215="",FALSE,TRUE),OR(EXACT(Metadata!E215,"a"),EXACT(Metadata!E215,"b")))</f>
        <v>0</v>
      </c>
      <c r="U215" t="b">
        <f>OR(AND(IF(Metadata!F215="",FALSE,TRUE),OR(EXACT(Metadata!F215,"missing: not collected"),EXACT(Metadata!F215,"missing: not provided"))),AND(IF(Metadata!F215="",FALSE,TRUE),OR(EXACT(Metadata!F215,"lo"),EXACT(Metadata!F215,"med"),EXACT(Metadata!F215,"hi"))))</f>
        <v>0</v>
      </c>
    </row>
    <row r="216" spans="1:21" x14ac:dyDescent="0.2">
      <c r="A216" s="4" t="str">
        <f ca="1">IF(B216=" "," ",HYPERLINK(CONCATENATE("#metadata!",ADDRESS(INDEX($L$2:$L$1001,MATCH(ROWS($J$2:J216),$J$2:$J$1001,0),0),1)),INDEX($O$2:$O$1001,MATCH(ROWS($J$2:J216),$J$2:$J$1001,0),0)))</f>
        <v xml:space="preserve"> </v>
      </c>
      <c r="B216" s="3" t="str">
        <f ca="1">IF(OR(INDEX($K$2:$K$1001,MATCH(ROWS($J$2:J216),$J$2:$J$1001,0),1)&gt;=100000,INDEX($Q$1005:$U$1005,1,MATCH(COLUMNS($Q$1006:Q1006),$Q$1006:$U$1006,0))&gt;=100000), " ",IF(INDEX($Q$2:$U$1001,MATCH(ROWS($J$2:J216),$J$2:$J$1001,0),MATCH(COLUMNS($Q$1006:Q1006),$Q$1006:$U$1006,0)), HYPERLINK("#",""), HYPERLINK(CONCATENATE("#Metadata!", ADDRESS(INDEX($L$2:$L$1001,MATCH(ROWS($J$2:J216),$J$2:$J$1001,0),0), INDEX($Q$1004:$U$1004,1,MATCH(COLUMNS($Q$1006:Q1006),$Q$1006:$U$1006,0)))),"Fix")))</f>
        <v xml:space="preserve"> </v>
      </c>
      <c r="C216" s="3" t="str">
        <f ca="1">IF(OR(INDEX($K$2:$K$1001,MATCH(ROWS($J$2:J216),$J$2:$J$1001,0),1)&gt;=100000,INDEX($Q$1005:$U$1005,1,MATCH(COLUMNS($Q$1006:R1006),$Q$1006:$U$1006,0))&gt;=100000), " ",IF(INDEX($Q$2:$U$1001,MATCH(ROWS($J$2:J216),$J$2:$J$1001,0),MATCH(COLUMNS($Q$1006:R1006),$Q$1006:$U$1006,0)), HYPERLINK("#",""), HYPERLINK(CONCATENATE("#Metadata!", ADDRESS(INDEX($L$2:$L$1001,MATCH(ROWS($J$2:J216),$J$2:$J$1001,0),0), INDEX($Q$1004:$U$1004,1,MATCH(COLUMNS($Q$1006:R1006),$Q$1006:$U$1006,0)))),"Fix")))</f>
        <v xml:space="preserve"> </v>
      </c>
      <c r="D216" s="3" t="str">
        <f ca="1">IF(OR(INDEX($K$2:$K$1001,MATCH(ROWS($J$2:J216),$J$2:$J$1001,0),1)&gt;=100000,INDEX($Q$1005:$U$1005,1,MATCH(COLUMNS($Q$1006:S1006),$Q$1006:$U$1006,0))&gt;=100000), " ",IF(INDEX($Q$2:$U$1001,MATCH(ROWS($J$2:J216),$J$2:$J$1001,0),MATCH(COLUMNS($Q$1006:S1006),$Q$1006:$U$1006,0)), HYPERLINK("#",""), HYPERLINK(CONCATENATE("#Metadata!", ADDRESS(INDEX($L$2:$L$1001,MATCH(ROWS($J$2:J216),$J$2:$J$1001,0),0), INDEX($Q$1004:$U$1004,1,MATCH(COLUMNS($Q$1006:S1006),$Q$1006:$U$1006,0)))),"Fix")))</f>
        <v xml:space="preserve"> </v>
      </c>
      <c r="E216" s="3" t="str">
        <f ca="1">IF(OR(INDEX($K$2:$K$1001,MATCH(ROWS($J$2:J216),$J$2:$J$1001,0),1)&gt;=100000,INDEX($Q$1005:$U$1005,1,MATCH(COLUMNS($Q$1006:T1006),$Q$1006:$U$1006,0))&gt;=100000), " ",IF(INDEX($Q$2:$U$1001,MATCH(ROWS($J$2:J216),$J$2:$J$1001,0),MATCH(COLUMNS($Q$1006:T1006),$Q$1006:$U$1006,0)), HYPERLINK("#",""), HYPERLINK(CONCATENATE("#Metadata!", ADDRESS(INDEX($L$2:$L$1001,MATCH(ROWS($J$2:J216),$J$2:$J$1001,0),0), INDEX($Q$1004:$U$1004,1,MATCH(COLUMNS($Q$1006:T1006),$Q$1006:$U$1006,0)))),"Fix")))</f>
        <v xml:space="preserve"> </v>
      </c>
      <c r="F216" s="3" t="str">
        <f ca="1">IF(OR(INDEX($K$2:$K$1001,MATCH(ROWS($J$2:J216),$J$2:$J$1001,0),1)&gt;=100000,INDEX($Q$1005:$U$1005,1,MATCH(COLUMNS($Q$1006:U1006),$Q$1006:$U$1006,0))&gt;=100000), " ",IF(INDEX($Q$2:$U$1001,MATCH(ROWS($J$2:J216),$J$2:$J$1001,0),MATCH(COLUMNS($Q$1006:U1006),$Q$1006:$U$1006,0)), HYPERLINK("#",""), HYPERLINK(CONCATENATE("#Metadata!", ADDRESS(INDEX($L$2:$L$1001,MATCH(ROWS($J$2:J216),$J$2:$J$1001,0),0), INDEX($Q$1004:$U$1004,1,MATCH(COLUMNS($Q$1006:U1006),$Q$1006:$U$1006,0)))),"Fix")))</f>
        <v xml:space="preserve"> </v>
      </c>
      <c r="J216">
        <f ca="1"/>
        <v>215</v>
      </c>
      <c r="K216">
        <v>100216</v>
      </c>
      <c r="L216">
        <v>216</v>
      </c>
      <c r="M216" t="b">
        <f t="shared" si="3"/>
        <v>1</v>
      </c>
      <c r="N216" t="b">
        <f>COUNTBLANK(Metadata!B216:F216)=COLUMNS(Metadata!B216:F216)</f>
        <v>1</v>
      </c>
      <c r="O216" t="str">
        <v/>
      </c>
      <c r="Q216" t="b">
        <f ca="1"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R216" t="b">
        <f>IF(Metadata!C216="",FALSE,TRUE)</f>
        <v>0</v>
      </c>
      <c r="S216" t="b">
        <f>OR(AND(IF(Metadata!D216="",FALSE,TRUE),EXACT(Metadata!D216,"missing: not collected")),AND(IF(Metadata!D216="",FALSE,TRUE),OR(EXACT(Metadata!D216,"t"),EXACT(Metadata!D216,"f"))))</f>
        <v>0</v>
      </c>
      <c r="T216" t="b">
        <f>AND(IF(Metadata!E216="",FALSE,TRUE),OR(EXACT(Metadata!E216,"a"),EXACT(Metadata!E216,"b")))</f>
        <v>0</v>
      </c>
      <c r="U216" t="b">
        <f>OR(AND(IF(Metadata!F216="",FALSE,TRUE),OR(EXACT(Metadata!F216,"missing: not collected"),EXACT(Metadata!F216,"missing: not provided"))),AND(IF(Metadata!F216="",FALSE,TRUE),OR(EXACT(Metadata!F216,"lo"),EXACT(Metadata!F216,"med"),EXACT(Metadata!F216,"hi"))))</f>
        <v>0</v>
      </c>
    </row>
    <row r="217" spans="1:21" x14ac:dyDescent="0.2">
      <c r="A217" s="4" t="str">
        <f ca="1">IF(B217=" "," ",HYPERLINK(CONCATENATE("#metadata!",ADDRESS(INDEX($L$2:$L$1001,MATCH(ROWS($J$2:J217),$J$2:$J$1001,0),0),1)),INDEX($O$2:$O$1001,MATCH(ROWS($J$2:J217),$J$2:$J$1001,0),0)))</f>
        <v xml:space="preserve"> </v>
      </c>
      <c r="B217" s="3" t="str">
        <f ca="1">IF(OR(INDEX($K$2:$K$1001,MATCH(ROWS($J$2:J217),$J$2:$J$1001,0),1)&gt;=100000,INDEX($Q$1005:$U$1005,1,MATCH(COLUMNS($Q$1006:Q1006),$Q$1006:$U$1006,0))&gt;=100000), " ",IF(INDEX($Q$2:$U$1001,MATCH(ROWS($J$2:J217),$J$2:$J$1001,0),MATCH(COLUMNS($Q$1006:Q1006),$Q$1006:$U$1006,0)), HYPERLINK("#",""), HYPERLINK(CONCATENATE("#Metadata!", ADDRESS(INDEX($L$2:$L$1001,MATCH(ROWS($J$2:J217),$J$2:$J$1001,0),0), INDEX($Q$1004:$U$1004,1,MATCH(COLUMNS($Q$1006:Q1006),$Q$1006:$U$1006,0)))),"Fix")))</f>
        <v xml:space="preserve"> </v>
      </c>
      <c r="C217" s="3" t="str">
        <f ca="1">IF(OR(INDEX($K$2:$K$1001,MATCH(ROWS($J$2:J217),$J$2:$J$1001,0),1)&gt;=100000,INDEX($Q$1005:$U$1005,1,MATCH(COLUMNS($Q$1006:R1006),$Q$1006:$U$1006,0))&gt;=100000), " ",IF(INDEX($Q$2:$U$1001,MATCH(ROWS($J$2:J217),$J$2:$J$1001,0),MATCH(COLUMNS($Q$1006:R1006),$Q$1006:$U$1006,0)), HYPERLINK("#",""), HYPERLINK(CONCATENATE("#Metadata!", ADDRESS(INDEX($L$2:$L$1001,MATCH(ROWS($J$2:J217),$J$2:$J$1001,0),0), INDEX($Q$1004:$U$1004,1,MATCH(COLUMNS($Q$1006:R1006),$Q$1006:$U$1006,0)))),"Fix")))</f>
        <v xml:space="preserve"> </v>
      </c>
      <c r="D217" s="3" t="str">
        <f ca="1">IF(OR(INDEX($K$2:$K$1001,MATCH(ROWS($J$2:J217),$J$2:$J$1001,0),1)&gt;=100000,INDEX($Q$1005:$U$1005,1,MATCH(COLUMNS($Q$1006:S1006),$Q$1006:$U$1006,0))&gt;=100000), " ",IF(INDEX($Q$2:$U$1001,MATCH(ROWS($J$2:J217),$J$2:$J$1001,0),MATCH(COLUMNS($Q$1006:S1006),$Q$1006:$U$1006,0)), HYPERLINK("#",""), HYPERLINK(CONCATENATE("#Metadata!", ADDRESS(INDEX($L$2:$L$1001,MATCH(ROWS($J$2:J217),$J$2:$J$1001,0),0), INDEX($Q$1004:$U$1004,1,MATCH(COLUMNS($Q$1006:S1006),$Q$1006:$U$1006,0)))),"Fix")))</f>
        <v xml:space="preserve"> </v>
      </c>
      <c r="E217" s="3" t="str">
        <f ca="1">IF(OR(INDEX($K$2:$K$1001,MATCH(ROWS($J$2:J217),$J$2:$J$1001,0),1)&gt;=100000,INDEX($Q$1005:$U$1005,1,MATCH(COLUMNS($Q$1006:T1006),$Q$1006:$U$1006,0))&gt;=100000), " ",IF(INDEX($Q$2:$U$1001,MATCH(ROWS($J$2:J217),$J$2:$J$1001,0),MATCH(COLUMNS($Q$1006:T1006),$Q$1006:$U$1006,0)), HYPERLINK("#",""), HYPERLINK(CONCATENATE("#Metadata!", ADDRESS(INDEX($L$2:$L$1001,MATCH(ROWS($J$2:J217),$J$2:$J$1001,0),0), INDEX($Q$1004:$U$1004,1,MATCH(COLUMNS($Q$1006:T1006),$Q$1006:$U$1006,0)))),"Fix")))</f>
        <v xml:space="preserve"> </v>
      </c>
      <c r="F217" s="3" t="str">
        <f ca="1">IF(OR(INDEX($K$2:$K$1001,MATCH(ROWS($J$2:J217),$J$2:$J$1001,0),1)&gt;=100000,INDEX($Q$1005:$U$1005,1,MATCH(COLUMNS($Q$1006:U1006),$Q$1006:$U$1006,0))&gt;=100000), " ",IF(INDEX($Q$2:$U$1001,MATCH(ROWS($J$2:J217),$J$2:$J$1001,0),MATCH(COLUMNS($Q$1006:U1006),$Q$1006:$U$1006,0)), HYPERLINK("#",""), HYPERLINK(CONCATENATE("#Metadata!", ADDRESS(INDEX($L$2:$L$1001,MATCH(ROWS($J$2:J217),$J$2:$J$1001,0),0), INDEX($Q$1004:$U$1004,1,MATCH(COLUMNS($Q$1006:U1006),$Q$1006:$U$1006,0)))),"Fix")))</f>
        <v xml:space="preserve"> </v>
      </c>
      <c r="J217">
        <f ca="1"/>
        <v>216</v>
      </c>
      <c r="K217">
        <v>100217</v>
      </c>
      <c r="L217">
        <v>217</v>
      </c>
      <c r="M217" t="b">
        <f t="shared" si="3"/>
        <v>1</v>
      </c>
      <c r="N217" t="b">
        <f>COUNTBLANK(Metadata!B217:F217)=COLUMNS(Metadata!B217:F217)</f>
        <v>1</v>
      </c>
      <c r="O217" t="str">
        <v/>
      </c>
      <c r="Q217" t="b">
        <f ca="1"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R217" t="b">
        <f>IF(Metadata!C217="",FALSE,TRUE)</f>
        <v>0</v>
      </c>
      <c r="S217" t="b">
        <f>OR(AND(IF(Metadata!D217="",FALSE,TRUE),EXACT(Metadata!D217,"missing: not collected")),AND(IF(Metadata!D217="",FALSE,TRUE),OR(EXACT(Metadata!D217,"t"),EXACT(Metadata!D217,"f"))))</f>
        <v>0</v>
      </c>
      <c r="T217" t="b">
        <f>AND(IF(Metadata!E217="",FALSE,TRUE),OR(EXACT(Metadata!E217,"a"),EXACT(Metadata!E217,"b")))</f>
        <v>0</v>
      </c>
      <c r="U217" t="b">
        <f>OR(AND(IF(Metadata!F217="",FALSE,TRUE),OR(EXACT(Metadata!F217,"missing: not collected"),EXACT(Metadata!F217,"missing: not provided"))),AND(IF(Metadata!F217="",FALSE,TRUE),OR(EXACT(Metadata!F217,"lo"),EXACT(Metadata!F217,"med"),EXACT(Metadata!F217,"hi"))))</f>
        <v>0</v>
      </c>
    </row>
    <row r="218" spans="1:21" x14ac:dyDescent="0.2">
      <c r="A218" s="4" t="str">
        <f ca="1">IF(B218=" "," ",HYPERLINK(CONCATENATE("#metadata!",ADDRESS(INDEX($L$2:$L$1001,MATCH(ROWS($J$2:J218),$J$2:$J$1001,0),0),1)),INDEX($O$2:$O$1001,MATCH(ROWS($J$2:J218),$J$2:$J$1001,0),0)))</f>
        <v xml:space="preserve"> </v>
      </c>
      <c r="B218" s="3" t="str">
        <f ca="1">IF(OR(INDEX($K$2:$K$1001,MATCH(ROWS($J$2:J218),$J$2:$J$1001,0),1)&gt;=100000,INDEX($Q$1005:$U$1005,1,MATCH(COLUMNS($Q$1006:Q1006),$Q$1006:$U$1006,0))&gt;=100000), " ",IF(INDEX($Q$2:$U$1001,MATCH(ROWS($J$2:J218),$J$2:$J$1001,0),MATCH(COLUMNS($Q$1006:Q1006),$Q$1006:$U$1006,0)), HYPERLINK("#",""), HYPERLINK(CONCATENATE("#Metadata!", ADDRESS(INDEX($L$2:$L$1001,MATCH(ROWS($J$2:J218),$J$2:$J$1001,0),0), INDEX($Q$1004:$U$1004,1,MATCH(COLUMNS($Q$1006:Q1006),$Q$1006:$U$1006,0)))),"Fix")))</f>
        <v xml:space="preserve"> </v>
      </c>
      <c r="C218" s="3" t="str">
        <f ca="1">IF(OR(INDEX($K$2:$K$1001,MATCH(ROWS($J$2:J218),$J$2:$J$1001,0),1)&gt;=100000,INDEX($Q$1005:$U$1005,1,MATCH(COLUMNS($Q$1006:R1006),$Q$1006:$U$1006,0))&gt;=100000), " ",IF(INDEX($Q$2:$U$1001,MATCH(ROWS($J$2:J218),$J$2:$J$1001,0),MATCH(COLUMNS($Q$1006:R1006),$Q$1006:$U$1006,0)), HYPERLINK("#",""), HYPERLINK(CONCATENATE("#Metadata!", ADDRESS(INDEX($L$2:$L$1001,MATCH(ROWS($J$2:J218),$J$2:$J$1001,0),0), INDEX($Q$1004:$U$1004,1,MATCH(COLUMNS($Q$1006:R1006),$Q$1006:$U$1006,0)))),"Fix")))</f>
        <v xml:space="preserve"> </v>
      </c>
      <c r="D218" s="3" t="str">
        <f ca="1">IF(OR(INDEX($K$2:$K$1001,MATCH(ROWS($J$2:J218),$J$2:$J$1001,0),1)&gt;=100000,INDEX($Q$1005:$U$1005,1,MATCH(COLUMNS($Q$1006:S1006),$Q$1006:$U$1006,0))&gt;=100000), " ",IF(INDEX($Q$2:$U$1001,MATCH(ROWS($J$2:J218),$J$2:$J$1001,0),MATCH(COLUMNS($Q$1006:S1006),$Q$1006:$U$1006,0)), HYPERLINK("#",""), HYPERLINK(CONCATENATE("#Metadata!", ADDRESS(INDEX($L$2:$L$1001,MATCH(ROWS($J$2:J218),$J$2:$J$1001,0),0), INDEX($Q$1004:$U$1004,1,MATCH(COLUMNS($Q$1006:S1006),$Q$1006:$U$1006,0)))),"Fix")))</f>
        <v xml:space="preserve"> </v>
      </c>
      <c r="E218" s="3" t="str">
        <f ca="1">IF(OR(INDEX($K$2:$K$1001,MATCH(ROWS($J$2:J218),$J$2:$J$1001,0),1)&gt;=100000,INDEX($Q$1005:$U$1005,1,MATCH(COLUMNS($Q$1006:T1006),$Q$1006:$U$1006,0))&gt;=100000), " ",IF(INDEX($Q$2:$U$1001,MATCH(ROWS($J$2:J218),$J$2:$J$1001,0),MATCH(COLUMNS($Q$1006:T1006),$Q$1006:$U$1006,0)), HYPERLINK("#",""), HYPERLINK(CONCATENATE("#Metadata!", ADDRESS(INDEX($L$2:$L$1001,MATCH(ROWS($J$2:J218),$J$2:$J$1001,0),0), INDEX($Q$1004:$U$1004,1,MATCH(COLUMNS($Q$1006:T1006),$Q$1006:$U$1006,0)))),"Fix")))</f>
        <v xml:space="preserve"> </v>
      </c>
      <c r="F218" s="3" t="str">
        <f ca="1">IF(OR(INDEX($K$2:$K$1001,MATCH(ROWS($J$2:J218),$J$2:$J$1001,0),1)&gt;=100000,INDEX($Q$1005:$U$1005,1,MATCH(COLUMNS($Q$1006:U1006),$Q$1006:$U$1006,0))&gt;=100000), " ",IF(INDEX($Q$2:$U$1001,MATCH(ROWS($J$2:J218),$J$2:$J$1001,0),MATCH(COLUMNS($Q$1006:U1006),$Q$1006:$U$1006,0)), HYPERLINK("#",""), HYPERLINK(CONCATENATE("#Metadata!", ADDRESS(INDEX($L$2:$L$1001,MATCH(ROWS($J$2:J218),$J$2:$J$1001,0),0), INDEX($Q$1004:$U$1004,1,MATCH(COLUMNS($Q$1006:U1006),$Q$1006:$U$1006,0)))),"Fix")))</f>
        <v xml:space="preserve"> </v>
      </c>
      <c r="J218">
        <f ca="1"/>
        <v>217</v>
      </c>
      <c r="K218">
        <v>100218</v>
      </c>
      <c r="L218">
        <v>218</v>
      </c>
      <c r="M218" t="b">
        <f t="shared" si="3"/>
        <v>1</v>
      </c>
      <c r="N218" t="b">
        <f>COUNTBLANK(Metadata!B218:F218)=COLUMNS(Metadata!B218:F218)</f>
        <v>1</v>
      </c>
      <c r="O218" t="str">
        <v/>
      </c>
      <c r="Q218" t="b">
        <f ca="1"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R218" t="b">
        <f>IF(Metadata!C218="",FALSE,TRUE)</f>
        <v>0</v>
      </c>
      <c r="S218" t="b">
        <f>OR(AND(IF(Metadata!D218="",FALSE,TRUE),EXACT(Metadata!D218,"missing: not collected")),AND(IF(Metadata!D218="",FALSE,TRUE),OR(EXACT(Metadata!D218,"t"),EXACT(Metadata!D218,"f"))))</f>
        <v>0</v>
      </c>
      <c r="T218" t="b">
        <f>AND(IF(Metadata!E218="",FALSE,TRUE),OR(EXACT(Metadata!E218,"a"),EXACT(Metadata!E218,"b")))</f>
        <v>0</v>
      </c>
      <c r="U218" t="b">
        <f>OR(AND(IF(Metadata!F218="",FALSE,TRUE),OR(EXACT(Metadata!F218,"missing: not collected"),EXACT(Metadata!F218,"missing: not provided"))),AND(IF(Metadata!F218="",FALSE,TRUE),OR(EXACT(Metadata!F218,"lo"),EXACT(Metadata!F218,"med"),EXACT(Metadata!F218,"hi"))))</f>
        <v>0</v>
      </c>
    </row>
    <row r="219" spans="1:21" x14ac:dyDescent="0.2">
      <c r="A219" s="4" t="str">
        <f ca="1">IF(B219=" "," ",HYPERLINK(CONCATENATE("#metadata!",ADDRESS(INDEX($L$2:$L$1001,MATCH(ROWS($J$2:J219),$J$2:$J$1001,0),0),1)),INDEX($O$2:$O$1001,MATCH(ROWS($J$2:J219),$J$2:$J$1001,0),0)))</f>
        <v xml:space="preserve"> </v>
      </c>
      <c r="B219" s="3" t="str">
        <f ca="1">IF(OR(INDEX($K$2:$K$1001,MATCH(ROWS($J$2:J219),$J$2:$J$1001,0),1)&gt;=100000,INDEX($Q$1005:$U$1005,1,MATCH(COLUMNS($Q$1006:Q1006),$Q$1006:$U$1006,0))&gt;=100000), " ",IF(INDEX($Q$2:$U$1001,MATCH(ROWS($J$2:J219),$J$2:$J$1001,0),MATCH(COLUMNS($Q$1006:Q1006),$Q$1006:$U$1006,0)), HYPERLINK("#",""), HYPERLINK(CONCATENATE("#Metadata!", ADDRESS(INDEX($L$2:$L$1001,MATCH(ROWS($J$2:J219),$J$2:$J$1001,0),0), INDEX($Q$1004:$U$1004,1,MATCH(COLUMNS($Q$1006:Q1006),$Q$1006:$U$1006,0)))),"Fix")))</f>
        <v xml:space="preserve"> </v>
      </c>
      <c r="C219" s="3" t="str">
        <f ca="1">IF(OR(INDEX($K$2:$K$1001,MATCH(ROWS($J$2:J219),$J$2:$J$1001,0),1)&gt;=100000,INDEX($Q$1005:$U$1005,1,MATCH(COLUMNS($Q$1006:R1006),$Q$1006:$U$1006,0))&gt;=100000), " ",IF(INDEX($Q$2:$U$1001,MATCH(ROWS($J$2:J219),$J$2:$J$1001,0),MATCH(COLUMNS($Q$1006:R1006),$Q$1006:$U$1006,0)), HYPERLINK("#",""), HYPERLINK(CONCATENATE("#Metadata!", ADDRESS(INDEX($L$2:$L$1001,MATCH(ROWS($J$2:J219),$J$2:$J$1001,0),0), INDEX($Q$1004:$U$1004,1,MATCH(COLUMNS($Q$1006:R1006),$Q$1006:$U$1006,0)))),"Fix")))</f>
        <v xml:space="preserve"> </v>
      </c>
      <c r="D219" s="3" t="str">
        <f ca="1">IF(OR(INDEX($K$2:$K$1001,MATCH(ROWS($J$2:J219),$J$2:$J$1001,0),1)&gt;=100000,INDEX($Q$1005:$U$1005,1,MATCH(COLUMNS($Q$1006:S1006),$Q$1006:$U$1006,0))&gt;=100000), " ",IF(INDEX($Q$2:$U$1001,MATCH(ROWS($J$2:J219),$J$2:$J$1001,0),MATCH(COLUMNS($Q$1006:S1006),$Q$1006:$U$1006,0)), HYPERLINK("#",""), HYPERLINK(CONCATENATE("#Metadata!", ADDRESS(INDEX($L$2:$L$1001,MATCH(ROWS($J$2:J219),$J$2:$J$1001,0),0), INDEX($Q$1004:$U$1004,1,MATCH(COLUMNS($Q$1006:S1006),$Q$1006:$U$1006,0)))),"Fix")))</f>
        <v xml:space="preserve"> </v>
      </c>
      <c r="E219" s="3" t="str">
        <f ca="1">IF(OR(INDEX($K$2:$K$1001,MATCH(ROWS($J$2:J219),$J$2:$J$1001,0),1)&gt;=100000,INDEX($Q$1005:$U$1005,1,MATCH(COLUMNS($Q$1006:T1006),$Q$1006:$U$1006,0))&gt;=100000), " ",IF(INDEX($Q$2:$U$1001,MATCH(ROWS($J$2:J219),$J$2:$J$1001,0),MATCH(COLUMNS($Q$1006:T1006),$Q$1006:$U$1006,0)), HYPERLINK("#",""), HYPERLINK(CONCATENATE("#Metadata!", ADDRESS(INDEX($L$2:$L$1001,MATCH(ROWS($J$2:J219),$J$2:$J$1001,0),0), INDEX($Q$1004:$U$1004,1,MATCH(COLUMNS($Q$1006:T1006),$Q$1006:$U$1006,0)))),"Fix")))</f>
        <v xml:space="preserve"> </v>
      </c>
      <c r="F219" s="3" t="str">
        <f ca="1">IF(OR(INDEX($K$2:$K$1001,MATCH(ROWS($J$2:J219),$J$2:$J$1001,0),1)&gt;=100000,INDEX($Q$1005:$U$1005,1,MATCH(COLUMNS($Q$1006:U1006),$Q$1006:$U$1006,0))&gt;=100000), " ",IF(INDEX($Q$2:$U$1001,MATCH(ROWS($J$2:J219),$J$2:$J$1001,0),MATCH(COLUMNS($Q$1006:U1006),$Q$1006:$U$1006,0)), HYPERLINK("#",""), HYPERLINK(CONCATENATE("#Metadata!", ADDRESS(INDEX($L$2:$L$1001,MATCH(ROWS($J$2:J219),$J$2:$J$1001,0),0), INDEX($Q$1004:$U$1004,1,MATCH(COLUMNS($Q$1006:U1006),$Q$1006:$U$1006,0)))),"Fix")))</f>
        <v xml:space="preserve"> </v>
      </c>
      <c r="J219">
        <f ca="1"/>
        <v>218</v>
      </c>
      <c r="K219">
        <v>100219</v>
      </c>
      <c r="L219">
        <v>219</v>
      </c>
      <c r="M219" t="b">
        <f t="shared" si="3"/>
        <v>1</v>
      </c>
      <c r="N219" t="b">
        <f>COUNTBLANK(Metadata!B219:F219)=COLUMNS(Metadata!B219:F219)</f>
        <v>1</v>
      </c>
      <c r="O219" t="str">
        <v/>
      </c>
      <c r="Q219" t="b">
        <f ca="1"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R219" t="b">
        <f>IF(Metadata!C219="",FALSE,TRUE)</f>
        <v>0</v>
      </c>
      <c r="S219" t="b">
        <f>OR(AND(IF(Metadata!D219="",FALSE,TRUE),EXACT(Metadata!D219,"missing: not collected")),AND(IF(Metadata!D219="",FALSE,TRUE),OR(EXACT(Metadata!D219,"t"),EXACT(Metadata!D219,"f"))))</f>
        <v>0</v>
      </c>
      <c r="T219" t="b">
        <f>AND(IF(Metadata!E219="",FALSE,TRUE),OR(EXACT(Metadata!E219,"a"),EXACT(Metadata!E219,"b")))</f>
        <v>0</v>
      </c>
      <c r="U219" t="b">
        <f>OR(AND(IF(Metadata!F219="",FALSE,TRUE),OR(EXACT(Metadata!F219,"missing: not collected"),EXACT(Metadata!F219,"missing: not provided"))),AND(IF(Metadata!F219="",FALSE,TRUE),OR(EXACT(Metadata!F219,"lo"),EXACT(Metadata!F219,"med"),EXACT(Metadata!F219,"hi"))))</f>
        <v>0</v>
      </c>
    </row>
    <row r="220" spans="1:21" x14ac:dyDescent="0.2">
      <c r="A220" s="4" t="str">
        <f ca="1">IF(B220=" "," ",HYPERLINK(CONCATENATE("#metadata!",ADDRESS(INDEX($L$2:$L$1001,MATCH(ROWS($J$2:J220),$J$2:$J$1001,0),0),1)),INDEX($O$2:$O$1001,MATCH(ROWS($J$2:J220),$J$2:$J$1001,0),0)))</f>
        <v xml:space="preserve"> </v>
      </c>
      <c r="B220" s="3" t="str">
        <f ca="1">IF(OR(INDEX($K$2:$K$1001,MATCH(ROWS($J$2:J220),$J$2:$J$1001,0),1)&gt;=100000,INDEX($Q$1005:$U$1005,1,MATCH(COLUMNS($Q$1006:Q1006),$Q$1006:$U$1006,0))&gt;=100000), " ",IF(INDEX($Q$2:$U$1001,MATCH(ROWS($J$2:J220),$J$2:$J$1001,0),MATCH(COLUMNS($Q$1006:Q1006),$Q$1006:$U$1006,0)), HYPERLINK("#",""), HYPERLINK(CONCATENATE("#Metadata!", ADDRESS(INDEX($L$2:$L$1001,MATCH(ROWS($J$2:J220),$J$2:$J$1001,0),0), INDEX($Q$1004:$U$1004,1,MATCH(COLUMNS($Q$1006:Q1006),$Q$1006:$U$1006,0)))),"Fix")))</f>
        <v xml:space="preserve"> </v>
      </c>
      <c r="C220" s="3" t="str">
        <f ca="1">IF(OR(INDEX($K$2:$K$1001,MATCH(ROWS($J$2:J220),$J$2:$J$1001,0),1)&gt;=100000,INDEX($Q$1005:$U$1005,1,MATCH(COLUMNS($Q$1006:R1006),$Q$1006:$U$1006,0))&gt;=100000), " ",IF(INDEX($Q$2:$U$1001,MATCH(ROWS($J$2:J220),$J$2:$J$1001,0),MATCH(COLUMNS($Q$1006:R1006),$Q$1006:$U$1006,0)), HYPERLINK("#",""), HYPERLINK(CONCATENATE("#Metadata!", ADDRESS(INDEX($L$2:$L$1001,MATCH(ROWS($J$2:J220),$J$2:$J$1001,0),0), INDEX($Q$1004:$U$1004,1,MATCH(COLUMNS($Q$1006:R1006),$Q$1006:$U$1006,0)))),"Fix")))</f>
        <v xml:space="preserve"> </v>
      </c>
      <c r="D220" s="3" t="str">
        <f ca="1">IF(OR(INDEX($K$2:$K$1001,MATCH(ROWS($J$2:J220),$J$2:$J$1001,0),1)&gt;=100000,INDEX($Q$1005:$U$1005,1,MATCH(COLUMNS($Q$1006:S1006),$Q$1006:$U$1006,0))&gt;=100000), " ",IF(INDEX($Q$2:$U$1001,MATCH(ROWS($J$2:J220),$J$2:$J$1001,0),MATCH(COLUMNS($Q$1006:S1006),$Q$1006:$U$1006,0)), HYPERLINK("#",""), HYPERLINK(CONCATENATE("#Metadata!", ADDRESS(INDEX($L$2:$L$1001,MATCH(ROWS($J$2:J220),$J$2:$J$1001,0),0), INDEX($Q$1004:$U$1004,1,MATCH(COLUMNS($Q$1006:S1006),$Q$1006:$U$1006,0)))),"Fix")))</f>
        <v xml:space="preserve"> </v>
      </c>
      <c r="E220" s="3" t="str">
        <f ca="1">IF(OR(INDEX($K$2:$K$1001,MATCH(ROWS($J$2:J220),$J$2:$J$1001,0),1)&gt;=100000,INDEX($Q$1005:$U$1005,1,MATCH(COLUMNS($Q$1006:T1006),$Q$1006:$U$1006,0))&gt;=100000), " ",IF(INDEX($Q$2:$U$1001,MATCH(ROWS($J$2:J220),$J$2:$J$1001,0),MATCH(COLUMNS($Q$1006:T1006),$Q$1006:$U$1006,0)), HYPERLINK("#",""), HYPERLINK(CONCATENATE("#Metadata!", ADDRESS(INDEX($L$2:$L$1001,MATCH(ROWS($J$2:J220),$J$2:$J$1001,0),0), INDEX($Q$1004:$U$1004,1,MATCH(COLUMNS($Q$1006:T1006),$Q$1006:$U$1006,0)))),"Fix")))</f>
        <v xml:space="preserve"> </v>
      </c>
      <c r="F220" s="3" t="str">
        <f ca="1">IF(OR(INDEX($K$2:$K$1001,MATCH(ROWS($J$2:J220),$J$2:$J$1001,0),1)&gt;=100000,INDEX($Q$1005:$U$1005,1,MATCH(COLUMNS($Q$1006:U1006),$Q$1006:$U$1006,0))&gt;=100000), " ",IF(INDEX($Q$2:$U$1001,MATCH(ROWS($J$2:J220),$J$2:$J$1001,0),MATCH(COLUMNS($Q$1006:U1006),$Q$1006:$U$1006,0)), HYPERLINK("#",""), HYPERLINK(CONCATENATE("#Metadata!", ADDRESS(INDEX($L$2:$L$1001,MATCH(ROWS($J$2:J220),$J$2:$J$1001,0),0), INDEX($Q$1004:$U$1004,1,MATCH(COLUMNS($Q$1006:U1006),$Q$1006:$U$1006,0)))),"Fix")))</f>
        <v xml:space="preserve"> </v>
      </c>
      <c r="J220">
        <f ca="1"/>
        <v>219</v>
      </c>
      <c r="K220">
        <v>100220</v>
      </c>
      <c r="L220">
        <v>220</v>
      </c>
      <c r="M220" t="b">
        <f t="shared" si="3"/>
        <v>1</v>
      </c>
      <c r="N220" t="b">
        <f>COUNTBLANK(Metadata!B220:F220)=COLUMNS(Metadata!B220:F220)</f>
        <v>1</v>
      </c>
      <c r="O220" t="str">
        <v/>
      </c>
      <c r="Q220" t="b">
        <f ca="1"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R220" t="b">
        <f>IF(Metadata!C220="",FALSE,TRUE)</f>
        <v>0</v>
      </c>
      <c r="S220" t="b">
        <f>OR(AND(IF(Metadata!D220="",FALSE,TRUE),EXACT(Metadata!D220,"missing: not collected")),AND(IF(Metadata!D220="",FALSE,TRUE),OR(EXACT(Metadata!D220,"t"),EXACT(Metadata!D220,"f"))))</f>
        <v>0</v>
      </c>
      <c r="T220" t="b">
        <f>AND(IF(Metadata!E220="",FALSE,TRUE),OR(EXACT(Metadata!E220,"a"),EXACT(Metadata!E220,"b")))</f>
        <v>0</v>
      </c>
      <c r="U220" t="b">
        <f>OR(AND(IF(Metadata!F220="",FALSE,TRUE),OR(EXACT(Metadata!F220,"missing: not collected"),EXACT(Metadata!F220,"missing: not provided"))),AND(IF(Metadata!F220="",FALSE,TRUE),OR(EXACT(Metadata!F220,"lo"),EXACT(Metadata!F220,"med"),EXACT(Metadata!F220,"hi"))))</f>
        <v>0</v>
      </c>
    </row>
    <row r="221" spans="1:21" x14ac:dyDescent="0.2">
      <c r="A221" s="4" t="str">
        <f ca="1">IF(B221=" "," ",HYPERLINK(CONCATENATE("#metadata!",ADDRESS(INDEX($L$2:$L$1001,MATCH(ROWS($J$2:J221),$J$2:$J$1001,0),0),1)),INDEX($O$2:$O$1001,MATCH(ROWS($J$2:J221),$J$2:$J$1001,0),0)))</f>
        <v xml:space="preserve"> </v>
      </c>
      <c r="B221" s="3" t="str">
        <f ca="1">IF(OR(INDEX($K$2:$K$1001,MATCH(ROWS($J$2:J221),$J$2:$J$1001,0),1)&gt;=100000,INDEX($Q$1005:$U$1005,1,MATCH(COLUMNS($Q$1006:Q1006),$Q$1006:$U$1006,0))&gt;=100000), " ",IF(INDEX($Q$2:$U$1001,MATCH(ROWS($J$2:J221),$J$2:$J$1001,0),MATCH(COLUMNS($Q$1006:Q1006),$Q$1006:$U$1006,0)), HYPERLINK("#",""), HYPERLINK(CONCATENATE("#Metadata!", ADDRESS(INDEX($L$2:$L$1001,MATCH(ROWS($J$2:J221),$J$2:$J$1001,0),0), INDEX($Q$1004:$U$1004,1,MATCH(COLUMNS($Q$1006:Q1006),$Q$1006:$U$1006,0)))),"Fix")))</f>
        <v xml:space="preserve"> </v>
      </c>
      <c r="C221" s="3" t="str">
        <f ca="1">IF(OR(INDEX($K$2:$K$1001,MATCH(ROWS($J$2:J221),$J$2:$J$1001,0),1)&gt;=100000,INDEX($Q$1005:$U$1005,1,MATCH(COLUMNS($Q$1006:R1006),$Q$1006:$U$1006,0))&gt;=100000), " ",IF(INDEX($Q$2:$U$1001,MATCH(ROWS($J$2:J221),$J$2:$J$1001,0),MATCH(COLUMNS($Q$1006:R1006),$Q$1006:$U$1006,0)), HYPERLINK("#",""), HYPERLINK(CONCATENATE("#Metadata!", ADDRESS(INDEX($L$2:$L$1001,MATCH(ROWS($J$2:J221),$J$2:$J$1001,0),0), INDEX($Q$1004:$U$1004,1,MATCH(COLUMNS($Q$1006:R1006),$Q$1006:$U$1006,0)))),"Fix")))</f>
        <v xml:space="preserve"> </v>
      </c>
      <c r="D221" s="3" t="str">
        <f ca="1">IF(OR(INDEX($K$2:$K$1001,MATCH(ROWS($J$2:J221),$J$2:$J$1001,0),1)&gt;=100000,INDEX($Q$1005:$U$1005,1,MATCH(COLUMNS($Q$1006:S1006),$Q$1006:$U$1006,0))&gt;=100000), " ",IF(INDEX($Q$2:$U$1001,MATCH(ROWS($J$2:J221),$J$2:$J$1001,0),MATCH(COLUMNS($Q$1006:S1006),$Q$1006:$U$1006,0)), HYPERLINK("#",""), HYPERLINK(CONCATENATE("#Metadata!", ADDRESS(INDEX($L$2:$L$1001,MATCH(ROWS($J$2:J221),$J$2:$J$1001,0),0), INDEX($Q$1004:$U$1004,1,MATCH(COLUMNS($Q$1006:S1006),$Q$1006:$U$1006,0)))),"Fix")))</f>
        <v xml:space="preserve"> </v>
      </c>
      <c r="E221" s="3" t="str">
        <f ca="1">IF(OR(INDEX($K$2:$K$1001,MATCH(ROWS($J$2:J221),$J$2:$J$1001,0),1)&gt;=100000,INDEX($Q$1005:$U$1005,1,MATCH(COLUMNS($Q$1006:T1006),$Q$1006:$U$1006,0))&gt;=100000), " ",IF(INDEX($Q$2:$U$1001,MATCH(ROWS($J$2:J221),$J$2:$J$1001,0),MATCH(COLUMNS($Q$1006:T1006),$Q$1006:$U$1006,0)), HYPERLINK("#",""), HYPERLINK(CONCATENATE("#Metadata!", ADDRESS(INDEX($L$2:$L$1001,MATCH(ROWS($J$2:J221),$J$2:$J$1001,0),0), INDEX($Q$1004:$U$1004,1,MATCH(COLUMNS($Q$1006:T1006),$Q$1006:$U$1006,0)))),"Fix")))</f>
        <v xml:space="preserve"> </v>
      </c>
      <c r="F221" s="3" t="str">
        <f ca="1">IF(OR(INDEX($K$2:$K$1001,MATCH(ROWS($J$2:J221),$J$2:$J$1001,0),1)&gt;=100000,INDEX($Q$1005:$U$1005,1,MATCH(COLUMNS($Q$1006:U1006),$Q$1006:$U$1006,0))&gt;=100000), " ",IF(INDEX($Q$2:$U$1001,MATCH(ROWS($J$2:J221),$J$2:$J$1001,0),MATCH(COLUMNS($Q$1006:U1006),$Q$1006:$U$1006,0)), HYPERLINK("#",""), HYPERLINK(CONCATENATE("#Metadata!", ADDRESS(INDEX($L$2:$L$1001,MATCH(ROWS($J$2:J221),$J$2:$J$1001,0),0), INDEX($Q$1004:$U$1004,1,MATCH(COLUMNS($Q$1006:U1006),$Q$1006:$U$1006,0)))),"Fix")))</f>
        <v xml:space="preserve"> </v>
      </c>
      <c r="J221">
        <f ca="1"/>
        <v>220</v>
      </c>
      <c r="K221">
        <v>100221</v>
      </c>
      <c r="L221">
        <v>221</v>
      </c>
      <c r="M221" t="b">
        <f t="shared" si="3"/>
        <v>1</v>
      </c>
      <c r="N221" t="b">
        <f>COUNTBLANK(Metadata!B221:F221)=COLUMNS(Metadata!B221:F221)</f>
        <v>1</v>
      </c>
      <c r="O221" t="str">
        <v/>
      </c>
      <c r="Q221" t="b">
        <f ca="1"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R221" t="b">
        <f>IF(Metadata!C221="",FALSE,TRUE)</f>
        <v>0</v>
      </c>
      <c r="S221" t="b">
        <f>OR(AND(IF(Metadata!D221="",FALSE,TRUE),EXACT(Metadata!D221,"missing: not collected")),AND(IF(Metadata!D221="",FALSE,TRUE),OR(EXACT(Metadata!D221,"t"),EXACT(Metadata!D221,"f"))))</f>
        <v>0</v>
      </c>
      <c r="T221" t="b">
        <f>AND(IF(Metadata!E221="",FALSE,TRUE),OR(EXACT(Metadata!E221,"a"),EXACT(Metadata!E221,"b")))</f>
        <v>0</v>
      </c>
      <c r="U221" t="b">
        <f>OR(AND(IF(Metadata!F221="",FALSE,TRUE),OR(EXACT(Metadata!F221,"missing: not collected"),EXACT(Metadata!F221,"missing: not provided"))),AND(IF(Metadata!F221="",FALSE,TRUE),OR(EXACT(Metadata!F221,"lo"),EXACT(Metadata!F221,"med"),EXACT(Metadata!F221,"hi"))))</f>
        <v>0</v>
      </c>
    </row>
    <row r="222" spans="1:21" x14ac:dyDescent="0.2">
      <c r="A222" s="4" t="str">
        <f ca="1">IF(B222=" "," ",HYPERLINK(CONCATENATE("#metadata!",ADDRESS(INDEX($L$2:$L$1001,MATCH(ROWS($J$2:J222),$J$2:$J$1001,0),0),1)),INDEX($O$2:$O$1001,MATCH(ROWS($J$2:J222),$J$2:$J$1001,0),0)))</f>
        <v xml:space="preserve"> </v>
      </c>
      <c r="B222" s="3" t="str">
        <f ca="1">IF(OR(INDEX($K$2:$K$1001,MATCH(ROWS($J$2:J222),$J$2:$J$1001,0),1)&gt;=100000,INDEX($Q$1005:$U$1005,1,MATCH(COLUMNS($Q$1006:Q1006),$Q$1006:$U$1006,0))&gt;=100000), " ",IF(INDEX($Q$2:$U$1001,MATCH(ROWS($J$2:J222),$J$2:$J$1001,0),MATCH(COLUMNS($Q$1006:Q1006),$Q$1006:$U$1006,0)), HYPERLINK("#",""), HYPERLINK(CONCATENATE("#Metadata!", ADDRESS(INDEX($L$2:$L$1001,MATCH(ROWS($J$2:J222),$J$2:$J$1001,0),0), INDEX($Q$1004:$U$1004,1,MATCH(COLUMNS($Q$1006:Q1006),$Q$1006:$U$1006,0)))),"Fix")))</f>
        <v xml:space="preserve"> </v>
      </c>
      <c r="C222" s="3" t="str">
        <f ca="1">IF(OR(INDEX($K$2:$K$1001,MATCH(ROWS($J$2:J222),$J$2:$J$1001,0),1)&gt;=100000,INDEX($Q$1005:$U$1005,1,MATCH(COLUMNS($Q$1006:R1006),$Q$1006:$U$1006,0))&gt;=100000), " ",IF(INDEX($Q$2:$U$1001,MATCH(ROWS($J$2:J222),$J$2:$J$1001,0),MATCH(COLUMNS($Q$1006:R1006),$Q$1006:$U$1006,0)), HYPERLINK("#",""), HYPERLINK(CONCATENATE("#Metadata!", ADDRESS(INDEX($L$2:$L$1001,MATCH(ROWS($J$2:J222),$J$2:$J$1001,0),0), INDEX($Q$1004:$U$1004,1,MATCH(COLUMNS($Q$1006:R1006),$Q$1006:$U$1006,0)))),"Fix")))</f>
        <v xml:space="preserve"> </v>
      </c>
      <c r="D222" s="3" t="str">
        <f ca="1">IF(OR(INDEX($K$2:$K$1001,MATCH(ROWS($J$2:J222),$J$2:$J$1001,0),1)&gt;=100000,INDEX($Q$1005:$U$1005,1,MATCH(COLUMNS($Q$1006:S1006),$Q$1006:$U$1006,0))&gt;=100000), " ",IF(INDEX($Q$2:$U$1001,MATCH(ROWS($J$2:J222),$J$2:$J$1001,0),MATCH(COLUMNS($Q$1006:S1006),$Q$1006:$U$1006,0)), HYPERLINK("#",""), HYPERLINK(CONCATENATE("#Metadata!", ADDRESS(INDEX($L$2:$L$1001,MATCH(ROWS($J$2:J222),$J$2:$J$1001,0),0), INDEX($Q$1004:$U$1004,1,MATCH(COLUMNS($Q$1006:S1006),$Q$1006:$U$1006,0)))),"Fix")))</f>
        <v xml:space="preserve"> </v>
      </c>
      <c r="E222" s="3" t="str">
        <f ca="1">IF(OR(INDEX($K$2:$K$1001,MATCH(ROWS($J$2:J222),$J$2:$J$1001,0),1)&gt;=100000,INDEX($Q$1005:$U$1005,1,MATCH(COLUMNS($Q$1006:T1006),$Q$1006:$U$1006,0))&gt;=100000), " ",IF(INDEX($Q$2:$U$1001,MATCH(ROWS($J$2:J222),$J$2:$J$1001,0),MATCH(COLUMNS($Q$1006:T1006),$Q$1006:$U$1006,0)), HYPERLINK("#",""), HYPERLINK(CONCATENATE("#Metadata!", ADDRESS(INDEX($L$2:$L$1001,MATCH(ROWS($J$2:J222),$J$2:$J$1001,0),0), INDEX($Q$1004:$U$1004,1,MATCH(COLUMNS($Q$1006:T1006),$Q$1006:$U$1006,0)))),"Fix")))</f>
        <v xml:space="preserve"> </v>
      </c>
      <c r="F222" s="3" t="str">
        <f ca="1">IF(OR(INDEX($K$2:$K$1001,MATCH(ROWS($J$2:J222),$J$2:$J$1001,0),1)&gt;=100000,INDEX($Q$1005:$U$1005,1,MATCH(COLUMNS($Q$1006:U1006),$Q$1006:$U$1006,0))&gt;=100000), " ",IF(INDEX($Q$2:$U$1001,MATCH(ROWS($J$2:J222),$J$2:$J$1001,0),MATCH(COLUMNS($Q$1006:U1006),$Q$1006:$U$1006,0)), HYPERLINK("#",""), HYPERLINK(CONCATENATE("#Metadata!", ADDRESS(INDEX($L$2:$L$1001,MATCH(ROWS($J$2:J222),$J$2:$J$1001,0),0), INDEX($Q$1004:$U$1004,1,MATCH(COLUMNS($Q$1006:U1006),$Q$1006:$U$1006,0)))),"Fix")))</f>
        <v xml:space="preserve"> </v>
      </c>
      <c r="J222">
        <f ca="1"/>
        <v>221</v>
      </c>
      <c r="K222">
        <v>100222</v>
      </c>
      <c r="L222">
        <v>222</v>
      </c>
      <c r="M222" t="b">
        <f t="shared" si="3"/>
        <v>1</v>
      </c>
      <c r="N222" t="b">
        <f>COUNTBLANK(Metadata!B222:F222)=COLUMNS(Metadata!B222:F222)</f>
        <v>1</v>
      </c>
      <c r="O222" t="str">
        <v/>
      </c>
      <c r="Q222" t="b">
        <f ca="1"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R222" t="b">
        <f>IF(Metadata!C222="",FALSE,TRUE)</f>
        <v>0</v>
      </c>
      <c r="S222" t="b">
        <f>OR(AND(IF(Metadata!D222="",FALSE,TRUE),EXACT(Metadata!D222,"missing: not collected")),AND(IF(Metadata!D222="",FALSE,TRUE),OR(EXACT(Metadata!D222,"t"),EXACT(Metadata!D222,"f"))))</f>
        <v>0</v>
      </c>
      <c r="T222" t="b">
        <f>AND(IF(Metadata!E222="",FALSE,TRUE),OR(EXACT(Metadata!E222,"a"),EXACT(Metadata!E222,"b")))</f>
        <v>0</v>
      </c>
      <c r="U222" t="b">
        <f>OR(AND(IF(Metadata!F222="",FALSE,TRUE),OR(EXACT(Metadata!F222,"missing: not collected"),EXACT(Metadata!F222,"missing: not provided"))),AND(IF(Metadata!F222="",FALSE,TRUE),OR(EXACT(Metadata!F222,"lo"),EXACT(Metadata!F222,"med"),EXACT(Metadata!F222,"hi"))))</f>
        <v>0</v>
      </c>
    </row>
    <row r="223" spans="1:21" x14ac:dyDescent="0.2">
      <c r="A223" s="4" t="str">
        <f ca="1">IF(B223=" "," ",HYPERLINK(CONCATENATE("#metadata!",ADDRESS(INDEX($L$2:$L$1001,MATCH(ROWS($J$2:J223),$J$2:$J$1001,0),0),1)),INDEX($O$2:$O$1001,MATCH(ROWS($J$2:J223),$J$2:$J$1001,0),0)))</f>
        <v xml:space="preserve"> </v>
      </c>
      <c r="B223" s="3" t="str">
        <f ca="1">IF(OR(INDEX($K$2:$K$1001,MATCH(ROWS($J$2:J223),$J$2:$J$1001,0),1)&gt;=100000,INDEX($Q$1005:$U$1005,1,MATCH(COLUMNS($Q$1006:Q1006),$Q$1006:$U$1006,0))&gt;=100000), " ",IF(INDEX($Q$2:$U$1001,MATCH(ROWS($J$2:J223),$J$2:$J$1001,0),MATCH(COLUMNS($Q$1006:Q1006),$Q$1006:$U$1006,0)), HYPERLINK("#",""), HYPERLINK(CONCATENATE("#Metadata!", ADDRESS(INDEX($L$2:$L$1001,MATCH(ROWS($J$2:J223),$J$2:$J$1001,0),0), INDEX($Q$1004:$U$1004,1,MATCH(COLUMNS($Q$1006:Q1006),$Q$1006:$U$1006,0)))),"Fix")))</f>
        <v xml:space="preserve"> </v>
      </c>
      <c r="C223" s="3" t="str">
        <f ca="1">IF(OR(INDEX($K$2:$K$1001,MATCH(ROWS($J$2:J223),$J$2:$J$1001,0),1)&gt;=100000,INDEX($Q$1005:$U$1005,1,MATCH(COLUMNS($Q$1006:R1006),$Q$1006:$U$1006,0))&gt;=100000), " ",IF(INDEX($Q$2:$U$1001,MATCH(ROWS($J$2:J223),$J$2:$J$1001,0),MATCH(COLUMNS($Q$1006:R1006),$Q$1006:$U$1006,0)), HYPERLINK("#",""), HYPERLINK(CONCATENATE("#Metadata!", ADDRESS(INDEX($L$2:$L$1001,MATCH(ROWS($J$2:J223),$J$2:$J$1001,0),0), INDEX($Q$1004:$U$1004,1,MATCH(COLUMNS($Q$1006:R1006),$Q$1006:$U$1006,0)))),"Fix")))</f>
        <v xml:space="preserve"> </v>
      </c>
      <c r="D223" s="3" t="str">
        <f ca="1">IF(OR(INDEX($K$2:$K$1001,MATCH(ROWS($J$2:J223),$J$2:$J$1001,0),1)&gt;=100000,INDEX($Q$1005:$U$1005,1,MATCH(COLUMNS($Q$1006:S1006),$Q$1006:$U$1006,0))&gt;=100000), " ",IF(INDEX($Q$2:$U$1001,MATCH(ROWS($J$2:J223),$J$2:$J$1001,0),MATCH(COLUMNS($Q$1006:S1006),$Q$1006:$U$1006,0)), HYPERLINK("#",""), HYPERLINK(CONCATENATE("#Metadata!", ADDRESS(INDEX($L$2:$L$1001,MATCH(ROWS($J$2:J223),$J$2:$J$1001,0),0), INDEX($Q$1004:$U$1004,1,MATCH(COLUMNS($Q$1006:S1006),$Q$1006:$U$1006,0)))),"Fix")))</f>
        <v xml:space="preserve"> </v>
      </c>
      <c r="E223" s="3" t="str">
        <f ca="1">IF(OR(INDEX($K$2:$K$1001,MATCH(ROWS($J$2:J223),$J$2:$J$1001,0),1)&gt;=100000,INDEX($Q$1005:$U$1005,1,MATCH(COLUMNS($Q$1006:T1006),$Q$1006:$U$1006,0))&gt;=100000), " ",IF(INDEX($Q$2:$U$1001,MATCH(ROWS($J$2:J223),$J$2:$J$1001,0),MATCH(COLUMNS($Q$1006:T1006),$Q$1006:$U$1006,0)), HYPERLINK("#",""), HYPERLINK(CONCATENATE("#Metadata!", ADDRESS(INDEX($L$2:$L$1001,MATCH(ROWS($J$2:J223),$J$2:$J$1001,0),0), INDEX($Q$1004:$U$1004,1,MATCH(COLUMNS($Q$1006:T1006),$Q$1006:$U$1006,0)))),"Fix")))</f>
        <v xml:space="preserve"> </v>
      </c>
      <c r="F223" s="3" t="str">
        <f ca="1">IF(OR(INDEX($K$2:$K$1001,MATCH(ROWS($J$2:J223),$J$2:$J$1001,0),1)&gt;=100000,INDEX($Q$1005:$U$1005,1,MATCH(COLUMNS($Q$1006:U1006),$Q$1006:$U$1006,0))&gt;=100000), " ",IF(INDEX($Q$2:$U$1001,MATCH(ROWS($J$2:J223),$J$2:$J$1001,0),MATCH(COLUMNS($Q$1006:U1006),$Q$1006:$U$1006,0)), HYPERLINK("#",""), HYPERLINK(CONCATENATE("#Metadata!", ADDRESS(INDEX($L$2:$L$1001,MATCH(ROWS($J$2:J223),$J$2:$J$1001,0),0), INDEX($Q$1004:$U$1004,1,MATCH(COLUMNS($Q$1006:U1006),$Q$1006:$U$1006,0)))),"Fix")))</f>
        <v xml:space="preserve"> </v>
      </c>
      <c r="J223">
        <f ca="1"/>
        <v>222</v>
      </c>
      <c r="K223">
        <v>100223</v>
      </c>
      <c r="L223">
        <v>223</v>
      </c>
      <c r="M223" t="b">
        <f t="shared" si="3"/>
        <v>1</v>
      </c>
      <c r="N223" t="b">
        <f>COUNTBLANK(Metadata!B223:F223)=COLUMNS(Metadata!B223:F223)</f>
        <v>1</v>
      </c>
      <c r="O223" t="str">
        <v/>
      </c>
      <c r="Q223" t="b">
        <f ca="1"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R223" t="b">
        <f>IF(Metadata!C223="",FALSE,TRUE)</f>
        <v>0</v>
      </c>
      <c r="S223" t="b">
        <f>OR(AND(IF(Metadata!D223="",FALSE,TRUE),EXACT(Metadata!D223,"missing: not collected")),AND(IF(Metadata!D223="",FALSE,TRUE),OR(EXACT(Metadata!D223,"t"),EXACT(Metadata!D223,"f"))))</f>
        <v>0</v>
      </c>
      <c r="T223" t="b">
        <f>AND(IF(Metadata!E223="",FALSE,TRUE),OR(EXACT(Metadata!E223,"a"),EXACT(Metadata!E223,"b")))</f>
        <v>0</v>
      </c>
      <c r="U223" t="b">
        <f>OR(AND(IF(Metadata!F223="",FALSE,TRUE),OR(EXACT(Metadata!F223,"missing: not collected"),EXACT(Metadata!F223,"missing: not provided"))),AND(IF(Metadata!F223="",FALSE,TRUE),OR(EXACT(Metadata!F223,"lo"),EXACT(Metadata!F223,"med"),EXACT(Metadata!F223,"hi"))))</f>
        <v>0</v>
      </c>
    </row>
    <row r="224" spans="1:21" x14ac:dyDescent="0.2">
      <c r="A224" s="4" t="str">
        <f ca="1">IF(B224=" "," ",HYPERLINK(CONCATENATE("#metadata!",ADDRESS(INDEX($L$2:$L$1001,MATCH(ROWS($J$2:J224),$J$2:$J$1001,0),0),1)),INDEX($O$2:$O$1001,MATCH(ROWS($J$2:J224),$J$2:$J$1001,0),0)))</f>
        <v xml:space="preserve"> </v>
      </c>
      <c r="B224" s="3" t="str">
        <f ca="1">IF(OR(INDEX($K$2:$K$1001,MATCH(ROWS($J$2:J224),$J$2:$J$1001,0),1)&gt;=100000,INDEX($Q$1005:$U$1005,1,MATCH(COLUMNS($Q$1006:Q1006),$Q$1006:$U$1006,0))&gt;=100000), " ",IF(INDEX($Q$2:$U$1001,MATCH(ROWS($J$2:J224),$J$2:$J$1001,0),MATCH(COLUMNS($Q$1006:Q1006),$Q$1006:$U$1006,0)), HYPERLINK("#",""), HYPERLINK(CONCATENATE("#Metadata!", ADDRESS(INDEX($L$2:$L$1001,MATCH(ROWS($J$2:J224),$J$2:$J$1001,0),0), INDEX($Q$1004:$U$1004,1,MATCH(COLUMNS($Q$1006:Q1006),$Q$1006:$U$1006,0)))),"Fix")))</f>
        <v xml:space="preserve"> </v>
      </c>
      <c r="C224" s="3" t="str">
        <f ca="1">IF(OR(INDEX($K$2:$K$1001,MATCH(ROWS($J$2:J224),$J$2:$J$1001,0),1)&gt;=100000,INDEX($Q$1005:$U$1005,1,MATCH(COLUMNS($Q$1006:R1006),$Q$1006:$U$1006,0))&gt;=100000), " ",IF(INDEX($Q$2:$U$1001,MATCH(ROWS($J$2:J224),$J$2:$J$1001,0),MATCH(COLUMNS($Q$1006:R1006),$Q$1006:$U$1006,0)), HYPERLINK("#",""), HYPERLINK(CONCATENATE("#Metadata!", ADDRESS(INDEX($L$2:$L$1001,MATCH(ROWS($J$2:J224),$J$2:$J$1001,0),0), INDEX($Q$1004:$U$1004,1,MATCH(COLUMNS($Q$1006:R1006),$Q$1006:$U$1006,0)))),"Fix")))</f>
        <v xml:space="preserve"> </v>
      </c>
      <c r="D224" s="3" t="str">
        <f ca="1">IF(OR(INDEX($K$2:$K$1001,MATCH(ROWS($J$2:J224),$J$2:$J$1001,0),1)&gt;=100000,INDEX($Q$1005:$U$1005,1,MATCH(COLUMNS($Q$1006:S1006),$Q$1006:$U$1006,0))&gt;=100000), " ",IF(INDEX($Q$2:$U$1001,MATCH(ROWS($J$2:J224),$J$2:$J$1001,0),MATCH(COLUMNS($Q$1006:S1006),$Q$1006:$U$1006,0)), HYPERLINK("#",""), HYPERLINK(CONCATENATE("#Metadata!", ADDRESS(INDEX($L$2:$L$1001,MATCH(ROWS($J$2:J224),$J$2:$J$1001,0),0), INDEX($Q$1004:$U$1004,1,MATCH(COLUMNS($Q$1006:S1006),$Q$1006:$U$1006,0)))),"Fix")))</f>
        <v xml:space="preserve"> </v>
      </c>
      <c r="E224" s="3" t="str">
        <f ca="1">IF(OR(INDEX($K$2:$K$1001,MATCH(ROWS($J$2:J224),$J$2:$J$1001,0),1)&gt;=100000,INDEX($Q$1005:$U$1005,1,MATCH(COLUMNS($Q$1006:T1006),$Q$1006:$U$1006,0))&gt;=100000), " ",IF(INDEX($Q$2:$U$1001,MATCH(ROWS($J$2:J224),$J$2:$J$1001,0),MATCH(COLUMNS($Q$1006:T1006),$Q$1006:$U$1006,0)), HYPERLINK("#",""), HYPERLINK(CONCATENATE("#Metadata!", ADDRESS(INDEX($L$2:$L$1001,MATCH(ROWS($J$2:J224),$J$2:$J$1001,0),0), INDEX($Q$1004:$U$1004,1,MATCH(COLUMNS($Q$1006:T1006),$Q$1006:$U$1006,0)))),"Fix")))</f>
        <v xml:space="preserve"> </v>
      </c>
      <c r="F224" s="3" t="str">
        <f ca="1">IF(OR(INDEX($K$2:$K$1001,MATCH(ROWS($J$2:J224),$J$2:$J$1001,0),1)&gt;=100000,INDEX($Q$1005:$U$1005,1,MATCH(COLUMNS($Q$1006:U1006),$Q$1006:$U$1006,0))&gt;=100000), " ",IF(INDEX($Q$2:$U$1001,MATCH(ROWS($J$2:J224),$J$2:$J$1001,0),MATCH(COLUMNS($Q$1006:U1006),$Q$1006:$U$1006,0)), HYPERLINK("#",""), HYPERLINK(CONCATENATE("#Metadata!", ADDRESS(INDEX($L$2:$L$1001,MATCH(ROWS($J$2:J224),$J$2:$J$1001,0),0), INDEX($Q$1004:$U$1004,1,MATCH(COLUMNS($Q$1006:U1006),$Q$1006:$U$1006,0)))),"Fix")))</f>
        <v xml:space="preserve"> </v>
      </c>
      <c r="J224">
        <f ca="1"/>
        <v>223</v>
      </c>
      <c r="K224">
        <v>100224</v>
      </c>
      <c r="L224">
        <v>224</v>
      </c>
      <c r="M224" t="b">
        <f t="shared" si="3"/>
        <v>1</v>
      </c>
      <c r="N224" t="b">
        <f>COUNTBLANK(Metadata!B224:F224)=COLUMNS(Metadata!B224:F224)</f>
        <v>1</v>
      </c>
      <c r="O224" t="str">
        <v/>
      </c>
      <c r="Q224" t="b">
        <f ca="1"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R224" t="b">
        <f>IF(Metadata!C224="",FALSE,TRUE)</f>
        <v>0</v>
      </c>
      <c r="S224" t="b">
        <f>OR(AND(IF(Metadata!D224="",FALSE,TRUE),EXACT(Metadata!D224,"missing: not collected")),AND(IF(Metadata!D224="",FALSE,TRUE),OR(EXACT(Metadata!D224,"t"),EXACT(Metadata!D224,"f"))))</f>
        <v>0</v>
      </c>
      <c r="T224" t="b">
        <f>AND(IF(Metadata!E224="",FALSE,TRUE),OR(EXACT(Metadata!E224,"a"),EXACT(Metadata!E224,"b")))</f>
        <v>0</v>
      </c>
      <c r="U224" t="b">
        <f>OR(AND(IF(Metadata!F224="",FALSE,TRUE),OR(EXACT(Metadata!F224,"missing: not collected"),EXACT(Metadata!F224,"missing: not provided"))),AND(IF(Metadata!F224="",FALSE,TRUE),OR(EXACT(Metadata!F224,"lo"),EXACT(Metadata!F224,"med"),EXACT(Metadata!F224,"hi"))))</f>
        <v>0</v>
      </c>
    </row>
    <row r="225" spans="1:21" x14ac:dyDescent="0.2">
      <c r="A225" s="4" t="str">
        <f ca="1">IF(B225=" "," ",HYPERLINK(CONCATENATE("#metadata!",ADDRESS(INDEX($L$2:$L$1001,MATCH(ROWS($J$2:J225),$J$2:$J$1001,0),0),1)),INDEX($O$2:$O$1001,MATCH(ROWS($J$2:J225),$J$2:$J$1001,0),0)))</f>
        <v xml:space="preserve"> </v>
      </c>
      <c r="B225" s="3" t="str">
        <f ca="1">IF(OR(INDEX($K$2:$K$1001,MATCH(ROWS($J$2:J225),$J$2:$J$1001,0),1)&gt;=100000,INDEX($Q$1005:$U$1005,1,MATCH(COLUMNS($Q$1006:Q1006),$Q$1006:$U$1006,0))&gt;=100000), " ",IF(INDEX($Q$2:$U$1001,MATCH(ROWS($J$2:J225),$J$2:$J$1001,0),MATCH(COLUMNS($Q$1006:Q1006),$Q$1006:$U$1006,0)), HYPERLINK("#",""), HYPERLINK(CONCATENATE("#Metadata!", ADDRESS(INDEX($L$2:$L$1001,MATCH(ROWS($J$2:J225),$J$2:$J$1001,0),0), INDEX($Q$1004:$U$1004,1,MATCH(COLUMNS($Q$1006:Q1006),$Q$1006:$U$1006,0)))),"Fix")))</f>
        <v xml:space="preserve"> </v>
      </c>
      <c r="C225" s="3" t="str">
        <f ca="1">IF(OR(INDEX($K$2:$K$1001,MATCH(ROWS($J$2:J225),$J$2:$J$1001,0),1)&gt;=100000,INDEX($Q$1005:$U$1005,1,MATCH(COLUMNS($Q$1006:R1006),$Q$1006:$U$1006,0))&gt;=100000), " ",IF(INDEX($Q$2:$U$1001,MATCH(ROWS($J$2:J225),$J$2:$J$1001,0),MATCH(COLUMNS($Q$1006:R1006),$Q$1006:$U$1006,0)), HYPERLINK("#",""), HYPERLINK(CONCATENATE("#Metadata!", ADDRESS(INDEX($L$2:$L$1001,MATCH(ROWS($J$2:J225),$J$2:$J$1001,0),0), INDEX($Q$1004:$U$1004,1,MATCH(COLUMNS($Q$1006:R1006),$Q$1006:$U$1006,0)))),"Fix")))</f>
        <v xml:space="preserve"> </v>
      </c>
      <c r="D225" s="3" t="str">
        <f ca="1">IF(OR(INDEX($K$2:$K$1001,MATCH(ROWS($J$2:J225),$J$2:$J$1001,0),1)&gt;=100000,INDEX($Q$1005:$U$1005,1,MATCH(COLUMNS($Q$1006:S1006),$Q$1006:$U$1006,0))&gt;=100000), " ",IF(INDEX($Q$2:$U$1001,MATCH(ROWS($J$2:J225),$J$2:$J$1001,0),MATCH(COLUMNS($Q$1006:S1006),$Q$1006:$U$1006,0)), HYPERLINK("#",""), HYPERLINK(CONCATENATE("#Metadata!", ADDRESS(INDEX($L$2:$L$1001,MATCH(ROWS($J$2:J225),$J$2:$J$1001,0),0), INDEX($Q$1004:$U$1004,1,MATCH(COLUMNS($Q$1006:S1006),$Q$1006:$U$1006,0)))),"Fix")))</f>
        <v xml:space="preserve"> </v>
      </c>
      <c r="E225" s="3" t="str">
        <f ca="1">IF(OR(INDEX($K$2:$K$1001,MATCH(ROWS($J$2:J225),$J$2:$J$1001,0),1)&gt;=100000,INDEX($Q$1005:$U$1005,1,MATCH(COLUMNS($Q$1006:T1006),$Q$1006:$U$1006,0))&gt;=100000), " ",IF(INDEX($Q$2:$U$1001,MATCH(ROWS($J$2:J225),$J$2:$J$1001,0),MATCH(COLUMNS($Q$1006:T1006),$Q$1006:$U$1006,0)), HYPERLINK("#",""), HYPERLINK(CONCATENATE("#Metadata!", ADDRESS(INDEX($L$2:$L$1001,MATCH(ROWS($J$2:J225),$J$2:$J$1001,0),0), INDEX($Q$1004:$U$1004,1,MATCH(COLUMNS($Q$1006:T1006),$Q$1006:$U$1006,0)))),"Fix")))</f>
        <v xml:space="preserve"> </v>
      </c>
      <c r="F225" s="3" t="str">
        <f ca="1">IF(OR(INDEX($K$2:$K$1001,MATCH(ROWS($J$2:J225),$J$2:$J$1001,0),1)&gt;=100000,INDEX($Q$1005:$U$1005,1,MATCH(COLUMNS($Q$1006:U1006),$Q$1006:$U$1006,0))&gt;=100000), " ",IF(INDEX($Q$2:$U$1001,MATCH(ROWS($J$2:J225),$J$2:$J$1001,0),MATCH(COLUMNS($Q$1006:U1006),$Q$1006:$U$1006,0)), HYPERLINK("#",""), HYPERLINK(CONCATENATE("#Metadata!", ADDRESS(INDEX($L$2:$L$1001,MATCH(ROWS($J$2:J225),$J$2:$J$1001,0),0), INDEX($Q$1004:$U$1004,1,MATCH(COLUMNS($Q$1006:U1006),$Q$1006:$U$1006,0)))),"Fix")))</f>
        <v xml:space="preserve"> </v>
      </c>
      <c r="J225">
        <f ca="1"/>
        <v>224</v>
      </c>
      <c r="K225">
        <v>100225</v>
      </c>
      <c r="L225">
        <v>225</v>
      </c>
      <c r="M225" t="b">
        <f t="shared" si="3"/>
        <v>1</v>
      </c>
      <c r="N225" t="b">
        <f>COUNTBLANK(Metadata!B225:F225)=COLUMNS(Metadata!B225:F225)</f>
        <v>1</v>
      </c>
      <c r="O225" t="str">
        <v/>
      </c>
      <c r="Q225" t="b">
        <f ca="1"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R225" t="b">
        <f>IF(Metadata!C225="",FALSE,TRUE)</f>
        <v>0</v>
      </c>
      <c r="S225" t="b">
        <f>OR(AND(IF(Metadata!D225="",FALSE,TRUE),EXACT(Metadata!D225,"missing: not collected")),AND(IF(Metadata!D225="",FALSE,TRUE),OR(EXACT(Metadata!D225,"t"),EXACT(Metadata!D225,"f"))))</f>
        <v>0</v>
      </c>
      <c r="T225" t="b">
        <f>AND(IF(Metadata!E225="",FALSE,TRUE),OR(EXACT(Metadata!E225,"a"),EXACT(Metadata!E225,"b")))</f>
        <v>0</v>
      </c>
      <c r="U225" t="b">
        <f>OR(AND(IF(Metadata!F225="",FALSE,TRUE),OR(EXACT(Metadata!F225,"missing: not collected"),EXACT(Metadata!F225,"missing: not provided"))),AND(IF(Metadata!F225="",FALSE,TRUE),OR(EXACT(Metadata!F225,"lo"),EXACT(Metadata!F225,"med"),EXACT(Metadata!F225,"hi"))))</f>
        <v>0</v>
      </c>
    </row>
    <row r="226" spans="1:21" x14ac:dyDescent="0.2">
      <c r="A226" s="4" t="str">
        <f ca="1">IF(B226=" "," ",HYPERLINK(CONCATENATE("#metadata!",ADDRESS(INDEX($L$2:$L$1001,MATCH(ROWS($J$2:J226),$J$2:$J$1001,0),0),1)),INDEX($O$2:$O$1001,MATCH(ROWS($J$2:J226),$J$2:$J$1001,0),0)))</f>
        <v xml:space="preserve"> </v>
      </c>
      <c r="B226" s="3" t="str">
        <f ca="1">IF(OR(INDEX($K$2:$K$1001,MATCH(ROWS($J$2:J226),$J$2:$J$1001,0),1)&gt;=100000,INDEX($Q$1005:$U$1005,1,MATCH(COLUMNS($Q$1006:Q1006),$Q$1006:$U$1006,0))&gt;=100000), " ",IF(INDEX($Q$2:$U$1001,MATCH(ROWS($J$2:J226),$J$2:$J$1001,0),MATCH(COLUMNS($Q$1006:Q1006),$Q$1006:$U$1006,0)), HYPERLINK("#",""), HYPERLINK(CONCATENATE("#Metadata!", ADDRESS(INDEX($L$2:$L$1001,MATCH(ROWS($J$2:J226),$J$2:$J$1001,0),0), INDEX($Q$1004:$U$1004,1,MATCH(COLUMNS($Q$1006:Q1006),$Q$1006:$U$1006,0)))),"Fix")))</f>
        <v xml:space="preserve"> </v>
      </c>
      <c r="C226" s="3" t="str">
        <f ca="1">IF(OR(INDEX($K$2:$K$1001,MATCH(ROWS($J$2:J226),$J$2:$J$1001,0),1)&gt;=100000,INDEX($Q$1005:$U$1005,1,MATCH(COLUMNS($Q$1006:R1006),$Q$1006:$U$1006,0))&gt;=100000), " ",IF(INDEX($Q$2:$U$1001,MATCH(ROWS($J$2:J226),$J$2:$J$1001,0),MATCH(COLUMNS($Q$1006:R1006),$Q$1006:$U$1006,0)), HYPERLINK("#",""), HYPERLINK(CONCATENATE("#Metadata!", ADDRESS(INDEX($L$2:$L$1001,MATCH(ROWS($J$2:J226),$J$2:$J$1001,0),0), INDEX($Q$1004:$U$1004,1,MATCH(COLUMNS($Q$1006:R1006),$Q$1006:$U$1006,0)))),"Fix")))</f>
        <v xml:space="preserve"> </v>
      </c>
      <c r="D226" s="3" t="str">
        <f ca="1">IF(OR(INDEX($K$2:$K$1001,MATCH(ROWS($J$2:J226),$J$2:$J$1001,0),1)&gt;=100000,INDEX($Q$1005:$U$1005,1,MATCH(COLUMNS($Q$1006:S1006),$Q$1006:$U$1006,0))&gt;=100000), " ",IF(INDEX($Q$2:$U$1001,MATCH(ROWS($J$2:J226),$J$2:$J$1001,0),MATCH(COLUMNS($Q$1006:S1006),$Q$1006:$U$1006,0)), HYPERLINK("#",""), HYPERLINK(CONCATENATE("#Metadata!", ADDRESS(INDEX($L$2:$L$1001,MATCH(ROWS($J$2:J226),$J$2:$J$1001,0),0), INDEX($Q$1004:$U$1004,1,MATCH(COLUMNS($Q$1006:S1006),$Q$1006:$U$1006,0)))),"Fix")))</f>
        <v xml:space="preserve"> </v>
      </c>
      <c r="E226" s="3" t="str">
        <f ca="1">IF(OR(INDEX($K$2:$K$1001,MATCH(ROWS($J$2:J226),$J$2:$J$1001,0),1)&gt;=100000,INDEX($Q$1005:$U$1005,1,MATCH(COLUMNS($Q$1006:T1006),$Q$1006:$U$1006,0))&gt;=100000), " ",IF(INDEX($Q$2:$U$1001,MATCH(ROWS($J$2:J226),$J$2:$J$1001,0),MATCH(COLUMNS($Q$1006:T1006),$Q$1006:$U$1006,0)), HYPERLINK("#",""), HYPERLINK(CONCATENATE("#Metadata!", ADDRESS(INDEX($L$2:$L$1001,MATCH(ROWS($J$2:J226),$J$2:$J$1001,0),0), INDEX($Q$1004:$U$1004,1,MATCH(COLUMNS($Q$1006:T1006),$Q$1006:$U$1006,0)))),"Fix")))</f>
        <v xml:space="preserve"> </v>
      </c>
      <c r="F226" s="3" t="str">
        <f ca="1">IF(OR(INDEX($K$2:$K$1001,MATCH(ROWS($J$2:J226),$J$2:$J$1001,0),1)&gt;=100000,INDEX($Q$1005:$U$1005,1,MATCH(COLUMNS($Q$1006:U1006),$Q$1006:$U$1006,0))&gt;=100000), " ",IF(INDEX($Q$2:$U$1001,MATCH(ROWS($J$2:J226),$J$2:$J$1001,0),MATCH(COLUMNS($Q$1006:U1006),$Q$1006:$U$1006,0)), HYPERLINK("#",""), HYPERLINK(CONCATENATE("#Metadata!", ADDRESS(INDEX($L$2:$L$1001,MATCH(ROWS($J$2:J226),$J$2:$J$1001,0),0), INDEX($Q$1004:$U$1004,1,MATCH(COLUMNS($Q$1006:U1006),$Q$1006:$U$1006,0)))),"Fix")))</f>
        <v xml:space="preserve"> </v>
      </c>
      <c r="J226">
        <f ca="1"/>
        <v>225</v>
      </c>
      <c r="K226">
        <v>100226</v>
      </c>
      <c r="L226">
        <v>226</v>
      </c>
      <c r="M226" t="b">
        <f t="shared" si="3"/>
        <v>1</v>
      </c>
      <c r="N226" t="b">
        <f>COUNTBLANK(Metadata!B226:F226)=COLUMNS(Metadata!B226:F226)</f>
        <v>1</v>
      </c>
      <c r="O226" t="str">
        <v/>
      </c>
      <c r="Q226" t="b">
        <f ca="1"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R226" t="b">
        <f>IF(Metadata!C226="",FALSE,TRUE)</f>
        <v>0</v>
      </c>
      <c r="S226" t="b">
        <f>OR(AND(IF(Metadata!D226="",FALSE,TRUE),EXACT(Metadata!D226,"missing: not collected")),AND(IF(Metadata!D226="",FALSE,TRUE),OR(EXACT(Metadata!D226,"t"),EXACT(Metadata!D226,"f"))))</f>
        <v>0</v>
      </c>
      <c r="T226" t="b">
        <f>AND(IF(Metadata!E226="",FALSE,TRUE),OR(EXACT(Metadata!E226,"a"),EXACT(Metadata!E226,"b")))</f>
        <v>0</v>
      </c>
      <c r="U226" t="b">
        <f>OR(AND(IF(Metadata!F226="",FALSE,TRUE),OR(EXACT(Metadata!F226,"missing: not collected"),EXACT(Metadata!F226,"missing: not provided"))),AND(IF(Metadata!F226="",FALSE,TRUE),OR(EXACT(Metadata!F226,"lo"),EXACT(Metadata!F226,"med"),EXACT(Metadata!F226,"hi"))))</f>
        <v>0</v>
      </c>
    </row>
    <row r="227" spans="1:21" x14ac:dyDescent="0.2">
      <c r="A227" s="4" t="str">
        <f ca="1">IF(B227=" "," ",HYPERLINK(CONCATENATE("#metadata!",ADDRESS(INDEX($L$2:$L$1001,MATCH(ROWS($J$2:J227),$J$2:$J$1001,0),0),1)),INDEX($O$2:$O$1001,MATCH(ROWS($J$2:J227),$J$2:$J$1001,0),0)))</f>
        <v xml:space="preserve"> </v>
      </c>
      <c r="B227" s="3" t="str">
        <f ca="1">IF(OR(INDEX($K$2:$K$1001,MATCH(ROWS($J$2:J227),$J$2:$J$1001,0),1)&gt;=100000,INDEX($Q$1005:$U$1005,1,MATCH(COLUMNS($Q$1006:Q1006),$Q$1006:$U$1006,0))&gt;=100000), " ",IF(INDEX($Q$2:$U$1001,MATCH(ROWS($J$2:J227),$J$2:$J$1001,0),MATCH(COLUMNS($Q$1006:Q1006),$Q$1006:$U$1006,0)), HYPERLINK("#",""), HYPERLINK(CONCATENATE("#Metadata!", ADDRESS(INDEX($L$2:$L$1001,MATCH(ROWS($J$2:J227),$J$2:$J$1001,0),0), INDEX($Q$1004:$U$1004,1,MATCH(COLUMNS($Q$1006:Q1006),$Q$1006:$U$1006,0)))),"Fix")))</f>
        <v xml:space="preserve"> </v>
      </c>
      <c r="C227" s="3" t="str">
        <f ca="1">IF(OR(INDEX($K$2:$K$1001,MATCH(ROWS($J$2:J227),$J$2:$J$1001,0),1)&gt;=100000,INDEX($Q$1005:$U$1005,1,MATCH(COLUMNS($Q$1006:R1006),$Q$1006:$U$1006,0))&gt;=100000), " ",IF(INDEX($Q$2:$U$1001,MATCH(ROWS($J$2:J227),$J$2:$J$1001,0),MATCH(COLUMNS($Q$1006:R1006),$Q$1006:$U$1006,0)), HYPERLINK("#",""), HYPERLINK(CONCATENATE("#Metadata!", ADDRESS(INDEX($L$2:$L$1001,MATCH(ROWS($J$2:J227),$J$2:$J$1001,0),0), INDEX($Q$1004:$U$1004,1,MATCH(COLUMNS($Q$1006:R1006),$Q$1006:$U$1006,0)))),"Fix")))</f>
        <v xml:space="preserve"> </v>
      </c>
      <c r="D227" s="3" t="str">
        <f ca="1">IF(OR(INDEX($K$2:$K$1001,MATCH(ROWS($J$2:J227),$J$2:$J$1001,0),1)&gt;=100000,INDEX($Q$1005:$U$1005,1,MATCH(COLUMNS($Q$1006:S1006),$Q$1006:$U$1006,0))&gt;=100000), " ",IF(INDEX($Q$2:$U$1001,MATCH(ROWS($J$2:J227),$J$2:$J$1001,0),MATCH(COLUMNS($Q$1006:S1006),$Q$1006:$U$1006,0)), HYPERLINK("#",""), HYPERLINK(CONCATENATE("#Metadata!", ADDRESS(INDEX($L$2:$L$1001,MATCH(ROWS($J$2:J227),$J$2:$J$1001,0),0), INDEX($Q$1004:$U$1004,1,MATCH(COLUMNS($Q$1006:S1006),$Q$1006:$U$1006,0)))),"Fix")))</f>
        <v xml:space="preserve"> </v>
      </c>
      <c r="E227" s="3" t="str">
        <f ca="1">IF(OR(INDEX($K$2:$K$1001,MATCH(ROWS($J$2:J227),$J$2:$J$1001,0),1)&gt;=100000,INDEX($Q$1005:$U$1005,1,MATCH(COLUMNS($Q$1006:T1006),$Q$1006:$U$1006,0))&gt;=100000), " ",IF(INDEX($Q$2:$U$1001,MATCH(ROWS($J$2:J227),$J$2:$J$1001,0),MATCH(COLUMNS($Q$1006:T1006),$Q$1006:$U$1006,0)), HYPERLINK("#",""), HYPERLINK(CONCATENATE("#Metadata!", ADDRESS(INDEX($L$2:$L$1001,MATCH(ROWS($J$2:J227),$J$2:$J$1001,0),0), INDEX($Q$1004:$U$1004,1,MATCH(COLUMNS($Q$1006:T1006),$Q$1006:$U$1006,0)))),"Fix")))</f>
        <v xml:space="preserve"> </v>
      </c>
      <c r="F227" s="3" t="str">
        <f ca="1">IF(OR(INDEX($K$2:$K$1001,MATCH(ROWS($J$2:J227),$J$2:$J$1001,0),1)&gt;=100000,INDEX($Q$1005:$U$1005,1,MATCH(COLUMNS($Q$1006:U1006),$Q$1006:$U$1006,0))&gt;=100000), " ",IF(INDEX($Q$2:$U$1001,MATCH(ROWS($J$2:J227),$J$2:$J$1001,0),MATCH(COLUMNS($Q$1006:U1006),$Q$1006:$U$1006,0)), HYPERLINK("#",""), HYPERLINK(CONCATENATE("#Metadata!", ADDRESS(INDEX($L$2:$L$1001,MATCH(ROWS($J$2:J227),$J$2:$J$1001,0),0), INDEX($Q$1004:$U$1004,1,MATCH(COLUMNS($Q$1006:U1006),$Q$1006:$U$1006,0)))),"Fix")))</f>
        <v xml:space="preserve"> </v>
      </c>
      <c r="J227">
        <f ca="1"/>
        <v>226</v>
      </c>
      <c r="K227">
        <v>100227</v>
      </c>
      <c r="L227">
        <v>227</v>
      </c>
      <c r="M227" t="b">
        <f t="shared" si="3"/>
        <v>1</v>
      </c>
      <c r="N227" t="b">
        <f>COUNTBLANK(Metadata!B227:F227)=COLUMNS(Metadata!B227:F227)</f>
        <v>1</v>
      </c>
      <c r="O227" t="str">
        <v/>
      </c>
      <c r="Q227" t="b">
        <f ca="1"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R227" t="b">
        <f>IF(Metadata!C227="",FALSE,TRUE)</f>
        <v>0</v>
      </c>
      <c r="S227" t="b">
        <f>OR(AND(IF(Metadata!D227="",FALSE,TRUE),EXACT(Metadata!D227,"missing: not collected")),AND(IF(Metadata!D227="",FALSE,TRUE),OR(EXACT(Metadata!D227,"t"),EXACT(Metadata!D227,"f"))))</f>
        <v>0</v>
      </c>
      <c r="T227" t="b">
        <f>AND(IF(Metadata!E227="",FALSE,TRUE),OR(EXACT(Metadata!E227,"a"),EXACT(Metadata!E227,"b")))</f>
        <v>0</v>
      </c>
      <c r="U227" t="b">
        <f>OR(AND(IF(Metadata!F227="",FALSE,TRUE),OR(EXACT(Metadata!F227,"missing: not collected"),EXACT(Metadata!F227,"missing: not provided"))),AND(IF(Metadata!F227="",FALSE,TRUE),OR(EXACT(Metadata!F227,"lo"),EXACT(Metadata!F227,"med"),EXACT(Metadata!F227,"hi"))))</f>
        <v>0</v>
      </c>
    </row>
    <row r="228" spans="1:21" x14ac:dyDescent="0.2">
      <c r="A228" s="4" t="str">
        <f ca="1">IF(B228=" "," ",HYPERLINK(CONCATENATE("#metadata!",ADDRESS(INDEX($L$2:$L$1001,MATCH(ROWS($J$2:J228),$J$2:$J$1001,0),0),1)),INDEX($O$2:$O$1001,MATCH(ROWS($J$2:J228),$J$2:$J$1001,0),0)))</f>
        <v xml:space="preserve"> </v>
      </c>
      <c r="B228" s="3" t="str">
        <f ca="1">IF(OR(INDEX($K$2:$K$1001,MATCH(ROWS($J$2:J228),$J$2:$J$1001,0),1)&gt;=100000,INDEX($Q$1005:$U$1005,1,MATCH(COLUMNS($Q$1006:Q1006),$Q$1006:$U$1006,0))&gt;=100000), " ",IF(INDEX($Q$2:$U$1001,MATCH(ROWS($J$2:J228),$J$2:$J$1001,0),MATCH(COLUMNS($Q$1006:Q1006),$Q$1006:$U$1006,0)), HYPERLINK("#",""), HYPERLINK(CONCATENATE("#Metadata!", ADDRESS(INDEX($L$2:$L$1001,MATCH(ROWS($J$2:J228),$J$2:$J$1001,0),0), INDEX($Q$1004:$U$1004,1,MATCH(COLUMNS($Q$1006:Q1006),$Q$1006:$U$1006,0)))),"Fix")))</f>
        <v xml:space="preserve"> </v>
      </c>
      <c r="C228" s="3" t="str">
        <f ca="1">IF(OR(INDEX($K$2:$K$1001,MATCH(ROWS($J$2:J228),$J$2:$J$1001,0),1)&gt;=100000,INDEX($Q$1005:$U$1005,1,MATCH(COLUMNS($Q$1006:R1006),$Q$1006:$U$1006,0))&gt;=100000), " ",IF(INDEX($Q$2:$U$1001,MATCH(ROWS($J$2:J228),$J$2:$J$1001,0),MATCH(COLUMNS($Q$1006:R1006),$Q$1006:$U$1006,0)), HYPERLINK("#",""), HYPERLINK(CONCATENATE("#Metadata!", ADDRESS(INDEX($L$2:$L$1001,MATCH(ROWS($J$2:J228),$J$2:$J$1001,0),0), INDEX($Q$1004:$U$1004,1,MATCH(COLUMNS($Q$1006:R1006),$Q$1006:$U$1006,0)))),"Fix")))</f>
        <v xml:space="preserve"> </v>
      </c>
      <c r="D228" s="3" t="str">
        <f ca="1">IF(OR(INDEX($K$2:$K$1001,MATCH(ROWS($J$2:J228),$J$2:$J$1001,0),1)&gt;=100000,INDEX($Q$1005:$U$1005,1,MATCH(COLUMNS($Q$1006:S1006),$Q$1006:$U$1006,0))&gt;=100000), " ",IF(INDEX($Q$2:$U$1001,MATCH(ROWS($J$2:J228),$J$2:$J$1001,0),MATCH(COLUMNS($Q$1006:S1006),$Q$1006:$U$1006,0)), HYPERLINK("#",""), HYPERLINK(CONCATENATE("#Metadata!", ADDRESS(INDEX($L$2:$L$1001,MATCH(ROWS($J$2:J228),$J$2:$J$1001,0),0), INDEX($Q$1004:$U$1004,1,MATCH(COLUMNS($Q$1006:S1006),$Q$1006:$U$1006,0)))),"Fix")))</f>
        <v xml:space="preserve"> </v>
      </c>
      <c r="E228" s="3" t="str">
        <f ca="1">IF(OR(INDEX($K$2:$K$1001,MATCH(ROWS($J$2:J228),$J$2:$J$1001,0),1)&gt;=100000,INDEX($Q$1005:$U$1005,1,MATCH(COLUMNS($Q$1006:T1006),$Q$1006:$U$1006,0))&gt;=100000), " ",IF(INDEX($Q$2:$U$1001,MATCH(ROWS($J$2:J228),$J$2:$J$1001,0),MATCH(COLUMNS($Q$1006:T1006),$Q$1006:$U$1006,0)), HYPERLINK("#",""), HYPERLINK(CONCATENATE("#Metadata!", ADDRESS(INDEX($L$2:$L$1001,MATCH(ROWS($J$2:J228),$J$2:$J$1001,0),0), INDEX($Q$1004:$U$1004,1,MATCH(COLUMNS($Q$1006:T1006),$Q$1006:$U$1006,0)))),"Fix")))</f>
        <v xml:space="preserve"> </v>
      </c>
      <c r="F228" s="3" t="str">
        <f ca="1">IF(OR(INDEX($K$2:$K$1001,MATCH(ROWS($J$2:J228),$J$2:$J$1001,0),1)&gt;=100000,INDEX($Q$1005:$U$1005,1,MATCH(COLUMNS($Q$1006:U1006),$Q$1006:$U$1006,0))&gt;=100000), " ",IF(INDEX($Q$2:$U$1001,MATCH(ROWS($J$2:J228),$J$2:$J$1001,0),MATCH(COLUMNS($Q$1006:U1006),$Q$1006:$U$1006,0)), HYPERLINK("#",""), HYPERLINK(CONCATENATE("#Metadata!", ADDRESS(INDEX($L$2:$L$1001,MATCH(ROWS($J$2:J228),$J$2:$J$1001,0),0), INDEX($Q$1004:$U$1004,1,MATCH(COLUMNS($Q$1006:U1006),$Q$1006:$U$1006,0)))),"Fix")))</f>
        <v xml:space="preserve"> </v>
      </c>
      <c r="J228">
        <f ca="1"/>
        <v>227</v>
      </c>
      <c r="K228">
        <v>100228</v>
      </c>
      <c r="L228">
        <v>228</v>
      </c>
      <c r="M228" t="b">
        <f t="shared" si="3"/>
        <v>1</v>
      </c>
      <c r="N228" t="b">
        <f>COUNTBLANK(Metadata!B228:F228)=COLUMNS(Metadata!B228:F228)</f>
        <v>1</v>
      </c>
      <c r="O228" t="str">
        <v/>
      </c>
      <c r="Q228" t="b">
        <f ca="1"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R228" t="b">
        <f>IF(Metadata!C228="",FALSE,TRUE)</f>
        <v>0</v>
      </c>
      <c r="S228" t="b">
        <f>OR(AND(IF(Metadata!D228="",FALSE,TRUE),EXACT(Metadata!D228,"missing: not collected")),AND(IF(Metadata!D228="",FALSE,TRUE),OR(EXACT(Metadata!D228,"t"),EXACT(Metadata!D228,"f"))))</f>
        <v>0</v>
      </c>
      <c r="T228" t="b">
        <f>AND(IF(Metadata!E228="",FALSE,TRUE),OR(EXACT(Metadata!E228,"a"),EXACT(Metadata!E228,"b")))</f>
        <v>0</v>
      </c>
      <c r="U228" t="b">
        <f>OR(AND(IF(Metadata!F228="",FALSE,TRUE),OR(EXACT(Metadata!F228,"missing: not collected"),EXACT(Metadata!F228,"missing: not provided"))),AND(IF(Metadata!F228="",FALSE,TRUE),OR(EXACT(Metadata!F228,"lo"),EXACT(Metadata!F228,"med"),EXACT(Metadata!F228,"hi"))))</f>
        <v>0</v>
      </c>
    </row>
    <row r="229" spans="1:21" x14ac:dyDescent="0.2">
      <c r="A229" s="4" t="str">
        <f ca="1">IF(B229=" "," ",HYPERLINK(CONCATENATE("#metadata!",ADDRESS(INDEX($L$2:$L$1001,MATCH(ROWS($J$2:J229),$J$2:$J$1001,0),0),1)),INDEX($O$2:$O$1001,MATCH(ROWS($J$2:J229),$J$2:$J$1001,0),0)))</f>
        <v xml:space="preserve"> </v>
      </c>
      <c r="B229" s="3" t="str">
        <f ca="1">IF(OR(INDEX($K$2:$K$1001,MATCH(ROWS($J$2:J229),$J$2:$J$1001,0),1)&gt;=100000,INDEX($Q$1005:$U$1005,1,MATCH(COLUMNS($Q$1006:Q1006),$Q$1006:$U$1006,0))&gt;=100000), " ",IF(INDEX($Q$2:$U$1001,MATCH(ROWS($J$2:J229),$J$2:$J$1001,0),MATCH(COLUMNS($Q$1006:Q1006),$Q$1006:$U$1006,0)), HYPERLINK("#",""), HYPERLINK(CONCATENATE("#Metadata!", ADDRESS(INDEX($L$2:$L$1001,MATCH(ROWS($J$2:J229),$J$2:$J$1001,0),0), INDEX($Q$1004:$U$1004,1,MATCH(COLUMNS($Q$1006:Q1006),$Q$1006:$U$1006,0)))),"Fix")))</f>
        <v xml:space="preserve"> </v>
      </c>
      <c r="C229" s="3" t="str">
        <f ca="1">IF(OR(INDEX($K$2:$K$1001,MATCH(ROWS($J$2:J229),$J$2:$J$1001,0),1)&gt;=100000,INDEX($Q$1005:$U$1005,1,MATCH(COLUMNS($Q$1006:R1006),$Q$1006:$U$1006,0))&gt;=100000), " ",IF(INDEX($Q$2:$U$1001,MATCH(ROWS($J$2:J229),$J$2:$J$1001,0),MATCH(COLUMNS($Q$1006:R1006),$Q$1006:$U$1006,0)), HYPERLINK("#",""), HYPERLINK(CONCATENATE("#Metadata!", ADDRESS(INDEX($L$2:$L$1001,MATCH(ROWS($J$2:J229),$J$2:$J$1001,0),0), INDEX($Q$1004:$U$1004,1,MATCH(COLUMNS($Q$1006:R1006),$Q$1006:$U$1006,0)))),"Fix")))</f>
        <v xml:space="preserve"> </v>
      </c>
      <c r="D229" s="3" t="str">
        <f ca="1">IF(OR(INDEX($K$2:$K$1001,MATCH(ROWS($J$2:J229),$J$2:$J$1001,0),1)&gt;=100000,INDEX($Q$1005:$U$1005,1,MATCH(COLUMNS($Q$1006:S1006),$Q$1006:$U$1006,0))&gt;=100000), " ",IF(INDEX($Q$2:$U$1001,MATCH(ROWS($J$2:J229),$J$2:$J$1001,0),MATCH(COLUMNS($Q$1006:S1006),$Q$1006:$U$1006,0)), HYPERLINK("#",""), HYPERLINK(CONCATENATE("#Metadata!", ADDRESS(INDEX($L$2:$L$1001,MATCH(ROWS($J$2:J229),$J$2:$J$1001,0),0), INDEX($Q$1004:$U$1004,1,MATCH(COLUMNS($Q$1006:S1006),$Q$1006:$U$1006,0)))),"Fix")))</f>
        <v xml:space="preserve"> </v>
      </c>
      <c r="E229" s="3" t="str">
        <f ca="1">IF(OR(INDEX($K$2:$K$1001,MATCH(ROWS($J$2:J229),$J$2:$J$1001,0),1)&gt;=100000,INDEX($Q$1005:$U$1005,1,MATCH(COLUMNS($Q$1006:T1006),$Q$1006:$U$1006,0))&gt;=100000), " ",IF(INDEX($Q$2:$U$1001,MATCH(ROWS($J$2:J229),$J$2:$J$1001,0),MATCH(COLUMNS($Q$1006:T1006),$Q$1006:$U$1006,0)), HYPERLINK("#",""), HYPERLINK(CONCATENATE("#Metadata!", ADDRESS(INDEX($L$2:$L$1001,MATCH(ROWS($J$2:J229),$J$2:$J$1001,0),0), INDEX($Q$1004:$U$1004,1,MATCH(COLUMNS($Q$1006:T1006),$Q$1006:$U$1006,0)))),"Fix")))</f>
        <v xml:space="preserve"> </v>
      </c>
      <c r="F229" s="3" t="str">
        <f ca="1">IF(OR(INDEX($K$2:$K$1001,MATCH(ROWS($J$2:J229),$J$2:$J$1001,0),1)&gt;=100000,INDEX($Q$1005:$U$1005,1,MATCH(COLUMNS($Q$1006:U1006),$Q$1006:$U$1006,0))&gt;=100000), " ",IF(INDEX($Q$2:$U$1001,MATCH(ROWS($J$2:J229),$J$2:$J$1001,0),MATCH(COLUMNS($Q$1006:U1006),$Q$1006:$U$1006,0)), HYPERLINK("#",""), HYPERLINK(CONCATENATE("#Metadata!", ADDRESS(INDEX($L$2:$L$1001,MATCH(ROWS($J$2:J229),$J$2:$J$1001,0),0), INDEX($Q$1004:$U$1004,1,MATCH(COLUMNS($Q$1006:U1006),$Q$1006:$U$1006,0)))),"Fix")))</f>
        <v xml:space="preserve"> </v>
      </c>
      <c r="J229">
        <f ca="1"/>
        <v>228</v>
      </c>
      <c r="K229">
        <v>100229</v>
      </c>
      <c r="L229">
        <v>229</v>
      </c>
      <c r="M229" t="b">
        <f t="shared" si="3"/>
        <v>1</v>
      </c>
      <c r="N229" t="b">
        <f>COUNTBLANK(Metadata!B229:F229)=COLUMNS(Metadata!B229:F229)</f>
        <v>1</v>
      </c>
      <c r="O229" t="str">
        <v/>
      </c>
      <c r="Q229" t="b">
        <f ca="1"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R229" t="b">
        <f>IF(Metadata!C229="",FALSE,TRUE)</f>
        <v>0</v>
      </c>
      <c r="S229" t="b">
        <f>OR(AND(IF(Metadata!D229="",FALSE,TRUE),EXACT(Metadata!D229,"missing: not collected")),AND(IF(Metadata!D229="",FALSE,TRUE),OR(EXACT(Metadata!D229,"t"),EXACT(Metadata!D229,"f"))))</f>
        <v>0</v>
      </c>
      <c r="T229" t="b">
        <f>AND(IF(Metadata!E229="",FALSE,TRUE),OR(EXACT(Metadata!E229,"a"),EXACT(Metadata!E229,"b")))</f>
        <v>0</v>
      </c>
      <c r="U229" t="b">
        <f>OR(AND(IF(Metadata!F229="",FALSE,TRUE),OR(EXACT(Metadata!F229,"missing: not collected"),EXACT(Metadata!F229,"missing: not provided"))),AND(IF(Metadata!F229="",FALSE,TRUE),OR(EXACT(Metadata!F229,"lo"),EXACT(Metadata!F229,"med"),EXACT(Metadata!F229,"hi"))))</f>
        <v>0</v>
      </c>
    </row>
    <row r="230" spans="1:21" x14ac:dyDescent="0.2">
      <c r="A230" s="4" t="str">
        <f ca="1">IF(B230=" "," ",HYPERLINK(CONCATENATE("#metadata!",ADDRESS(INDEX($L$2:$L$1001,MATCH(ROWS($J$2:J230),$J$2:$J$1001,0),0),1)),INDEX($O$2:$O$1001,MATCH(ROWS($J$2:J230),$J$2:$J$1001,0),0)))</f>
        <v xml:space="preserve"> </v>
      </c>
      <c r="B230" s="3" t="str">
        <f ca="1">IF(OR(INDEX($K$2:$K$1001,MATCH(ROWS($J$2:J230),$J$2:$J$1001,0),1)&gt;=100000,INDEX($Q$1005:$U$1005,1,MATCH(COLUMNS($Q$1006:Q1006),$Q$1006:$U$1006,0))&gt;=100000), " ",IF(INDEX($Q$2:$U$1001,MATCH(ROWS($J$2:J230),$J$2:$J$1001,0),MATCH(COLUMNS($Q$1006:Q1006),$Q$1006:$U$1006,0)), HYPERLINK("#",""), HYPERLINK(CONCATENATE("#Metadata!", ADDRESS(INDEX($L$2:$L$1001,MATCH(ROWS($J$2:J230),$J$2:$J$1001,0),0), INDEX($Q$1004:$U$1004,1,MATCH(COLUMNS($Q$1006:Q1006),$Q$1006:$U$1006,0)))),"Fix")))</f>
        <v xml:space="preserve"> </v>
      </c>
      <c r="C230" s="3" t="str">
        <f ca="1">IF(OR(INDEX($K$2:$K$1001,MATCH(ROWS($J$2:J230),$J$2:$J$1001,0),1)&gt;=100000,INDEX($Q$1005:$U$1005,1,MATCH(COLUMNS($Q$1006:R1006),$Q$1006:$U$1006,0))&gt;=100000), " ",IF(INDEX($Q$2:$U$1001,MATCH(ROWS($J$2:J230),$J$2:$J$1001,0),MATCH(COLUMNS($Q$1006:R1006),$Q$1006:$U$1006,0)), HYPERLINK("#",""), HYPERLINK(CONCATENATE("#Metadata!", ADDRESS(INDEX($L$2:$L$1001,MATCH(ROWS($J$2:J230),$J$2:$J$1001,0),0), INDEX($Q$1004:$U$1004,1,MATCH(COLUMNS($Q$1006:R1006),$Q$1006:$U$1006,0)))),"Fix")))</f>
        <v xml:space="preserve"> </v>
      </c>
      <c r="D230" s="3" t="str">
        <f ca="1">IF(OR(INDEX($K$2:$K$1001,MATCH(ROWS($J$2:J230),$J$2:$J$1001,0),1)&gt;=100000,INDEX($Q$1005:$U$1005,1,MATCH(COLUMNS($Q$1006:S1006),$Q$1006:$U$1006,0))&gt;=100000), " ",IF(INDEX($Q$2:$U$1001,MATCH(ROWS($J$2:J230),$J$2:$J$1001,0),MATCH(COLUMNS($Q$1006:S1006),$Q$1006:$U$1006,0)), HYPERLINK("#",""), HYPERLINK(CONCATENATE("#Metadata!", ADDRESS(INDEX($L$2:$L$1001,MATCH(ROWS($J$2:J230),$J$2:$J$1001,0),0), INDEX($Q$1004:$U$1004,1,MATCH(COLUMNS($Q$1006:S1006),$Q$1006:$U$1006,0)))),"Fix")))</f>
        <v xml:space="preserve"> </v>
      </c>
      <c r="E230" s="3" t="str">
        <f ca="1">IF(OR(INDEX($K$2:$K$1001,MATCH(ROWS($J$2:J230),$J$2:$J$1001,0),1)&gt;=100000,INDEX($Q$1005:$U$1005,1,MATCH(COLUMNS($Q$1006:T1006),$Q$1006:$U$1006,0))&gt;=100000), " ",IF(INDEX($Q$2:$U$1001,MATCH(ROWS($J$2:J230),$J$2:$J$1001,0),MATCH(COLUMNS($Q$1006:T1006),$Q$1006:$U$1006,0)), HYPERLINK("#",""), HYPERLINK(CONCATENATE("#Metadata!", ADDRESS(INDEX($L$2:$L$1001,MATCH(ROWS($J$2:J230),$J$2:$J$1001,0),0), INDEX($Q$1004:$U$1004,1,MATCH(COLUMNS($Q$1006:T1006),$Q$1006:$U$1006,0)))),"Fix")))</f>
        <v xml:space="preserve"> </v>
      </c>
      <c r="F230" s="3" t="str">
        <f ca="1">IF(OR(INDEX($K$2:$K$1001,MATCH(ROWS($J$2:J230),$J$2:$J$1001,0),1)&gt;=100000,INDEX($Q$1005:$U$1005,1,MATCH(COLUMNS($Q$1006:U1006),$Q$1006:$U$1006,0))&gt;=100000), " ",IF(INDEX($Q$2:$U$1001,MATCH(ROWS($J$2:J230),$J$2:$J$1001,0),MATCH(COLUMNS($Q$1006:U1006),$Q$1006:$U$1006,0)), HYPERLINK("#",""), HYPERLINK(CONCATENATE("#Metadata!", ADDRESS(INDEX($L$2:$L$1001,MATCH(ROWS($J$2:J230),$J$2:$J$1001,0),0), INDEX($Q$1004:$U$1004,1,MATCH(COLUMNS($Q$1006:U1006),$Q$1006:$U$1006,0)))),"Fix")))</f>
        <v xml:space="preserve"> </v>
      </c>
      <c r="J230">
        <f ca="1"/>
        <v>229</v>
      </c>
      <c r="K230">
        <v>100230</v>
      </c>
      <c r="L230">
        <v>230</v>
      </c>
      <c r="M230" t="b">
        <f t="shared" si="3"/>
        <v>1</v>
      </c>
      <c r="N230" t="b">
        <f>COUNTBLANK(Metadata!B230:F230)=COLUMNS(Metadata!B230:F230)</f>
        <v>1</v>
      </c>
      <c r="O230" t="str">
        <v/>
      </c>
      <c r="Q230" t="b">
        <f ca="1"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R230" t="b">
        <f>IF(Metadata!C230="",FALSE,TRUE)</f>
        <v>0</v>
      </c>
      <c r="S230" t="b">
        <f>OR(AND(IF(Metadata!D230="",FALSE,TRUE),EXACT(Metadata!D230,"missing: not collected")),AND(IF(Metadata!D230="",FALSE,TRUE),OR(EXACT(Metadata!D230,"t"),EXACT(Metadata!D230,"f"))))</f>
        <v>0</v>
      </c>
      <c r="T230" t="b">
        <f>AND(IF(Metadata!E230="",FALSE,TRUE),OR(EXACT(Metadata!E230,"a"),EXACT(Metadata!E230,"b")))</f>
        <v>0</v>
      </c>
      <c r="U230" t="b">
        <f>OR(AND(IF(Metadata!F230="",FALSE,TRUE),OR(EXACT(Metadata!F230,"missing: not collected"),EXACT(Metadata!F230,"missing: not provided"))),AND(IF(Metadata!F230="",FALSE,TRUE),OR(EXACT(Metadata!F230,"lo"),EXACT(Metadata!F230,"med"),EXACT(Metadata!F230,"hi"))))</f>
        <v>0</v>
      </c>
    </row>
    <row r="231" spans="1:21" x14ac:dyDescent="0.2">
      <c r="A231" s="4" t="str">
        <f ca="1">IF(B231=" "," ",HYPERLINK(CONCATENATE("#metadata!",ADDRESS(INDEX($L$2:$L$1001,MATCH(ROWS($J$2:J231),$J$2:$J$1001,0),0),1)),INDEX($O$2:$O$1001,MATCH(ROWS($J$2:J231),$J$2:$J$1001,0),0)))</f>
        <v xml:space="preserve"> </v>
      </c>
      <c r="B231" s="3" t="str">
        <f ca="1">IF(OR(INDEX($K$2:$K$1001,MATCH(ROWS($J$2:J231),$J$2:$J$1001,0),1)&gt;=100000,INDEX($Q$1005:$U$1005,1,MATCH(COLUMNS($Q$1006:Q1006),$Q$1006:$U$1006,0))&gt;=100000), " ",IF(INDEX($Q$2:$U$1001,MATCH(ROWS($J$2:J231),$J$2:$J$1001,0),MATCH(COLUMNS($Q$1006:Q1006),$Q$1006:$U$1006,0)), HYPERLINK("#",""), HYPERLINK(CONCATENATE("#Metadata!", ADDRESS(INDEX($L$2:$L$1001,MATCH(ROWS($J$2:J231),$J$2:$J$1001,0),0), INDEX($Q$1004:$U$1004,1,MATCH(COLUMNS($Q$1006:Q1006),$Q$1006:$U$1006,0)))),"Fix")))</f>
        <v xml:space="preserve"> </v>
      </c>
      <c r="C231" s="3" t="str">
        <f ca="1">IF(OR(INDEX($K$2:$K$1001,MATCH(ROWS($J$2:J231),$J$2:$J$1001,0),1)&gt;=100000,INDEX($Q$1005:$U$1005,1,MATCH(COLUMNS($Q$1006:R1006),$Q$1006:$U$1006,0))&gt;=100000), " ",IF(INDEX($Q$2:$U$1001,MATCH(ROWS($J$2:J231),$J$2:$J$1001,0),MATCH(COLUMNS($Q$1006:R1006),$Q$1006:$U$1006,0)), HYPERLINK("#",""), HYPERLINK(CONCATENATE("#Metadata!", ADDRESS(INDEX($L$2:$L$1001,MATCH(ROWS($J$2:J231),$J$2:$J$1001,0),0), INDEX($Q$1004:$U$1004,1,MATCH(COLUMNS($Q$1006:R1006),$Q$1006:$U$1006,0)))),"Fix")))</f>
        <v xml:space="preserve"> </v>
      </c>
      <c r="D231" s="3" t="str">
        <f ca="1">IF(OR(INDEX($K$2:$K$1001,MATCH(ROWS($J$2:J231),$J$2:$J$1001,0),1)&gt;=100000,INDEX($Q$1005:$U$1005,1,MATCH(COLUMNS($Q$1006:S1006),$Q$1006:$U$1006,0))&gt;=100000), " ",IF(INDEX($Q$2:$U$1001,MATCH(ROWS($J$2:J231),$J$2:$J$1001,0),MATCH(COLUMNS($Q$1006:S1006),$Q$1006:$U$1006,0)), HYPERLINK("#",""), HYPERLINK(CONCATENATE("#Metadata!", ADDRESS(INDEX($L$2:$L$1001,MATCH(ROWS($J$2:J231),$J$2:$J$1001,0),0), INDEX($Q$1004:$U$1004,1,MATCH(COLUMNS($Q$1006:S1006),$Q$1006:$U$1006,0)))),"Fix")))</f>
        <v xml:space="preserve"> </v>
      </c>
      <c r="E231" s="3" t="str">
        <f ca="1">IF(OR(INDEX($K$2:$K$1001,MATCH(ROWS($J$2:J231),$J$2:$J$1001,0),1)&gt;=100000,INDEX($Q$1005:$U$1005,1,MATCH(COLUMNS($Q$1006:T1006),$Q$1006:$U$1006,0))&gt;=100000), " ",IF(INDEX($Q$2:$U$1001,MATCH(ROWS($J$2:J231),$J$2:$J$1001,0),MATCH(COLUMNS($Q$1006:T1006),$Q$1006:$U$1006,0)), HYPERLINK("#",""), HYPERLINK(CONCATENATE("#Metadata!", ADDRESS(INDEX($L$2:$L$1001,MATCH(ROWS($J$2:J231),$J$2:$J$1001,0),0), INDEX($Q$1004:$U$1004,1,MATCH(COLUMNS($Q$1006:T1006),$Q$1006:$U$1006,0)))),"Fix")))</f>
        <v xml:space="preserve"> </v>
      </c>
      <c r="F231" s="3" t="str">
        <f ca="1">IF(OR(INDEX($K$2:$K$1001,MATCH(ROWS($J$2:J231),$J$2:$J$1001,0),1)&gt;=100000,INDEX($Q$1005:$U$1005,1,MATCH(COLUMNS($Q$1006:U1006),$Q$1006:$U$1006,0))&gt;=100000), " ",IF(INDEX($Q$2:$U$1001,MATCH(ROWS($J$2:J231),$J$2:$J$1001,0),MATCH(COLUMNS($Q$1006:U1006),$Q$1006:$U$1006,0)), HYPERLINK("#",""), HYPERLINK(CONCATENATE("#Metadata!", ADDRESS(INDEX($L$2:$L$1001,MATCH(ROWS($J$2:J231),$J$2:$J$1001,0),0), INDEX($Q$1004:$U$1004,1,MATCH(COLUMNS($Q$1006:U1006),$Q$1006:$U$1006,0)))),"Fix")))</f>
        <v xml:space="preserve"> </v>
      </c>
      <c r="J231">
        <f ca="1"/>
        <v>230</v>
      </c>
      <c r="K231">
        <v>100231</v>
      </c>
      <c r="L231">
        <v>231</v>
      </c>
      <c r="M231" t="b">
        <f t="shared" si="3"/>
        <v>1</v>
      </c>
      <c r="N231" t="b">
        <f>COUNTBLANK(Metadata!B231:F231)=COLUMNS(Metadata!B231:F231)</f>
        <v>1</v>
      </c>
      <c r="O231" t="str">
        <v/>
      </c>
      <c r="Q231" t="b">
        <f ca="1"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R231" t="b">
        <f>IF(Metadata!C231="",FALSE,TRUE)</f>
        <v>0</v>
      </c>
      <c r="S231" t="b">
        <f>OR(AND(IF(Metadata!D231="",FALSE,TRUE),EXACT(Metadata!D231,"missing: not collected")),AND(IF(Metadata!D231="",FALSE,TRUE),OR(EXACT(Metadata!D231,"t"),EXACT(Metadata!D231,"f"))))</f>
        <v>0</v>
      </c>
      <c r="T231" t="b">
        <f>AND(IF(Metadata!E231="",FALSE,TRUE),OR(EXACT(Metadata!E231,"a"),EXACT(Metadata!E231,"b")))</f>
        <v>0</v>
      </c>
      <c r="U231" t="b">
        <f>OR(AND(IF(Metadata!F231="",FALSE,TRUE),OR(EXACT(Metadata!F231,"missing: not collected"),EXACT(Metadata!F231,"missing: not provided"))),AND(IF(Metadata!F231="",FALSE,TRUE),OR(EXACT(Metadata!F231,"lo"),EXACT(Metadata!F231,"med"),EXACT(Metadata!F231,"hi"))))</f>
        <v>0</v>
      </c>
    </row>
    <row r="232" spans="1:21" x14ac:dyDescent="0.2">
      <c r="A232" s="4" t="str">
        <f ca="1">IF(B232=" "," ",HYPERLINK(CONCATENATE("#metadata!",ADDRESS(INDEX($L$2:$L$1001,MATCH(ROWS($J$2:J232),$J$2:$J$1001,0),0),1)),INDEX($O$2:$O$1001,MATCH(ROWS($J$2:J232),$J$2:$J$1001,0),0)))</f>
        <v xml:space="preserve"> </v>
      </c>
      <c r="B232" s="3" t="str">
        <f ca="1">IF(OR(INDEX($K$2:$K$1001,MATCH(ROWS($J$2:J232),$J$2:$J$1001,0),1)&gt;=100000,INDEX($Q$1005:$U$1005,1,MATCH(COLUMNS($Q$1006:Q1006),$Q$1006:$U$1006,0))&gt;=100000), " ",IF(INDEX($Q$2:$U$1001,MATCH(ROWS($J$2:J232),$J$2:$J$1001,0),MATCH(COLUMNS($Q$1006:Q1006),$Q$1006:$U$1006,0)), HYPERLINK("#",""), HYPERLINK(CONCATENATE("#Metadata!", ADDRESS(INDEX($L$2:$L$1001,MATCH(ROWS($J$2:J232),$J$2:$J$1001,0),0), INDEX($Q$1004:$U$1004,1,MATCH(COLUMNS($Q$1006:Q1006),$Q$1006:$U$1006,0)))),"Fix")))</f>
        <v xml:space="preserve"> </v>
      </c>
      <c r="C232" s="3" t="str">
        <f ca="1">IF(OR(INDEX($K$2:$K$1001,MATCH(ROWS($J$2:J232),$J$2:$J$1001,0),1)&gt;=100000,INDEX($Q$1005:$U$1005,1,MATCH(COLUMNS($Q$1006:R1006),$Q$1006:$U$1006,0))&gt;=100000), " ",IF(INDEX($Q$2:$U$1001,MATCH(ROWS($J$2:J232),$J$2:$J$1001,0),MATCH(COLUMNS($Q$1006:R1006),$Q$1006:$U$1006,0)), HYPERLINK("#",""), HYPERLINK(CONCATENATE("#Metadata!", ADDRESS(INDEX($L$2:$L$1001,MATCH(ROWS($J$2:J232),$J$2:$J$1001,0),0), INDEX($Q$1004:$U$1004,1,MATCH(COLUMNS($Q$1006:R1006),$Q$1006:$U$1006,0)))),"Fix")))</f>
        <v xml:space="preserve"> </v>
      </c>
      <c r="D232" s="3" t="str">
        <f ca="1">IF(OR(INDEX($K$2:$K$1001,MATCH(ROWS($J$2:J232),$J$2:$J$1001,0),1)&gt;=100000,INDEX($Q$1005:$U$1005,1,MATCH(COLUMNS($Q$1006:S1006),$Q$1006:$U$1006,0))&gt;=100000), " ",IF(INDEX($Q$2:$U$1001,MATCH(ROWS($J$2:J232),$J$2:$J$1001,0),MATCH(COLUMNS($Q$1006:S1006),$Q$1006:$U$1006,0)), HYPERLINK("#",""), HYPERLINK(CONCATENATE("#Metadata!", ADDRESS(INDEX($L$2:$L$1001,MATCH(ROWS($J$2:J232),$J$2:$J$1001,0),0), INDEX($Q$1004:$U$1004,1,MATCH(COLUMNS($Q$1006:S1006),$Q$1006:$U$1006,0)))),"Fix")))</f>
        <v xml:space="preserve"> </v>
      </c>
      <c r="E232" s="3" t="str">
        <f ca="1">IF(OR(INDEX($K$2:$K$1001,MATCH(ROWS($J$2:J232),$J$2:$J$1001,0),1)&gt;=100000,INDEX($Q$1005:$U$1005,1,MATCH(COLUMNS($Q$1006:T1006),$Q$1006:$U$1006,0))&gt;=100000), " ",IF(INDEX($Q$2:$U$1001,MATCH(ROWS($J$2:J232),$J$2:$J$1001,0),MATCH(COLUMNS($Q$1006:T1006),$Q$1006:$U$1006,0)), HYPERLINK("#",""), HYPERLINK(CONCATENATE("#Metadata!", ADDRESS(INDEX($L$2:$L$1001,MATCH(ROWS($J$2:J232),$J$2:$J$1001,0),0), INDEX($Q$1004:$U$1004,1,MATCH(COLUMNS($Q$1006:T1006),$Q$1006:$U$1006,0)))),"Fix")))</f>
        <v xml:space="preserve"> </v>
      </c>
      <c r="F232" s="3" t="str">
        <f ca="1">IF(OR(INDEX($K$2:$K$1001,MATCH(ROWS($J$2:J232),$J$2:$J$1001,0),1)&gt;=100000,INDEX($Q$1005:$U$1005,1,MATCH(COLUMNS($Q$1006:U1006),$Q$1006:$U$1006,0))&gt;=100000), " ",IF(INDEX($Q$2:$U$1001,MATCH(ROWS($J$2:J232),$J$2:$J$1001,0),MATCH(COLUMNS($Q$1006:U1006),$Q$1006:$U$1006,0)), HYPERLINK("#",""), HYPERLINK(CONCATENATE("#Metadata!", ADDRESS(INDEX($L$2:$L$1001,MATCH(ROWS($J$2:J232),$J$2:$J$1001,0),0), INDEX($Q$1004:$U$1004,1,MATCH(COLUMNS($Q$1006:U1006),$Q$1006:$U$1006,0)))),"Fix")))</f>
        <v xml:space="preserve"> </v>
      </c>
      <c r="J232">
        <f ca="1"/>
        <v>231</v>
      </c>
      <c r="K232">
        <v>100232</v>
      </c>
      <c r="L232">
        <v>232</v>
      </c>
      <c r="M232" t="b">
        <f t="shared" si="3"/>
        <v>1</v>
      </c>
      <c r="N232" t="b">
        <f>COUNTBLANK(Metadata!B232:F232)=COLUMNS(Metadata!B232:F232)</f>
        <v>1</v>
      </c>
      <c r="O232" t="str">
        <v/>
      </c>
      <c r="Q232" t="b">
        <f ca="1"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R232" t="b">
        <f>IF(Metadata!C232="",FALSE,TRUE)</f>
        <v>0</v>
      </c>
      <c r="S232" t="b">
        <f>OR(AND(IF(Metadata!D232="",FALSE,TRUE),EXACT(Metadata!D232,"missing: not collected")),AND(IF(Metadata!D232="",FALSE,TRUE),OR(EXACT(Metadata!D232,"t"),EXACT(Metadata!D232,"f"))))</f>
        <v>0</v>
      </c>
      <c r="T232" t="b">
        <f>AND(IF(Metadata!E232="",FALSE,TRUE),OR(EXACT(Metadata!E232,"a"),EXACT(Metadata!E232,"b")))</f>
        <v>0</v>
      </c>
      <c r="U232" t="b">
        <f>OR(AND(IF(Metadata!F232="",FALSE,TRUE),OR(EXACT(Metadata!F232,"missing: not collected"),EXACT(Metadata!F232,"missing: not provided"))),AND(IF(Metadata!F232="",FALSE,TRUE),OR(EXACT(Metadata!F232,"lo"),EXACT(Metadata!F232,"med"),EXACT(Metadata!F232,"hi"))))</f>
        <v>0</v>
      </c>
    </row>
    <row r="233" spans="1:21" x14ac:dyDescent="0.2">
      <c r="A233" s="4" t="str">
        <f ca="1">IF(B233=" "," ",HYPERLINK(CONCATENATE("#metadata!",ADDRESS(INDEX($L$2:$L$1001,MATCH(ROWS($J$2:J233),$J$2:$J$1001,0),0),1)),INDEX($O$2:$O$1001,MATCH(ROWS($J$2:J233),$J$2:$J$1001,0),0)))</f>
        <v xml:space="preserve"> </v>
      </c>
      <c r="B233" s="3" t="str">
        <f ca="1">IF(OR(INDEX($K$2:$K$1001,MATCH(ROWS($J$2:J233),$J$2:$J$1001,0),1)&gt;=100000,INDEX($Q$1005:$U$1005,1,MATCH(COLUMNS($Q$1006:Q1006),$Q$1006:$U$1006,0))&gt;=100000), " ",IF(INDEX($Q$2:$U$1001,MATCH(ROWS($J$2:J233),$J$2:$J$1001,0),MATCH(COLUMNS($Q$1006:Q1006),$Q$1006:$U$1006,0)), HYPERLINK("#",""), HYPERLINK(CONCATENATE("#Metadata!", ADDRESS(INDEX($L$2:$L$1001,MATCH(ROWS($J$2:J233),$J$2:$J$1001,0),0), INDEX($Q$1004:$U$1004,1,MATCH(COLUMNS($Q$1006:Q1006),$Q$1006:$U$1006,0)))),"Fix")))</f>
        <v xml:space="preserve"> </v>
      </c>
      <c r="C233" s="3" t="str">
        <f ca="1">IF(OR(INDEX($K$2:$K$1001,MATCH(ROWS($J$2:J233),$J$2:$J$1001,0),1)&gt;=100000,INDEX($Q$1005:$U$1005,1,MATCH(COLUMNS($Q$1006:R1006),$Q$1006:$U$1006,0))&gt;=100000), " ",IF(INDEX($Q$2:$U$1001,MATCH(ROWS($J$2:J233),$J$2:$J$1001,0),MATCH(COLUMNS($Q$1006:R1006),$Q$1006:$U$1006,0)), HYPERLINK("#",""), HYPERLINK(CONCATENATE("#Metadata!", ADDRESS(INDEX($L$2:$L$1001,MATCH(ROWS($J$2:J233),$J$2:$J$1001,0),0), INDEX($Q$1004:$U$1004,1,MATCH(COLUMNS($Q$1006:R1006),$Q$1006:$U$1006,0)))),"Fix")))</f>
        <v xml:space="preserve"> </v>
      </c>
      <c r="D233" s="3" t="str">
        <f ca="1">IF(OR(INDEX($K$2:$K$1001,MATCH(ROWS($J$2:J233),$J$2:$J$1001,0),1)&gt;=100000,INDEX($Q$1005:$U$1005,1,MATCH(COLUMNS($Q$1006:S1006),$Q$1006:$U$1006,0))&gt;=100000), " ",IF(INDEX($Q$2:$U$1001,MATCH(ROWS($J$2:J233),$J$2:$J$1001,0),MATCH(COLUMNS($Q$1006:S1006),$Q$1006:$U$1006,0)), HYPERLINK("#",""), HYPERLINK(CONCATENATE("#Metadata!", ADDRESS(INDEX($L$2:$L$1001,MATCH(ROWS($J$2:J233),$J$2:$J$1001,0),0), INDEX($Q$1004:$U$1004,1,MATCH(COLUMNS($Q$1006:S1006),$Q$1006:$U$1006,0)))),"Fix")))</f>
        <v xml:space="preserve"> </v>
      </c>
      <c r="E233" s="3" t="str">
        <f ca="1">IF(OR(INDEX($K$2:$K$1001,MATCH(ROWS($J$2:J233),$J$2:$J$1001,0),1)&gt;=100000,INDEX($Q$1005:$U$1005,1,MATCH(COLUMNS($Q$1006:T1006),$Q$1006:$U$1006,0))&gt;=100000), " ",IF(INDEX($Q$2:$U$1001,MATCH(ROWS($J$2:J233),$J$2:$J$1001,0),MATCH(COLUMNS($Q$1006:T1006),$Q$1006:$U$1006,0)), HYPERLINK("#",""), HYPERLINK(CONCATENATE("#Metadata!", ADDRESS(INDEX($L$2:$L$1001,MATCH(ROWS($J$2:J233),$J$2:$J$1001,0),0), INDEX($Q$1004:$U$1004,1,MATCH(COLUMNS($Q$1006:T1006),$Q$1006:$U$1006,0)))),"Fix")))</f>
        <v xml:space="preserve"> </v>
      </c>
      <c r="F233" s="3" t="str">
        <f ca="1">IF(OR(INDEX($K$2:$K$1001,MATCH(ROWS($J$2:J233),$J$2:$J$1001,0),1)&gt;=100000,INDEX($Q$1005:$U$1005,1,MATCH(COLUMNS($Q$1006:U1006),$Q$1006:$U$1006,0))&gt;=100000), " ",IF(INDEX($Q$2:$U$1001,MATCH(ROWS($J$2:J233),$J$2:$J$1001,0),MATCH(COLUMNS($Q$1006:U1006),$Q$1006:$U$1006,0)), HYPERLINK("#",""), HYPERLINK(CONCATENATE("#Metadata!", ADDRESS(INDEX($L$2:$L$1001,MATCH(ROWS($J$2:J233),$J$2:$J$1001,0),0), INDEX($Q$1004:$U$1004,1,MATCH(COLUMNS($Q$1006:U1006),$Q$1006:$U$1006,0)))),"Fix")))</f>
        <v xml:space="preserve"> </v>
      </c>
      <c r="J233">
        <f ca="1"/>
        <v>232</v>
      </c>
      <c r="K233">
        <v>100233</v>
      </c>
      <c r="L233">
        <v>233</v>
      </c>
      <c r="M233" t="b">
        <f t="shared" si="3"/>
        <v>1</v>
      </c>
      <c r="N233" t="b">
        <f>COUNTBLANK(Metadata!B233:F233)=COLUMNS(Metadata!B233:F233)</f>
        <v>1</v>
      </c>
      <c r="O233" t="str">
        <v/>
      </c>
      <c r="Q233" t="b">
        <f ca="1"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R233" t="b">
        <f>IF(Metadata!C233="",FALSE,TRUE)</f>
        <v>0</v>
      </c>
      <c r="S233" t="b">
        <f>OR(AND(IF(Metadata!D233="",FALSE,TRUE),EXACT(Metadata!D233,"missing: not collected")),AND(IF(Metadata!D233="",FALSE,TRUE),OR(EXACT(Metadata!D233,"t"),EXACT(Metadata!D233,"f"))))</f>
        <v>0</v>
      </c>
      <c r="T233" t="b">
        <f>AND(IF(Metadata!E233="",FALSE,TRUE),OR(EXACT(Metadata!E233,"a"),EXACT(Metadata!E233,"b")))</f>
        <v>0</v>
      </c>
      <c r="U233" t="b">
        <f>OR(AND(IF(Metadata!F233="",FALSE,TRUE),OR(EXACT(Metadata!F233,"missing: not collected"),EXACT(Metadata!F233,"missing: not provided"))),AND(IF(Metadata!F233="",FALSE,TRUE),OR(EXACT(Metadata!F233,"lo"),EXACT(Metadata!F233,"med"),EXACT(Metadata!F233,"hi"))))</f>
        <v>0</v>
      </c>
    </row>
    <row r="234" spans="1:21" x14ac:dyDescent="0.2">
      <c r="A234" s="4" t="str">
        <f ca="1">IF(B234=" "," ",HYPERLINK(CONCATENATE("#metadata!",ADDRESS(INDEX($L$2:$L$1001,MATCH(ROWS($J$2:J234),$J$2:$J$1001,0),0),1)),INDEX($O$2:$O$1001,MATCH(ROWS($J$2:J234),$J$2:$J$1001,0),0)))</f>
        <v xml:space="preserve"> </v>
      </c>
      <c r="B234" s="3" t="str">
        <f ca="1">IF(OR(INDEX($K$2:$K$1001,MATCH(ROWS($J$2:J234),$J$2:$J$1001,0),1)&gt;=100000,INDEX($Q$1005:$U$1005,1,MATCH(COLUMNS($Q$1006:Q1006),$Q$1006:$U$1006,0))&gt;=100000), " ",IF(INDEX($Q$2:$U$1001,MATCH(ROWS($J$2:J234),$J$2:$J$1001,0),MATCH(COLUMNS($Q$1006:Q1006),$Q$1006:$U$1006,0)), HYPERLINK("#",""), HYPERLINK(CONCATENATE("#Metadata!", ADDRESS(INDEX($L$2:$L$1001,MATCH(ROWS($J$2:J234),$J$2:$J$1001,0),0), INDEX($Q$1004:$U$1004,1,MATCH(COLUMNS($Q$1006:Q1006),$Q$1006:$U$1006,0)))),"Fix")))</f>
        <v xml:space="preserve"> </v>
      </c>
      <c r="C234" s="3" t="str">
        <f ca="1">IF(OR(INDEX($K$2:$K$1001,MATCH(ROWS($J$2:J234),$J$2:$J$1001,0),1)&gt;=100000,INDEX($Q$1005:$U$1005,1,MATCH(COLUMNS($Q$1006:R1006),$Q$1006:$U$1006,0))&gt;=100000), " ",IF(INDEX($Q$2:$U$1001,MATCH(ROWS($J$2:J234),$J$2:$J$1001,0),MATCH(COLUMNS($Q$1006:R1006),$Q$1006:$U$1006,0)), HYPERLINK("#",""), HYPERLINK(CONCATENATE("#Metadata!", ADDRESS(INDEX($L$2:$L$1001,MATCH(ROWS($J$2:J234),$J$2:$J$1001,0),0), INDEX($Q$1004:$U$1004,1,MATCH(COLUMNS($Q$1006:R1006),$Q$1006:$U$1006,0)))),"Fix")))</f>
        <v xml:space="preserve"> </v>
      </c>
      <c r="D234" s="3" t="str">
        <f ca="1">IF(OR(INDEX($K$2:$K$1001,MATCH(ROWS($J$2:J234),$J$2:$J$1001,0),1)&gt;=100000,INDEX($Q$1005:$U$1005,1,MATCH(COLUMNS($Q$1006:S1006),$Q$1006:$U$1006,0))&gt;=100000), " ",IF(INDEX($Q$2:$U$1001,MATCH(ROWS($J$2:J234),$J$2:$J$1001,0),MATCH(COLUMNS($Q$1006:S1006),$Q$1006:$U$1006,0)), HYPERLINK("#",""), HYPERLINK(CONCATENATE("#Metadata!", ADDRESS(INDEX($L$2:$L$1001,MATCH(ROWS($J$2:J234),$J$2:$J$1001,0),0), INDEX($Q$1004:$U$1004,1,MATCH(COLUMNS($Q$1006:S1006),$Q$1006:$U$1006,0)))),"Fix")))</f>
        <v xml:space="preserve"> </v>
      </c>
      <c r="E234" s="3" t="str">
        <f ca="1">IF(OR(INDEX($K$2:$K$1001,MATCH(ROWS($J$2:J234),$J$2:$J$1001,0),1)&gt;=100000,INDEX($Q$1005:$U$1005,1,MATCH(COLUMNS($Q$1006:T1006),$Q$1006:$U$1006,0))&gt;=100000), " ",IF(INDEX($Q$2:$U$1001,MATCH(ROWS($J$2:J234),$J$2:$J$1001,0),MATCH(COLUMNS($Q$1006:T1006),$Q$1006:$U$1006,0)), HYPERLINK("#",""), HYPERLINK(CONCATENATE("#Metadata!", ADDRESS(INDEX($L$2:$L$1001,MATCH(ROWS($J$2:J234),$J$2:$J$1001,0),0), INDEX($Q$1004:$U$1004,1,MATCH(COLUMNS($Q$1006:T1006),$Q$1006:$U$1006,0)))),"Fix")))</f>
        <v xml:space="preserve"> </v>
      </c>
      <c r="F234" s="3" t="str">
        <f ca="1">IF(OR(INDEX($K$2:$K$1001,MATCH(ROWS($J$2:J234),$J$2:$J$1001,0),1)&gt;=100000,INDEX($Q$1005:$U$1005,1,MATCH(COLUMNS($Q$1006:U1006),$Q$1006:$U$1006,0))&gt;=100000), " ",IF(INDEX($Q$2:$U$1001,MATCH(ROWS($J$2:J234),$J$2:$J$1001,0),MATCH(COLUMNS($Q$1006:U1006),$Q$1006:$U$1006,0)), HYPERLINK("#",""), HYPERLINK(CONCATENATE("#Metadata!", ADDRESS(INDEX($L$2:$L$1001,MATCH(ROWS($J$2:J234),$J$2:$J$1001,0),0), INDEX($Q$1004:$U$1004,1,MATCH(COLUMNS($Q$1006:U1006),$Q$1006:$U$1006,0)))),"Fix")))</f>
        <v xml:space="preserve"> </v>
      </c>
      <c r="J234">
        <f ca="1"/>
        <v>233</v>
      </c>
      <c r="K234">
        <v>100234</v>
      </c>
      <c r="L234">
        <v>234</v>
      </c>
      <c r="M234" t="b">
        <f t="shared" si="3"/>
        <v>1</v>
      </c>
      <c r="N234" t="b">
        <f>COUNTBLANK(Metadata!B234:F234)=COLUMNS(Metadata!B234:F234)</f>
        <v>1</v>
      </c>
      <c r="O234" t="str">
        <v/>
      </c>
      <c r="Q234" t="b">
        <f ca="1"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R234" t="b">
        <f>IF(Metadata!C234="",FALSE,TRUE)</f>
        <v>0</v>
      </c>
      <c r="S234" t="b">
        <f>OR(AND(IF(Metadata!D234="",FALSE,TRUE),EXACT(Metadata!D234,"missing: not collected")),AND(IF(Metadata!D234="",FALSE,TRUE),OR(EXACT(Metadata!D234,"t"),EXACT(Metadata!D234,"f"))))</f>
        <v>0</v>
      </c>
      <c r="T234" t="b">
        <f>AND(IF(Metadata!E234="",FALSE,TRUE),OR(EXACT(Metadata!E234,"a"),EXACT(Metadata!E234,"b")))</f>
        <v>0</v>
      </c>
      <c r="U234" t="b">
        <f>OR(AND(IF(Metadata!F234="",FALSE,TRUE),OR(EXACT(Metadata!F234,"missing: not collected"),EXACT(Metadata!F234,"missing: not provided"))),AND(IF(Metadata!F234="",FALSE,TRUE),OR(EXACT(Metadata!F234,"lo"),EXACT(Metadata!F234,"med"),EXACT(Metadata!F234,"hi"))))</f>
        <v>0</v>
      </c>
    </row>
    <row r="235" spans="1:21" x14ac:dyDescent="0.2">
      <c r="A235" s="4" t="str">
        <f ca="1">IF(B235=" "," ",HYPERLINK(CONCATENATE("#metadata!",ADDRESS(INDEX($L$2:$L$1001,MATCH(ROWS($J$2:J235),$J$2:$J$1001,0),0),1)),INDEX($O$2:$O$1001,MATCH(ROWS($J$2:J235),$J$2:$J$1001,0),0)))</f>
        <v xml:space="preserve"> </v>
      </c>
      <c r="B235" s="3" t="str">
        <f ca="1">IF(OR(INDEX($K$2:$K$1001,MATCH(ROWS($J$2:J235),$J$2:$J$1001,0),1)&gt;=100000,INDEX($Q$1005:$U$1005,1,MATCH(COLUMNS($Q$1006:Q1006),$Q$1006:$U$1006,0))&gt;=100000), " ",IF(INDEX($Q$2:$U$1001,MATCH(ROWS($J$2:J235),$J$2:$J$1001,0),MATCH(COLUMNS($Q$1006:Q1006),$Q$1006:$U$1006,0)), HYPERLINK("#",""), HYPERLINK(CONCATENATE("#Metadata!", ADDRESS(INDEX($L$2:$L$1001,MATCH(ROWS($J$2:J235),$J$2:$J$1001,0),0), INDEX($Q$1004:$U$1004,1,MATCH(COLUMNS($Q$1006:Q1006),$Q$1006:$U$1006,0)))),"Fix")))</f>
        <v xml:space="preserve"> </v>
      </c>
      <c r="C235" s="3" t="str">
        <f ca="1">IF(OR(INDEX($K$2:$K$1001,MATCH(ROWS($J$2:J235),$J$2:$J$1001,0),1)&gt;=100000,INDEX($Q$1005:$U$1005,1,MATCH(COLUMNS($Q$1006:R1006),$Q$1006:$U$1006,0))&gt;=100000), " ",IF(INDEX($Q$2:$U$1001,MATCH(ROWS($J$2:J235),$J$2:$J$1001,0),MATCH(COLUMNS($Q$1006:R1006),$Q$1006:$U$1006,0)), HYPERLINK("#",""), HYPERLINK(CONCATENATE("#Metadata!", ADDRESS(INDEX($L$2:$L$1001,MATCH(ROWS($J$2:J235),$J$2:$J$1001,0),0), INDEX($Q$1004:$U$1004,1,MATCH(COLUMNS($Q$1006:R1006),$Q$1006:$U$1006,0)))),"Fix")))</f>
        <v xml:space="preserve"> </v>
      </c>
      <c r="D235" s="3" t="str">
        <f ca="1">IF(OR(INDEX($K$2:$K$1001,MATCH(ROWS($J$2:J235),$J$2:$J$1001,0),1)&gt;=100000,INDEX($Q$1005:$U$1005,1,MATCH(COLUMNS($Q$1006:S1006),$Q$1006:$U$1006,0))&gt;=100000), " ",IF(INDEX($Q$2:$U$1001,MATCH(ROWS($J$2:J235),$J$2:$J$1001,0),MATCH(COLUMNS($Q$1006:S1006),$Q$1006:$U$1006,0)), HYPERLINK("#",""), HYPERLINK(CONCATENATE("#Metadata!", ADDRESS(INDEX($L$2:$L$1001,MATCH(ROWS($J$2:J235),$J$2:$J$1001,0),0), INDEX($Q$1004:$U$1004,1,MATCH(COLUMNS($Q$1006:S1006),$Q$1006:$U$1006,0)))),"Fix")))</f>
        <v xml:space="preserve"> </v>
      </c>
      <c r="E235" s="3" t="str">
        <f ca="1">IF(OR(INDEX($K$2:$K$1001,MATCH(ROWS($J$2:J235),$J$2:$J$1001,0),1)&gt;=100000,INDEX($Q$1005:$U$1005,1,MATCH(COLUMNS($Q$1006:T1006),$Q$1006:$U$1006,0))&gt;=100000), " ",IF(INDEX($Q$2:$U$1001,MATCH(ROWS($J$2:J235),$J$2:$J$1001,0),MATCH(COLUMNS($Q$1006:T1006),$Q$1006:$U$1006,0)), HYPERLINK("#",""), HYPERLINK(CONCATENATE("#Metadata!", ADDRESS(INDEX($L$2:$L$1001,MATCH(ROWS($J$2:J235),$J$2:$J$1001,0),0), INDEX($Q$1004:$U$1004,1,MATCH(COLUMNS($Q$1006:T1006),$Q$1006:$U$1006,0)))),"Fix")))</f>
        <v xml:space="preserve"> </v>
      </c>
      <c r="F235" s="3" t="str">
        <f ca="1">IF(OR(INDEX($K$2:$K$1001,MATCH(ROWS($J$2:J235),$J$2:$J$1001,0),1)&gt;=100000,INDEX($Q$1005:$U$1005,1,MATCH(COLUMNS($Q$1006:U1006),$Q$1006:$U$1006,0))&gt;=100000), " ",IF(INDEX($Q$2:$U$1001,MATCH(ROWS($J$2:J235),$J$2:$J$1001,0),MATCH(COLUMNS($Q$1006:U1006),$Q$1006:$U$1006,0)), HYPERLINK("#",""), HYPERLINK(CONCATENATE("#Metadata!", ADDRESS(INDEX($L$2:$L$1001,MATCH(ROWS($J$2:J235),$J$2:$J$1001,0),0), INDEX($Q$1004:$U$1004,1,MATCH(COLUMNS($Q$1006:U1006),$Q$1006:$U$1006,0)))),"Fix")))</f>
        <v xml:space="preserve"> </v>
      </c>
      <c r="J235">
        <f ca="1"/>
        <v>234</v>
      </c>
      <c r="K235">
        <v>100235</v>
      </c>
      <c r="L235">
        <v>235</v>
      </c>
      <c r="M235" t="b">
        <f t="shared" si="3"/>
        <v>1</v>
      </c>
      <c r="N235" t="b">
        <f>COUNTBLANK(Metadata!B235:F235)=COLUMNS(Metadata!B235:F235)</f>
        <v>1</v>
      </c>
      <c r="O235" t="str">
        <v/>
      </c>
      <c r="Q235" t="b">
        <f ca="1"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R235" t="b">
        <f>IF(Metadata!C235="",FALSE,TRUE)</f>
        <v>0</v>
      </c>
      <c r="S235" t="b">
        <f>OR(AND(IF(Metadata!D235="",FALSE,TRUE),EXACT(Metadata!D235,"missing: not collected")),AND(IF(Metadata!D235="",FALSE,TRUE),OR(EXACT(Metadata!D235,"t"),EXACT(Metadata!D235,"f"))))</f>
        <v>0</v>
      </c>
      <c r="T235" t="b">
        <f>AND(IF(Metadata!E235="",FALSE,TRUE),OR(EXACT(Metadata!E235,"a"),EXACT(Metadata!E235,"b")))</f>
        <v>0</v>
      </c>
      <c r="U235" t="b">
        <f>OR(AND(IF(Metadata!F235="",FALSE,TRUE),OR(EXACT(Metadata!F235,"missing: not collected"),EXACT(Metadata!F235,"missing: not provided"))),AND(IF(Metadata!F235="",FALSE,TRUE),OR(EXACT(Metadata!F235,"lo"),EXACT(Metadata!F235,"med"),EXACT(Metadata!F235,"hi"))))</f>
        <v>0</v>
      </c>
    </row>
    <row r="236" spans="1:21" x14ac:dyDescent="0.2">
      <c r="A236" s="4" t="str">
        <f ca="1">IF(B236=" "," ",HYPERLINK(CONCATENATE("#metadata!",ADDRESS(INDEX($L$2:$L$1001,MATCH(ROWS($J$2:J236),$J$2:$J$1001,0),0),1)),INDEX($O$2:$O$1001,MATCH(ROWS($J$2:J236),$J$2:$J$1001,0),0)))</f>
        <v xml:space="preserve"> </v>
      </c>
      <c r="B236" s="3" t="str">
        <f ca="1">IF(OR(INDEX($K$2:$K$1001,MATCH(ROWS($J$2:J236),$J$2:$J$1001,0),1)&gt;=100000,INDEX($Q$1005:$U$1005,1,MATCH(COLUMNS($Q$1006:Q1006),$Q$1006:$U$1006,0))&gt;=100000), " ",IF(INDEX($Q$2:$U$1001,MATCH(ROWS($J$2:J236),$J$2:$J$1001,0),MATCH(COLUMNS($Q$1006:Q1006),$Q$1006:$U$1006,0)), HYPERLINK("#",""), HYPERLINK(CONCATENATE("#Metadata!", ADDRESS(INDEX($L$2:$L$1001,MATCH(ROWS($J$2:J236),$J$2:$J$1001,0),0), INDEX($Q$1004:$U$1004,1,MATCH(COLUMNS($Q$1006:Q1006),$Q$1006:$U$1006,0)))),"Fix")))</f>
        <v xml:space="preserve"> </v>
      </c>
      <c r="C236" s="3" t="str">
        <f ca="1">IF(OR(INDEX($K$2:$K$1001,MATCH(ROWS($J$2:J236),$J$2:$J$1001,0),1)&gt;=100000,INDEX($Q$1005:$U$1005,1,MATCH(COLUMNS($Q$1006:R1006),$Q$1006:$U$1006,0))&gt;=100000), " ",IF(INDEX($Q$2:$U$1001,MATCH(ROWS($J$2:J236),$J$2:$J$1001,0),MATCH(COLUMNS($Q$1006:R1006),$Q$1006:$U$1006,0)), HYPERLINK("#",""), HYPERLINK(CONCATENATE("#Metadata!", ADDRESS(INDEX($L$2:$L$1001,MATCH(ROWS($J$2:J236),$J$2:$J$1001,0),0), INDEX($Q$1004:$U$1004,1,MATCH(COLUMNS($Q$1006:R1006),$Q$1006:$U$1006,0)))),"Fix")))</f>
        <v xml:space="preserve"> </v>
      </c>
      <c r="D236" s="3" t="str">
        <f ca="1">IF(OR(INDEX($K$2:$K$1001,MATCH(ROWS($J$2:J236),$J$2:$J$1001,0),1)&gt;=100000,INDEX($Q$1005:$U$1005,1,MATCH(COLUMNS($Q$1006:S1006),$Q$1006:$U$1006,0))&gt;=100000), " ",IF(INDEX($Q$2:$U$1001,MATCH(ROWS($J$2:J236),$J$2:$J$1001,0),MATCH(COLUMNS($Q$1006:S1006),$Q$1006:$U$1006,0)), HYPERLINK("#",""), HYPERLINK(CONCATENATE("#Metadata!", ADDRESS(INDEX($L$2:$L$1001,MATCH(ROWS($J$2:J236),$J$2:$J$1001,0),0), INDEX($Q$1004:$U$1004,1,MATCH(COLUMNS($Q$1006:S1006),$Q$1006:$U$1006,0)))),"Fix")))</f>
        <v xml:space="preserve"> </v>
      </c>
      <c r="E236" s="3" t="str">
        <f ca="1">IF(OR(INDEX($K$2:$K$1001,MATCH(ROWS($J$2:J236),$J$2:$J$1001,0),1)&gt;=100000,INDEX($Q$1005:$U$1005,1,MATCH(COLUMNS($Q$1006:T1006),$Q$1006:$U$1006,0))&gt;=100000), " ",IF(INDEX($Q$2:$U$1001,MATCH(ROWS($J$2:J236),$J$2:$J$1001,0),MATCH(COLUMNS($Q$1006:T1006),$Q$1006:$U$1006,0)), HYPERLINK("#",""), HYPERLINK(CONCATENATE("#Metadata!", ADDRESS(INDEX($L$2:$L$1001,MATCH(ROWS($J$2:J236),$J$2:$J$1001,0),0), INDEX($Q$1004:$U$1004,1,MATCH(COLUMNS($Q$1006:T1006),$Q$1006:$U$1006,0)))),"Fix")))</f>
        <v xml:space="preserve"> </v>
      </c>
      <c r="F236" s="3" t="str">
        <f ca="1">IF(OR(INDEX($K$2:$K$1001,MATCH(ROWS($J$2:J236),$J$2:$J$1001,0),1)&gt;=100000,INDEX($Q$1005:$U$1005,1,MATCH(COLUMNS($Q$1006:U1006),$Q$1006:$U$1006,0))&gt;=100000), " ",IF(INDEX($Q$2:$U$1001,MATCH(ROWS($J$2:J236),$J$2:$J$1001,0),MATCH(COLUMNS($Q$1006:U1006),$Q$1006:$U$1006,0)), HYPERLINK("#",""), HYPERLINK(CONCATENATE("#Metadata!", ADDRESS(INDEX($L$2:$L$1001,MATCH(ROWS($J$2:J236),$J$2:$J$1001,0),0), INDEX($Q$1004:$U$1004,1,MATCH(COLUMNS($Q$1006:U1006),$Q$1006:$U$1006,0)))),"Fix")))</f>
        <v xml:space="preserve"> </v>
      </c>
      <c r="J236">
        <f ca="1"/>
        <v>235</v>
      </c>
      <c r="K236">
        <v>100236</v>
      </c>
      <c r="L236">
        <v>236</v>
      </c>
      <c r="M236" t="b">
        <f t="shared" si="3"/>
        <v>1</v>
      </c>
      <c r="N236" t="b">
        <f>COUNTBLANK(Metadata!B236:F236)=COLUMNS(Metadata!B236:F236)</f>
        <v>1</v>
      </c>
      <c r="O236" t="str">
        <v/>
      </c>
      <c r="Q236" t="b">
        <f ca="1"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R236" t="b">
        <f>IF(Metadata!C236="",FALSE,TRUE)</f>
        <v>0</v>
      </c>
      <c r="S236" t="b">
        <f>OR(AND(IF(Metadata!D236="",FALSE,TRUE),EXACT(Metadata!D236,"missing: not collected")),AND(IF(Metadata!D236="",FALSE,TRUE),OR(EXACT(Metadata!D236,"t"),EXACT(Metadata!D236,"f"))))</f>
        <v>0</v>
      </c>
      <c r="T236" t="b">
        <f>AND(IF(Metadata!E236="",FALSE,TRUE),OR(EXACT(Metadata!E236,"a"),EXACT(Metadata!E236,"b")))</f>
        <v>0</v>
      </c>
      <c r="U236" t="b">
        <f>OR(AND(IF(Metadata!F236="",FALSE,TRUE),OR(EXACT(Metadata!F236,"missing: not collected"),EXACT(Metadata!F236,"missing: not provided"))),AND(IF(Metadata!F236="",FALSE,TRUE),OR(EXACT(Metadata!F236,"lo"),EXACT(Metadata!F236,"med"),EXACT(Metadata!F236,"hi"))))</f>
        <v>0</v>
      </c>
    </row>
    <row r="237" spans="1:21" x14ac:dyDescent="0.2">
      <c r="A237" s="4" t="str">
        <f ca="1">IF(B237=" "," ",HYPERLINK(CONCATENATE("#metadata!",ADDRESS(INDEX($L$2:$L$1001,MATCH(ROWS($J$2:J237),$J$2:$J$1001,0),0),1)),INDEX($O$2:$O$1001,MATCH(ROWS($J$2:J237),$J$2:$J$1001,0),0)))</f>
        <v xml:space="preserve"> </v>
      </c>
      <c r="B237" s="3" t="str">
        <f ca="1">IF(OR(INDEX($K$2:$K$1001,MATCH(ROWS($J$2:J237),$J$2:$J$1001,0),1)&gt;=100000,INDEX($Q$1005:$U$1005,1,MATCH(COLUMNS($Q$1006:Q1006),$Q$1006:$U$1006,0))&gt;=100000), " ",IF(INDEX($Q$2:$U$1001,MATCH(ROWS($J$2:J237),$J$2:$J$1001,0),MATCH(COLUMNS($Q$1006:Q1006),$Q$1006:$U$1006,0)), HYPERLINK("#",""), HYPERLINK(CONCATENATE("#Metadata!", ADDRESS(INDEX($L$2:$L$1001,MATCH(ROWS($J$2:J237),$J$2:$J$1001,0),0), INDEX($Q$1004:$U$1004,1,MATCH(COLUMNS($Q$1006:Q1006),$Q$1006:$U$1006,0)))),"Fix")))</f>
        <v xml:space="preserve"> </v>
      </c>
      <c r="C237" s="3" t="str">
        <f ca="1">IF(OR(INDEX($K$2:$K$1001,MATCH(ROWS($J$2:J237),$J$2:$J$1001,0),1)&gt;=100000,INDEX($Q$1005:$U$1005,1,MATCH(COLUMNS($Q$1006:R1006),$Q$1006:$U$1006,0))&gt;=100000), " ",IF(INDEX($Q$2:$U$1001,MATCH(ROWS($J$2:J237),$J$2:$J$1001,0),MATCH(COLUMNS($Q$1006:R1006),$Q$1006:$U$1006,0)), HYPERLINK("#",""), HYPERLINK(CONCATENATE("#Metadata!", ADDRESS(INDEX($L$2:$L$1001,MATCH(ROWS($J$2:J237),$J$2:$J$1001,0),0), INDEX($Q$1004:$U$1004,1,MATCH(COLUMNS($Q$1006:R1006),$Q$1006:$U$1006,0)))),"Fix")))</f>
        <v xml:space="preserve"> </v>
      </c>
      <c r="D237" s="3" t="str">
        <f ca="1">IF(OR(INDEX($K$2:$K$1001,MATCH(ROWS($J$2:J237),$J$2:$J$1001,0),1)&gt;=100000,INDEX($Q$1005:$U$1005,1,MATCH(COLUMNS($Q$1006:S1006),$Q$1006:$U$1006,0))&gt;=100000), " ",IF(INDEX($Q$2:$U$1001,MATCH(ROWS($J$2:J237),$J$2:$J$1001,0),MATCH(COLUMNS($Q$1006:S1006),$Q$1006:$U$1006,0)), HYPERLINK("#",""), HYPERLINK(CONCATENATE("#Metadata!", ADDRESS(INDEX($L$2:$L$1001,MATCH(ROWS($J$2:J237),$J$2:$J$1001,0),0), INDEX($Q$1004:$U$1004,1,MATCH(COLUMNS($Q$1006:S1006),$Q$1006:$U$1006,0)))),"Fix")))</f>
        <v xml:space="preserve"> </v>
      </c>
      <c r="E237" s="3" t="str">
        <f ca="1">IF(OR(INDEX($K$2:$K$1001,MATCH(ROWS($J$2:J237),$J$2:$J$1001,0),1)&gt;=100000,INDEX($Q$1005:$U$1005,1,MATCH(COLUMNS($Q$1006:T1006),$Q$1006:$U$1006,0))&gt;=100000), " ",IF(INDEX($Q$2:$U$1001,MATCH(ROWS($J$2:J237),$J$2:$J$1001,0),MATCH(COLUMNS($Q$1006:T1006),$Q$1006:$U$1006,0)), HYPERLINK("#",""), HYPERLINK(CONCATENATE("#Metadata!", ADDRESS(INDEX($L$2:$L$1001,MATCH(ROWS($J$2:J237),$J$2:$J$1001,0),0), INDEX($Q$1004:$U$1004,1,MATCH(COLUMNS($Q$1006:T1006),$Q$1006:$U$1006,0)))),"Fix")))</f>
        <v xml:space="preserve"> </v>
      </c>
      <c r="F237" s="3" t="str">
        <f ca="1">IF(OR(INDEX($K$2:$K$1001,MATCH(ROWS($J$2:J237),$J$2:$J$1001,0),1)&gt;=100000,INDEX($Q$1005:$U$1005,1,MATCH(COLUMNS($Q$1006:U1006),$Q$1006:$U$1006,0))&gt;=100000), " ",IF(INDEX($Q$2:$U$1001,MATCH(ROWS($J$2:J237),$J$2:$J$1001,0),MATCH(COLUMNS($Q$1006:U1006),$Q$1006:$U$1006,0)), HYPERLINK("#",""), HYPERLINK(CONCATENATE("#Metadata!", ADDRESS(INDEX($L$2:$L$1001,MATCH(ROWS($J$2:J237),$J$2:$J$1001,0),0), INDEX($Q$1004:$U$1004,1,MATCH(COLUMNS($Q$1006:U1006),$Q$1006:$U$1006,0)))),"Fix")))</f>
        <v xml:space="preserve"> </v>
      </c>
      <c r="J237">
        <f ca="1"/>
        <v>236</v>
      </c>
      <c r="K237">
        <v>100237</v>
      </c>
      <c r="L237">
        <v>237</v>
      </c>
      <c r="M237" t="b">
        <f t="shared" si="3"/>
        <v>1</v>
      </c>
      <c r="N237" t="b">
        <f>COUNTBLANK(Metadata!B237:F237)=COLUMNS(Metadata!B237:F237)</f>
        <v>1</v>
      </c>
      <c r="O237" t="str">
        <v/>
      </c>
      <c r="Q237" t="b">
        <f ca="1"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R237" t="b">
        <f>IF(Metadata!C237="",FALSE,TRUE)</f>
        <v>0</v>
      </c>
      <c r="S237" t="b">
        <f>OR(AND(IF(Metadata!D237="",FALSE,TRUE),EXACT(Metadata!D237,"missing: not collected")),AND(IF(Metadata!D237="",FALSE,TRUE),OR(EXACT(Metadata!D237,"t"),EXACT(Metadata!D237,"f"))))</f>
        <v>0</v>
      </c>
      <c r="T237" t="b">
        <f>AND(IF(Metadata!E237="",FALSE,TRUE),OR(EXACT(Metadata!E237,"a"),EXACT(Metadata!E237,"b")))</f>
        <v>0</v>
      </c>
      <c r="U237" t="b">
        <f>OR(AND(IF(Metadata!F237="",FALSE,TRUE),OR(EXACT(Metadata!F237,"missing: not collected"),EXACT(Metadata!F237,"missing: not provided"))),AND(IF(Metadata!F237="",FALSE,TRUE),OR(EXACT(Metadata!F237,"lo"),EXACT(Metadata!F237,"med"),EXACT(Metadata!F237,"hi"))))</f>
        <v>0</v>
      </c>
    </row>
    <row r="238" spans="1:21" x14ac:dyDescent="0.2">
      <c r="A238" s="4" t="str">
        <f ca="1">IF(B238=" "," ",HYPERLINK(CONCATENATE("#metadata!",ADDRESS(INDEX($L$2:$L$1001,MATCH(ROWS($J$2:J238),$J$2:$J$1001,0),0),1)),INDEX($O$2:$O$1001,MATCH(ROWS($J$2:J238),$J$2:$J$1001,0),0)))</f>
        <v xml:space="preserve"> </v>
      </c>
      <c r="B238" s="3" t="str">
        <f ca="1">IF(OR(INDEX($K$2:$K$1001,MATCH(ROWS($J$2:J238),$J$2:$J$1001,0),1)&gt;=100000,INDEX($Q$1005:$U$1005,1,MATCH(COLUMNS($Q$1006:Q1006),$Q$1006:$U$1006,0))&gt;=100000), " ",IF(INDEX($Q$2:$U$1001,MATCH(ROWS($J$2:J238),$J$2:$J$1001,0),MATCH(COLUMNS($Q$1006:Q1006),$Q$1006:$U$1006,0)), HYPERLINK("#",""), HYPERLINK(CONCATENATE("#Metadata!", ADDRESS(INDEX($L$2:$L$1001,MATCH(ROWS($J$2:J238),$J$2:$J$1001,0),0), INDEX($Q$1004:$U$1004,1,MATCH(COLUMNS($Q$1006:Q1006),$Q$1006:$U$1006,0)))),"Fix")))</f>
        <v xml:space="preserve"> </v>
      </c>
      <c r="C238" s="3" t="str">
        <f ca="1">IF(OR(INDEX($K$2:$K$1001,MATCH(ROWS($J$2:J238),$J$2:$J$1001,0),1)&gt;=100000,INDEX($Q$1005:$U$1005,1,MATCH(COLUMNS($Q$1006:R1006),$Q$1006:$U$1006,0))&gt;=100000), " ",IF(INDEX($Q$2:$U$1001,MATCH(ROWS($J$2:J238),$J$2:$J$1001,0),MATCH(COLUMNS($Q$1006:R1006),$Q$1006:$U$1006,0)), HYPERLINK("#",""), HYPERLINK(CONCATENATE("#Metadata!", ADDRESS(INDEX($L$2:$L$1001,MATCH(ROWS($J$2:J238),$J$2:$J$1001,0),0), INDEX($Q$1004:$U$1004,1,MATCH(COLUMNS($Q$1006:R1006),$Q$1006:$U$1006,0)))),"Fix")))</f>
        <v xml:space="preserve"> </v>
      </c>
      <c r="D238" s="3" t="str">
        <f ca="1">IF(OR(INDEX($K$2:$K$1001,MATCH(ROWS($J$2:J238),$J$2:$J$1001,0),1)&gt;=100000,INDEX($Q$1005:$U$1005,1,MATCH(COLUMNS($Q$1006:S1006),$Q$1006:$U$1006,0))&gt;=100000), " ",IF(INDEX($Q$2:$U$1001,MATCH(ROWS($J$2:J238),$J$2:$J$1001,0),MATCH(COLUMNS($Q$1006:S1006),$Q$1006:$U$1006,0)), HYPERLINK("#",""), HYPERLINK(CONCATENATE("#Metadata!", ADDRESS(INDEX($L$2:$L$1001,MATCH(ROWS($J$2:J238),$J$2:$J$1001,0),0), INDEX($Q$1004:$U$1004,1,MATCH(COLUMNS($Q$1006:S1006),$Q$1006:$U$1006,0)))),"Fix")))</f>
        <v xml:space="preserve"> </v>
      </c>
      <c r="E238" s="3" t="str">
        <f ca="1">IF(OR(INDEX($K$2:$K$1001,MATCH(ROWS($J$2:J238),$J$2:$J$1001,0),1)&gt;=100000,INDEX($Q$1005:$U$1005,1,MATCH(COLUMNS($Q$1006:T1006),$Q$1006:$U$1006,0))&gt;=100000), " ",IF(INDEX($Q$2:$U$1001,MATCH(ROWS($J$2:J238),$J$2:$J$1001,0),MATCH(COLUMNS($Q$1006:T1006),$Q$1006:$U$1006,0)), HYPERLINK("#",""), HYPERLINK(CONCATENATE("#Metadata!", ADDRESS(INDEX($L$2:$L$1001,MATCH(ROWS($J$2:J238),$J$2:$J$1001,0),0), INDEX($Q$1004:$U$1004,1,MATCH(COLUMNS($Q$1006:T1006),$Q$1006:$U$1006,0)))),"Fix")))</f>
        <v xml:space="preserve"> </v>
      </c>
      <c r="F238" s="3" t="str">
        <f ca="1">IF(OR(INDEX($K$2:$K$1001,MATCH(ROWS($J$2:J238),$J$2:$J$1001,0),1)&gt;=100000,INDEX($Q$1005:$U$1005,1,MATCH(COLUMNS($Q$1006:U1006),$Q$1006:$U$1006,0))&gt;=100000), " ",IF(INDEX($Q$2:$U$1001,MATCH(ROWS($J$2:J238),$J$2:$J$1001,0),MATCH(COLUMNS($Q$1006:U1006),$Q$1006:$U$1006,0)), HYPERLINK("#",""), HYPERLINK(CONCATENATE("#Metadata!", ADDRESS(INDEX($L$2:$L$1001,MATCH(ROWS($J$2:J238),$J$2:$J$1001,0),0), INDEX($Q$1004:$U$1004,1,MATCH(COLUMNS($Q$1006:U1006),$Q$1006:$U$1006,0)))),"Fix")))</f>
        <v xml:space="preserve"> </v>
      </c>
      <c r="J238">
        <f ca="1"/>
        <v>237</v>
      </c>
      <c r="K238">
        <v>100238</v>
      </c>
      <c r="L238">
        <v>238</v>
      </c>
      <c r="M238" t="b">
        <f t="shared" si="3"/>
        <v>1</v>
      </c>
      <c r="N238" t="b">
        <f>COUNTBLANK(Metadata!B238:F238)=COLUMNS(Metadata!B238:F238)</f>
        <v>1</v>
      </c>
      <c r="O238" t="str">
        <v/>
      </c>
      <c r="Q238" t="b">
        <f ca="1"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R238" t="b">
        <f>IF(Metadata!C238="",FALSE,TRUE)</f>
        <v>0</v>
      </c>
      <c r="S238" t="b">
        <f>OR(AND(IF(Metadata!D238="",FALSE,TRUE),EXACT(Metadata!D238,"missing: not collected")),AND(IF(Metadata!D238="",FALSE,TRUE),OR(EXACT(Metadata!D238,"t"),EXACT(Metadata!D238,"f"))))</f>
        <v>0</v>
      </c>
      <c r="T238" t="b">
        <f>AND(IF(Metadata!E238="",FALSE,TRUE),OR(EXACT(Metadata!E238,"a"),EXACT(Metadata!E238,"b")))</f>
        <v>0</v>
      </c>
      <c r="U238" t="b">
        <f>OR(AND(IF(Metadata!F238="",FALSE,TRUE),OR(EXACT(Metadata!F238,"missing: not collected"),EXACT(Metadata!F238,"missing: not provided"))),AND(IF(Metadata!F238="",FALSE,TRUE),OR(EXACT(Metadata!F238,"lo"),EXACT(Metadata!F238,"med"),EXACT(Metadata!F238,"hi"))))</f>
        <v>0</v>
      </c>
    </row>
    <row r="239" spans="1:21" x14ac:dyDescent="0.2">
      <c r="A239" s="4" t="str">
        <f ca="1">IF(B239=" "," ",HYPERLINK(CONCATENATE("#metadata!",ADDRESS(INDEX($L$2:$L$1001,MATCH(ROWS($J$2:J239),$J$2:$J$1001,0),0),1)),INDEX($O$2:$O$1001,MATCH(ROWS($J$2:J239),$J$2:$J$1001,0),0)))</f>
        <v xml:space="preserve"> </v>
      </c>
      <c r="B239" s="3" t="str">
        <f ca="1">IF(OR(INDEX($K$2:$K$1001,MATCH(ROWS($J$2:J239),$J$2:$J$1001,0),1)&gt;=100000,INDEX($Q$1005:$U$1005,1,MATCH(COLUMNS($Q$1006:Q1006),$Q$1006:$U$1006,0))&gt;=100000), " ",IF(INDEX($Q$2:$U$1001,MATCH(ROWS($J$2:J239),$J$2:$J$1001,0),MATCH(COLUMNS($Q$1006:Q1006),$Q$1006:$U$1006,0)), HYPERLINK("#",""), HYPERLINK(CONCATENATE("#Metadata!", ADDRESS(INDEX($L$2:$L$1001,MATCH(ROWS($J$2:J239),$J$2:$J$1001,0),0), INDEX($Q$1004:$U$1004,1,MATCH(COLUMNS($Q$1006:Q1006),$Q$1006:$U$1006,0)))),"Fix")))</f>
        <v xml:space="preserve"> </v>
      </c>
      <c r="C239" s="3" t="str">
        <f ca="1">IF(OR(INDEX($K$2:$K$1001,MATCH(ROWS($J$2:J239),$J$2:$J$1001,0),1)&gt;=100000,INDEX($Q$1005:$U$1005,1,MATCH(COLUMNS($Q$1006:R1006),$Q$1006:$U$1006,0))&gt;=100000), " ",IF(INDEX($Q$2:$U$1001,MATCH(ROWS($J$2:J239),$J$2:$J$1001,0),MATCH(COLUMNS($Q$1006:R1006),$Q$1006:$U$1006,0)), HYPERLINK("#",""), HYPERLINK(CONCATENATE("#Metadata!", ADDRESS(INDEX($L$2:$L$1001,MATCH(ROWS($J$2:J239),$J$2:$J$1001,0),0), INDEX($Q$1004:$U$1004,1,MATCH(COLUMNS($Q$1006:R1006),$Q$1006:$U$1006,0)))),"Fix")))</f>
        <v xml:space="preserve"> </v>
      </c>
      <c r="D239" s="3" t="str">
        <f ca="1">IF(OR(INDEX($K$2:$K$1001,MATCH(ROWS($J$2:J239),$J$2:$J$1001,0),1)&gt;=100000,INDEX($Q$1005:$U$1005,1,MATCH(COLUMNS($Q$1006:S1006),$Q$1006:$U$1006,0))&gt;=100000), " ",IF(INDEX($Q$2:$U$1001,MATCH(ROWS($J$2:J239),$J$2:$J$1001,0),MATCH(COLUMNS($Q$1006:S1006),$Q$1006:$U$1006,0)), HYPERLINK("#",""), HYPERLINK(CONCATENATE("#Metadata!", ADDRESS(INDEX($L$2:$L$1001,MATCH(ROWS($J$2:J239),$J$2:$J$1001,0),0), INDEX($Q$1004:$U$1004,1,MATCH(COLUMNS($Q$1006:S1006),$Q$1006:$U$1006,0)))),"Fix")))</f>
        <v xml:space="preserve"> </v>
      </c>
      <c r="E239" s="3" t="str">
        <f ca="1">IF(OR(INDEX($K$2:$K$1001,MATCH(ROWS($J$2:J239),$J$2:$J$1001,0),1)&gt;=100000,INDEX($Q$1005:$U$1005,1,MATCH(COLUMNS($Q$1006:T1006),$Q$1006:$U$1006,0))&gt;=100000), " ",IF(INDEX($Q$2:$U$1001,MATCH(ROWS($J$2:J239),$J$2:$J$1001,0),MATCH(COLUMNS($Q$1006:T1006),$Q$1006:$U$1006,0)), HYPERLINK("#",""), HYPERLINK(CONCATENATE("#Metadata!", ADDRESS(INDEX($L$2:$L$1001,MATCH(ROWS($J$2:J239),$J$2:$J$1001,0),0), INDEX($Q$1004:$U$1004,1,MATCH(COLUMNS($Q$1006:T1006),$Q$1006:$U$1006,0)))),"Fix")))</f>
        <v xml:space="preserve"> </v>
      </c>
      <c r="F239" s="3" t="str">
        <f ca="1">IF(OR(INDEX($K$2:$K$1001,MATCH(ROWS($J$2:J239),$J$2:$J$1001,0),1)&gt;=100000,INDEX($Q$1005:$U$1005,1,MATCH(COLUMNS($Q$1006:U1006),$Q$1006:$U$1006,0))&gt;=100000), " ",IF(INDEX($Q$2:$U$1001,MATCH(ROWS($J$2:J239),$J$2:$J$1001,0),MATCH(COLUMNS($Q$1006:U1006),$Q$1006:$U$1006,0)), HYPERLINK("#",""), HYPERLINK(CONCATENATE("#Metadata!", ADDRESS(INDEX($L$2:$L$1001,MATCH(ROWS($J$2:J239),$J$2:$J$1001,0),0), INDEX($Q$1004:$U$1004,1,MATCH(COLUMNS($Q$1006:U1006),$Q$1006:$U$1006,0)))),"Fix")))</f>
        <v xml:space="preserve"> </v>
      </c>
      <c r="J239">
        <f ca="1"/>
        <v>238</v>
      </c>
      <c r="K239">
        <v>100239</v>
      </c>
      <c r="L239">
        <v>239</v>
      </c>
      <c r="M239" t="b">
        <f t="shared" si="3"/>
        <v>1</v>
      </c>
      <c r="N239" t="b">
        <f>COUNTBLANK(Metadata!B239:F239)=COLUMNS(Metadata!B239:F239)</f>
        <v>1</v>
      </c>
      <c r="O239" t="str">
        <v/>
      </c>
      <c r="Q239" t="b">
        <f ca="1"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R239" t="b">
        <f>IF(Metadata!C239="",FALSE,TRUE)</f>
        <v>0</v>
      </c>
      <c r="S239" t="b">
        <f>OR(AND(IF(Metadata!D239="",FALSE,TRUE),EXACT(Metadata!D239,"missing: not collected")),AND(IF(Metadata!D239="",FALSE,TRUE),OR(EXACT(Metadata!D239,"t"),EXACT(Metadata!D239,"f"))))</f>
        <v>0</v>
      </c>
      <c r="T239" t="b">
        <f>AND(IF(Metadata!E239="",FALSE,TRUE),OR(EXACT(Metadata!E239,"a"),EXACT(Metadata!E239,"b")))</f>
        <v>0</v>
      </c>
      <c r="U239" t="b">
        <f>OR(AND(IF(Metadata!F239="",FALSE,TRUE),OR(EXACT(Metadata!F239,"missing: not collected"),EXACT(Metadata!F239,"missing: not provided"))),AND(IF(Metadata!F239="",FALSE,TRUE),OR(EXACT(Metadata!F239,"lo"),EXACT(Metadata!F239,"med"),EXACT(Metadata!F239,"hi"))))</f>
        <v>0</v>
      </c>
    </row>
    <row r="240" spans="1:21" x14ac:dyDescent="0.2">
      <c r="A240" s="4" t="str">
        <f ca="1">IF(B240=" "," ",HYPERLINK(CONCATENATE("#metadata!",ADDRESS(INDEX($L$2:$L$1001,MATCH(ROWS($J$2:J240),$J$2:$J$1001,0),0),1)),INDEX($O$2:$O$1001,MATCH(ROWS($J$2:J240),$J$2:$J$1001,0),0)))</f>
        <v xml:space="preserve"> </v>
      </c>
      <c r="B240" s="3" t="str">
        <f ca="1">IF(OR(INDEX($K$2:$K$1001,MATCH(ROWS($J$2:J240),$J$2:$J$1001,0),1)&gt;=100000,INDEX($Q$1005:$U$1005,1,MATCH(COLUMNS($Q$1006:Q1006),$Q$1006:$U$1006,0))&gt;=100000), " ",IF(INDEX($Q$2:$U$1001,MATCH(ROWS($J$2:J240),$J$2:$J$1001,0),MATCH(COLUMNS($Q$1006:Q1006),$Q$1006:$U$1006,0)), HYPERLINK("#",""), HYPERLINK(CONCATENATE("#Metadata!", ADDRESS(INDEX($L$2:$L$1001,MATCH(ROWS($J$2:J240),$J$2:$J$1001,0),0), INDEX($Q$1004:$U$1004,1,MATCH(COLUMNS($Q$1006:Q1006),$Q$1006:$U$1006,0)))),"Fix")))</f>
        <v xml:space="preserve"> </v>
      </c>
      <c r="C240" s="3" t="str">
        <f ca="1">IF(OR(INDEX($K$2:$K$1001,MATCH(ROWS($J$2:J240),$J$2:$J$1001,0),1)&gt;=100000,INDEX($Q$1005:$U$1005,1,MATCH(COLUMNS($Q$1006:R1006),$Q$1006:$U$1006,0))&gt;=100000), " ",IF(INDEX($Q$2:$U$1001,MATCH(ROWS($J$2:J240),$J$2:$J$1001,0),MATCH(COLUMNS($Q$1006:R1006),$Q$1006:$U$1006,0)), HYPERLINK("#",""), HYPERLINK(CONCATENATE("#Metadata!", ADDRESS(INDEX($L$2:$L$1001,MATCH(ROWS($J$2:J240),$J$2:$J$1001,0),0), INDEX($Q$1004:$U$1004,1,MATCH(COLUMNS($Q$1006:R1006),$Q$1006:$U$1006,0)))),"Fix")))</f>
        <v xml:space="preserve"> </v>
      </c>
      <c r="D240" s="3" t="str">
        <f ca="1">IF(OR(INDEX($K$2:$K$1001,MATCH(ROWS($J$2:J240),$J$2:$J$1001,0),1)&gt;=100000,INDEX($Q$1005:$U$1005,1,MATCH(COLUMNS($Q$1006:S1006),$Q$1006:$U$1006,0))&gt;=100000), " ",IF(INDEX($Q$2:$U$1001,MATCH(ROWS($J$2:J240),$J$2:$J$1001,0),MATCH(COLUMNS($Q$1006:S1006),$Q$1006:$U$1006,0)), HYPERLINK("#",""), HYPERLINK(CONCATENATE("#Metadata!", ADDRESS(INDEX($L$2:$L$1001,MATCH(ROWS($J$2:J240),$J$2:$J$1001,0),0), INDEX($Q$1004:$U$1004,1,MATCH(COLUMNS($Q$1006:S1006),$Q$1006:$U$1006,0)))),"Fix")))</f>
        <v xml:space="preserve"> </v>
      </c>
      <c r="E240" s="3" t="str">
        <f ca="1">IF(OR(INDEX($K$2:$K$1001,MATCH(ROWS($J$2:J240),$J$2:$J$1001,0),1)&gt;=100000,INDEX($Q$1005:$U$1005,1,MATCH(COLUMNS($Q$1006:T1006),$Q$1006:$U$1006,0))&gt;=100000), " ",IF(INDEX($Q$2:$U$1001,MATCH(ROWS($J$2:J240),$J$2:$J$1001,0),MATCH(COLUMNS($Q$1006:T1006),$Q$1006:$U$1006,0)), HYPERLINK("#",""), HYPERLINK(CONCATENATE("#Metadata!", ADDRESS(INDEX($L$2:$L$1001,MATCH(ROWS($J$2:J240),$J$2:$J$1001,0),0), INDEX($Q$1004:$U$1004,1,MATCH(COLUMNS($Q$1006:T1006),$Q$1006:$U$1006,0)))),"Fix")))</f>
        <v xml:space="preserve"> </v>
      </c>
      <c r="F240" s="3" t="str">
        <f ca="1">IF(OR(INDEX($K$2:$K$1001,MATCH(ROWS($J$2:J240),$J$2:$J$1001,0),1)&gt;=100000,INDEX($Q$1005:$U$1005,1,MATCH(COLUMNS($Q$1006:U1006),$Q$1006:$U$1006,0))&gt;=100000), " ",IF(INDEX($Q$2:$U$1001,MATCH(ROWS($J$2:J240),$J$2:$J$1001,0),MATCH(COLUMNS($Q$1006:U1006),$Q$1006:$U$1006,0)), HYPERLINK("#",""), HYPERLINK(CONCATENATE("#Metadata!", ADDRESS(INDEX($L$2:$L$1001,MATCH(ROWS($J$2:J240),$J$2:$J$1001,0),0), INDEX($Q$1004:$U$1004,1,MATCH(COLUMNS($Q$1006:U1006),$Q$1006:$U$1006,0)))),"Fix")))</f>
        <v xml:space="preserve"> </v>
      </c>
      <c r="J240">
        <f ca="1"/>
        <v>239</v>
      </c>
      <c r="K240">
        <v>100240</v>
      </c>
      <c r="L240">
        <v>240</v>
      </c>
      <c r="M240" t="b">
        <f t="shared" si="3"/>
        <v>1</v>
      </c>
      <c r="N240" t="b">
        <f>COUNTBLANK(Metadata!B240:F240)=COLUMNS(Metadata!B240:F240)</f>
        <v>1</v>
      </c>
      <c r="O240" t="str">
        <v/>
      </c>
      <c r="Q240" t="b">
        <f ca="1"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R240" t="b">
        <f>IF(Metadata!C240="",FALSE,TRUE)</f>
        <v>0</v>
      </c>
      <c r="S240" t="b">
        <f>OR(AND(IF(Metadata!D240="",FALSE,TRUE),EXACT(Metadata!D240,"missing: not collected")),AND(IF(Metadata!D240="",FALSE,TRUE),OR(EXACT(Metadata!D240,"t"),EXACT(Metadata!D240,"f"))))</f>
        <v>0</v>
      </c>
      <c r="T240" t="b">
        <f>AND(IF(Metadata!E240="",FALSE,TRUE),OR(EXACT(Metadata!E240,"a"),EXACT(Metadata!E240,"b")))</f>
        <v>0</v>
      </c>
      <c r="U240" t="b">
        <f>OR(AND(IF(Metadata!F240="",FALSE,TRUE),OR(EXACT(Metadata!F240,"missing: not collected"),EXACT(Metadata!F240,"missing: not provided"))),AND(IF(Metadata!F240="",FALSE,TRUE),OR(EXACT(Metadata!F240,"lo"),EXACT(Metadata!F240,"med"),EXACT(Metadata!F240,"hi"))))</f>
        <v>0</v>
      </c>
    </row>
    <row r="241" spans="1:21" x14ac:dyDescent="0.2">
      <c r="A241" s="4" t="str">
        <f ca="1">IF(B241=" "," ",HYPERLINK(CONCATENATE("#metadata!",ADDRESS(INDEX($L$2:$L$1001,MATCH(ROWS($J$2:J241),$J$2:$J$1001,0),0),1)),INDEX($O$2:$O$1001,MATCH(ROWS($J$2:J241),$J$2:$J$1001,0),0)))</f>
        <v xml:space="preserve"> </v>
      </c>
      <c r="B241" s="3" t="str">
        <f ca="1">IF(OR(INDEX($K$2:$K$1001,MATCH(ROWS($J$2:J241),$J$2:$J$1001,0),1)&gt;=100000,INDEX($Q$1005:$U$1005,1,MATCH(COLUMNS($Q$1006:Q1006),$Q$1006:$U$1006,0))&gt;=100000), " ",IF(INDEX($Q$2:$U$1001,MATCH(ROWS($J$2:J241),$J$2:$J$1001,0),MATCH(COLUMNS($Q$1006:Q1006),$Q$1006:$U$1006,0)), HYPERLINK("#",""), HYPERLINK(CONCATENATE("#Metadata!", ADDRESS(INDEX($L$2:$L$1001,MATCH(ROWS($J$2:J241),$J$2:$J$1001,0),0), INDEX($Q$1004:$U$1004,1,MATCH(COLUMNS($Q$1006:Q1006),$Q$1006:$U$1006,0)))),"Fix")))</f>
        <v xml:space="preserve"> </v>
      </c>
      <c r="C241" s="3" t="str">
        <f ca="1">IF(OR(INDEX($K$2:$K$1001,MATCH(ROWS($J$2:J241),$J$2:$J$1001,0),1)&gt;=100000,INDEX($Q$1005:$U$1005,1,MATCH(COLUMNS($Q$1006:R1006),$Q$1006:$U$1006,0))&gt;=100000), " ",IF(INDEX($Q$2:$U$1001,MATCH(ROWS($J$2:J241),$J$2:$J$1001,0),MATCH(COLUMNS($Q$1006:R1006),$Q$1006:$U$1006,0)), HYPERLINK("#",""), HYPERLINK(CONCATENATE("#Metadata!", ADDRESS(INDEX($L$2:$L$1001,MATCH(ROWS($J$2:J241),$J$2:$J$1001,0),0), INDEX($Q$1004:$U$1004,1,MATCH(COLUMNS($Q$1006:R1006),$Q$1006:$U$1006,0)))),"Fix")))</f>
        <v xml:space="preserve"> </v>
      </c>
      <c r="D241" s="3" t="str">
        <f ca="1">IF(OR(INDEX($K$2:$K$1001,MATCH(ROWS($J$2:J241),$J$2:$J$1001,0),1)&gt;=100000,INDEX($Q$1005:$U$1005,1,MATCH(COLUMNS($Q$1006:S1006),$Q$1006:$U$1006,0))&gt;=100000), " ",IF(INDEX($Q$2:$U$1001,MATCH(ROWS($J$2:J241),$J$2:$J$1001,0),MATCH(COLUMNS($Q$1006:S1006),$Q$1006:$U$1006,0)), HYPERLINK("#",""), HYPERLINK(CONCATENATE("#Metadata!", ADDRESS(INDEX($L$2:$L$1001,MATCH(ROWS($J$2:J241),$J$2:$J$1001,0),0), INDEX($Q$1004:$U$1004,1,MATCH(COLUMNS($Q$1006:S1006),$Q$1006:$U$1006,0)))),"Fix")))</f>
        <v xml:space="preserve"> </v>
      </c>
      <c r="E241" s="3" t="str">
        <f ca="1">IF(OR(INDEX($K$2:$K$1001,MATCH(ROWS($J$2:J241),$J$2:$J$1001,0),1)&gt;=100000,INDEX($Q$1005:$U$1005,1,MATCH(COLUMNS($Q$1006:T1006),$Q$1006:$U$1006,0))&gt;=100000), " ",IF(INDEX($Q$2:$U$1001,MATCH(ROWS($J$2:J241),$J$2:$J$1001,0),MATCH(COLUMNS($Q$1006:T1006),$Q$1006:$U$1006,0)), HYPERLINK("#",""), HYPERLINK(CONCATENATE("#Metadata!", ADDRESS(INDEX($L$2:$L$1001,MATCH(ROWS($J$2:J241),$J$2:$J$1001,0),0), INDEX($Q$1004:$U$1004,1,MATCH(COLUMNS($Q$1006:T1006),$Q$1006:$U$1006,0)))),"Fix")))</f>
        <v xml:space="preserve"> </v>
      </c>
      <c r="F241" s="3" t="str">
        <f ca="1">IF(OR(INDEX($K$2:$K$1001,MATCH(ROWS($J$2:J241),$J$2:$J$1001,0),1)&gt;=100000,INDEX($Q$1005:$U$1005,1,MATCH(COLUMNS($Q$1006:U1006),$Q$1006:$U$1006,0))&gt;=100000), " ",IF(INDEX($Q$2:$U$1001,MATCH(ROWS($J$2:J241),$J$2:$J$1001,0),MATCH(COLUMNS($Q$1006:U1006),$Q$1006:$U$1006,0)), HYPERLINK("#",""), HYPERLINK(CONCATENATE("#Metadata!", ADDRESS(INDEX($L$2:$L$1001,MATCH(ROWS($J$2:J241),$J$2:$J$1001,0),0), INDEX($Q$1004:$U$1004,1,MATCH(COLUMNS($Q$1006:U1006),$Q$1006:$U$1006,0)))),"Fix")))</f>
        <v xml:space="preserve"> </v>
      </c>
      <c r="J241">
        <f ca="1"/>
        <v>240</v>
      </c>
      <c r="K241">
        <v>100241</v>
      </c>
      <c r="L241">
        <v>241</v>
      </c>
      <c r="M241" t="b">
        <f t="shared" si="3"/>
        <v>1</v>
      </c>
      <c r="N241" t="b">
        <f>COUNTBLANK(Metadata!B241:F241)=COLUMNS(Metadata!B241:F241)</f>
        <v>1</v>
      </c>
      <c r="O241" t="str">
        <v/>
      </c>
      <c r="Q241" t="b">
        <f ca="1"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R241" t="b">
        <f>IF(Metadata!C241="",FALSE,TRUE)</f>
        <v>0</v>
      </c>
      <c r="S241" t="b">
        <f>OR(AND(IF(Metadata!D241="",FALSE,TRUE),EXACT(Metadata!D241,"missing: not collected")),AND(IF(Metadata!D241="",FALSE,TRUE),OR(EXACT(Metadata!D241,"t"),EXACT(Metadata!D241,"f"))))</f>
        <v>0</v>
      </c>
      <c r="T241" t="b">
        <f>AND(IF(Metadata!E241="",FALSE,TRUE),OR(EXACT(Metadata!E241,"a"),EXACT(Metadata!E241,"b")))</f>
        <v>0</v>
      </c>
      <c r="U241" t="b">
        <f>OR(AND(IF(Metadata!F241="",FALSE,TRUE),OR(EXACT(Metadata!F241,"missing: not collected"),EXACT(Metadata!F241,"missing: not provided"))),AND(IF(Metadata!F241="",FALSE,TRUE),OR(EXACT(Metadata!F241,"lo"),EXACT(Metadata!F241,"med"),EXACT(Metadata!F241,"hi"))))</f>
        <v>0</v>
      </c>
    </row>
    <row r="242" spans="1:21" x14ac:dyDescent="0.2">
      <c r="A242" s="4" t="str">
        <f ca="1">IF(B242=" "," ",HYPERLINK(CONCATENATE("#metadata!",ADDRESS(INDEX($L$2:$L$1001,MATCH(ROWS($J$2:J242),$J$2:$J$1001,0),0),1)),INDEX($O$2:$O$1001,MATCH(ROWS($J$2:J242),$J$2:$J$1001,0),0)))</f>
        <v xml:space="preserve"> </v>
      </c>
      <c r="B242" s="3" t="str">
        <f ca="1">IF(OR(INDEX($K$2:$K$1001,MATCH(ROWS($J$2:J242),$J$2:$J$1001,0),1)&gt;=100000,INDEX($Q$1005:$U$1005,1,MATCH(COLUMNS($Q$1006:Q1006),$Q$1006:$U$1006,0))&gt;=100000), " ",IF(INDEX($Q$2:$U$1001,MATCH(ROWS($J$2:J242),$J$2:$J$1001,0),MATCH(COLUMNS($Q$1006:Q1006),$Q$1006:$U$1006,0)), HYPERLINK("#",""), HYPERLINK(CONCATENATE("#Metadata!", ADDRESS(INDEX($L$2:$L$1001,MATCH(ROWS($J$2:J242),$J$2:$J$1001,0),0), INDEX($Q$1004:$U$1004,1,MATCH(COLUMNS($Q$1006:Q1006),$Q$1006:$U$1006,0)))),"Fix")))</f>
        <v xml:space="preserve"> </v>
      </c>
      <c r="C242" s="3" t="str">
        <f ca="1">IF(OR(INDEX($K$2:$K$1001,MATCH(ROWS($J$2:J242),$J$2:$J$1001,0),1)&gt;=100000,INDEX($Q$1005:$U$1005,1,MATCH(COLUMNS($Q$1006:R1006),$Q$1006:$U$1006,0))&gt;=100000), " ",IF(INDEX($Q$2:$U$1001,MATCH(ROWS($J$2:J242),$J$2:$J$1001,0),MATCH(COLUMNS($Q$1006:R1006),$Q$1006:$U$1006,0)), HYPERLINK("#",""), HYPERLINK(CONCATENATE("#Metadata!", ADDRESS(INDEX($L$2:$L$1001,MATCH(ROWS($J$2:J242),$J$2:$J$1001,0),0), INDEX($Q$1004:$U$1004,1,MATCH(COLUMNS($Q$1006:R1006),$Q$1006:$U$1006,0)))),"Fix")))</f>
        <v xml:space="preserve"> </v>
      </c>
      <c r="D242" s="3" t="str">
        <f ca="1">IF(OR(INDEX($K$2:$K$1001,MATCH(ROWS($J$2:J242),$J$2:$J$1001,0),1)&gt;=100000,INDEX($Q$1005:$U$1005,1,MATCH(COLUMNS($Q$1006:S1006),$Q$1006:$U$1006,0))&gt;=100000), " ",IF(INDEX($Q$2:$U$1001,MATCH(ROWS($J$2:J242),$J$2:$J$1001,0),MATCH(COLUMNS($Q$1006:S1006),$Q$1006:$U$1006,0)), HYPERLINK("#",""), HYPERLINK(CONCATENATE("#Metadata!", ADDRESS(INDEX($L$2:$L$1001,MATCH(ROWS($J$2:J242),$J$2:$J$1001,0),0), INDEX($Q$1004:$U$1004,1,MATCH(COLUMNS($Q$1006:S1006),$Q$1006:$U$1006,0)))),"Fix")))</f>
        <v xml:space="preserve"> </v>
      </c>
      <c r="E242" s="3" t="str">
        <f ca="1">IF(OR(INDEX($K$2:$K$1001,MATCH(ROWS($J$2:J242),$J$2:$J$1001,0),1)&gt;=100000,INDEX($Q$1005:$U$1005,1,MATCH(COLUMNS($Q$1006:T1006),$Q$1006:$U$1006,0))&gt;=100000), " ",IF(INDEX($Q$2:$U$1001,MATCH(ROWS($J$2:J242),$J$2:$J$1001,0),MATCH(COLUMNS($Q$1006:T1006),$Q$1006:$U$1006,0)), HYPERLINK("#",""), HYPERLINK(CONCATENATE("#Metadata!", ADDRESS(INDEX($L$2:$L$1001,MATCH(ROWS($J$2:J242),$J$2:$J$1001,0),0), INDEX($Q$1004:$U$1004,1,MATCH(COLUMNS($Q$1006:T1006),$Q$1006:$U$1006,0)))),"Fix")))</f>
        <v xml:space="preserve"> </v>
      </c>
      <c r="F242" s="3" t="str">
        <f ca="1">IF(OR(INDEX($K$2:$K$1001,MATCH(ROWS($J$2:J242),$J$2:$J$1001,0),1)&gt;=100000,INDEX($Q$1005:$U$1005,1,MATCH(COLUMNS($Q$1006:U1006),$Q$1006:$U$1006,0))&gt;=100000), " ",IF(INDEX($Q$2:$U$1001,MATCH(ROWS($J$2:J242),$J$2:$J$1001,0),MATCH(COLUMNS($Q$1006:U1006),$Q$1006:$U$1006,0)), HYPERLINK("#",""), HYPERLINK(CONCATENATE("#Metadata!", ADDRESS(INDEX($L$2:$L$1001,MATCH(ROWS($J$2:J242),$J$2:$J$1001,0),0), INDEX($Q$1004:$U$1004,1,MATCH(COLUMNS($Q$1006:U1006),$Q$1006:$U$1006,0)))),"Fix")))</f>
        <v xml:space="preserve"> </v>
      </c>
      <c r="J242">
        <f ca="1"/>
        <v>241</v>
      </c>
      <c r="K242">
        <v>100242</v>
      </c>
      <c r="L242">
        <v>242</v>
      </c>
      <c r="M242" t="b">
        <f t="shared" si="3"/>
        <v>1</v>
      </c>
      <c r="N242" t="b">
        <f>COUNTBLANK(Metadata!B242:F242)=COLUMNS(Metadata!B242:F242)</f>
        <v>1</v>
      </c>
      <c r="O242" t="str">
        <v/>
      </c>
      <c r="Q242" t="b">
        <f ca="1"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R242" t="b">
        <f>IF(Metadata!C242="",FALSE,TRUE)</f>
        <v>0</v>
      </c>
      <c r="S242" t="b">
        <f>OR(AND(IF(Metadata!D242="",FALSE,TRUE),EXACT(Metadata!D242,"missing: not collected")),AND(IF(Metadata!D242="",FALSE,TRUE),OR(EXACT(Metadata!D242,"t"),EXACT(Metadata!D242,"f"))))</f>
        <v>0</v>
      </c>
      <c r="T242" t="b">
        <f>AND(IF(Metadata!E242="",FALSE,TRUE),OR(EXACT(Metadata!E242,"a"),EXACT(Metadata!E242,"b")))</f>
        <v>0</v>
      </c>
      <c r="U242" t="b">
        <f>OR(AND(IF(Metadata!F242="",FALSE,TRUE),OR(EXACT(Metadata!F242,"missing: not collected"),EXACT(Metadata!F242,"missing: not provided"))),AND(IF(Metadata!F242="",FALSE,TRUE),OR(EXACT(Metadata!F242,"lo"),EXACT(Metadata!F242,"med"),EXACT(Metadata!F242,"hi"))))</f>
        <v>0</v>
      </c>
    </row>
    <row r="243" spans="1:21" x14ac:dyDescent="0.2">
      <c r="A243" s="4" t="str">
        <f ca="1">IF(B243=" "," ",HYPERLINK(CONCATENATE("#metadata!",ADDRESS(INDEX($L$2:$L$1001,MATCH(ROWS($J$2:J243),$J$2:$J$1001,0),0),1)),INDEX($O$2:$O$1001,MATCH(ROWS($J$2:J243),$J$2:$J$1001,0),0)))</f>
        <v xml:space="preserve"> </v>
      </c>
      <c r="B243" s="3" t="str">
        <f ca="1">IF(OR(INDEX($K$2:$K$1001,MATCH(ROWS($J$2:J243),$J$2:$J$1001,0),1)&gt;=100000,INDEX($Q$1005:$U$1005,1,MATCH(COLUMNS($Q$1006:Q1006),$Q$1006:$U$1006,0))&gt;=100000), " ",IF(INDEX($Q$2:$U$1001,MATCH(ROWS($J$2:J243),$J$2:$J$1001,0),MATCH(COLUMNS($Q$1006:Q1006),$Q$1006:$U$1006,0)), HYPERLINK("#",""), HYPERLINK(CONCATENATE("#Metadata!", ADDRESS(INDEX($L$2:$L$1001,MATCH(ROWS($J$2:J243),$J$2:$J$1001,0),0), INDEX($Q$1004:$U$1004,1,MATCH(COLUMNS($Q$1006:Q1006),$Q$1006:$U$1006,0)))),"Fix")))</f>
        <v xml:space="preserve"> </v>
      </c>
      <c r="C243" s="3" t="str">
        <f ca="1">IF(OR(INDEX($K$2:$K$1001,MATCH(ROWS($J$2:J243),$J$2:$J$1001,0),1)&gt;=100000,INDEX($Q$1005:$U$1005,1,MATCH(COLUMNS($Q$1006:R1006),$Q$1006:$U$1006,0))&gt;=100000), " ",IF(INDEX($Q$2:$U$1001,MATCH(ROWS($J$2:J243),$J$2:$J$1001,0),MATCH(COLUMNS($Q$1006:R1006),$Q$1006:$U$1006,0)), HYPERLINK("#",""), HYPERLINK(CONCATENATE("#Metadata!", ADDRESS(INDEX($L$2:$L$1001,MATCH(ROWS($J$2:J243),$J$2:$J$1001,0),0), INDEX($Q$1004:$U$1004,1,MATCH(COLUMNS($Q$1006:R1006),$Q$1006:$U$1006,0)))),"Fix")))</f>
        <v xml:space="preserve"> </v>
      </c>
      <c r="D243" s="3" t="str">
        <f ca="1">IF(OR(INDEX($K$2:$K$1001,MATCH(ROWS($J$2:J243),$J$2:$J$1001,0),1)&gt;=100000,INDEX($Q$1005:$U$1005,1,MATCH(COLUMNS($Q$1006:S1006),$Q$1006:$U$1006,0))&gt;=100000), " ",IF(INDEX($Q$2:$U$1001,MATCH(ROWS($J$2:J243),$J$2:$J$1001,0),MATCH(COLUMNS($Q$1006:S1006),$Q$1006:$U$1006,0)), HYPERLINK("#",""), HYPERLINK(CONCATENATE("#Metadata!", ADDRESS(INDEX($L$2:$L$1001,MATCH(ROWS($J$2:J243),$J$2:$J$1001,0),0), INDEX($Q$1004:$U$1004,1,MATCH(COLUMNS($Q$1006:S1006),$Q$1006:$U$1006,0)))),"Fix")))</f>
        <v xml:space="preserve"> </v>
      </c>
      <c r="E243" s="3" t="str">
        <f ca="1">IF(OR(INDEX($K$2:$K$1001,MATCH(ROWS($J$2:J243),$J$2:$J$1001,0),1)&gt;=100000,INDEX($Q$1005:$U$1005,1,MATCH(COLUMNS($Q$1006:T1006),$Q$1006:$U$1006,0))&gt;=100000), " ",IF(INDEX($Q$2:$U$1001,MATCH(ROWS($J$2:J243),$J$2:$J$1001,0),MATCH(COLUMNS($Q$1006:T1006),$Q$1006:$U$1006,0)), HYPERLINK("#",""), HYPERLINK(CONCATENATE("#Metadata!", ADDRESS(INDEX($L$2:$L$1001,MATCH(ROWS($J$2:J243),$J$2:$J$1001,0),0), INDEX($Q$1004:$U$1004,1,MATCH(COLUMNS($Q$1006:T1006),$Q$1006:$U$1006,0)))),"Fix")))</f>
        <v xml:space="preserve"> </v>
      </c>
      <c r="F243" s="3" t="str">
        <f ca="1">IF(OR(INDEX($K$2:$K$1001,MATCH(ROWS($J$2:J243),$J$2:$J$1001,0),1)&gt;=100000,INDEX($Q$1005:$U$1005,1,MATCH(COLUMNS($Q$1006:U1006),$Q$1006:$U$1006,0))&gt;=100000), " ",IF(INDEX($Q$2:$U$1001,MATCH(ROWS($J$2:J243),$J$2:$J$1001,0),MATCH(COLUMNS($Q$1006:U1006),$Q$1006:$U$1006,0)), HYPERLINK("#",""), HYPERLINK(CONCATENATE("#Metadata!", ADDRESS(INDEX($L$2:$L$1001,MATCH(ROWS($J$2:J243),$J$2:$J$1001,0),0), INDEX($Q$1004:$U$1004,1,MATCH(COLUMNS($Q$1006:U1006),$Q$1006:$U$1006,0)))),"Fix")))</f>
        <v xml:space="preserve"> </v>
      </c>
      <c r="J243">
        <f ca="1"/>
        <v>242</v>
      </c>
      <c r="K243">
        <v>100243</v>
      </c>
      <c r="L243">
        <v>243</v>
      </c>
      <c r="M243" t="b">
        <f t="shared" si="3"/>
        <v>1</v>
      </c>
      <c r="N243" t="b">
        <f>COUNTBLANK(Metadata!B243:F243)=COLUMNS(Metadata!B243:F243)</f>
        <v>1</v>
      </c>
      <c r="O243" t="str">
        <v/>
      </c>
      <c r="Q243" t="b">
        <f ca="1"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R243" t="b">
        <f>IF(Metadata!C243="",FALSE,TRUE)</f>
        <v>0</v>
      </c>
      <c r="S243" t="b">
        <f>OR(AND(IF(Metadata!D243="",FALSE,TRUE),EXACT(Metadata!D243,"missing: not collected")),AND(IF(Metadata!D243="",FALSE,TRUE),OR(EXACT(Metadata!D243,"t"),EXACT(Metadata!D243,"f"))))</f>
        <v>0</v>
      </c>
      <c r="T243" t="b">
        <f>AND(IF(Metadata!E243="",FALSE,TRUE),OR(EXACT(Metadata!E243,"a"),EXACT(Metadata!E243,"b")))</f>
        <v>0</v>
      </c>
      <c r="U243" t="b">
        <f>OR(AND(IF(Metadata!F243="",FALSE,TRUE),OR(EXACT(Metadata!F243,"missing: not collected"),EXACT(Metadata!F243,"missing: not provided"))),AND(IF(Metadata!F243="",FALSE,TRUE),OR(EXACT(Metadata!F243,"lo"),EXACT(Metadata!F243,"med"),EXACT(Metadata!F243,"hi"))))</f>
        <v>0</v>
      </c>
    </row>
    <row r="244" spans="1:21" x14ac:dyDescent="0.2">
      <c r="A244" s="4" t="str">
        <f ca="1">IF(B244=" "," ",HYPERLINK(CONCATENATE("#metadata!",ADDRESS(INDEX($L$2:$L$1001,MATCH(ROWS($J$2:J244),$J$2:$J$1001,0),0),1)),INDEX($O$2:$O$1001,MATCH(ROWS($J$2:J244),$J$2:$J$1001,0),0)))</f>
        <v xml:space="preserve"> </v>
      </c>
      <c r="B244" s="3" t="str">
        <f ca="1">IF(OR(INDEX($K$2:$K$1001,MATCH(ROWS($J$2:J244),$J$2:$J$1001,0),1)&gt;=100000,INDEX($Q$1005:$U$1005,1,MATCH(COLUMNS($Q$1006:Q1006),$Q$1006:$U$1006,0))&gt;=100000), " ",IF(INDEX($Q$2:$U$1001,MATCH(ROWS($J$2:J244),$J$2:$J$1001,0),MATCH(COLUMNS($Q$1006:Q1006),$Q$1006:$U$1006,0)), HYPERLINK("#",""), HYPERLINK(CONCATENATE("#Metadata!", ADDRESS(INDEX($L$2:$L$1001,MATCH(ROWS($J$2:J244),$J$2:$J$1001,0),0), INDEX($Q$1004:$U$1004,1,MATCH(COLUMNS($Q$1006:Q1006),$Q$1006:$U$1006,0)))),"Fix")))</f>
        <v xml:space="preserve"> </v>
      </c>
      <c r="C244" s="3" t="str">
        <f ca="1">IF(OR(INDEX($K$2:$K$1001,MATCH(ROWS($J$2:J244),$J$2:$J$1001,0),1)&gt;=100000,INDEX($Q$1005:$U$1005,1,MATCH(COLUMNS($Q$1006:R1006),$Q$1006:$U$1006,0))&gt;=100000), " ",IF(INDEX($Q$2:$U$1001,MATCH(ROWS($J$2:J244),$J$2:$J$1001,0),MATCH(COLUMNS($Q$1006:R1006),$Q$1006:$U$1006,0)), HYPERLINK("#",""), HYPERLINK(CONCATENATE("#Metadata!", ADDRESS(INDEX($L$2:$L$1001,MATCH(ROWS($J$2:J244),$J$2:$J$1001,0),0), INDEX($Q$1004:$U$1004,1,MATCH(COLUMNS($Q$1006:R1006),$Q$1006:$U$1006,0)))),"Fix")))</f>
        <v xml:space="preserve"> </v>
      </c>
      <c r="D244" s="3" t="str">
        <f ca="1">IF(OR(INDEX($K$2:$K$1001,MATCH(ROWS($J$2:J244),$J$2:$J$1001,0),1)&gt;=100000,INDEX($Q$1005:$U$1005,1,MATCH(COLUMNS($Q$1006:S1006),$Q$1006:$U$1006,0))&gt;=100000), " ",IF(INDEX($Q$2:$U$1001,MATCH(ROWS($J$2:J244),$J$2:$J$1001,0),MATCH(COLUMNS($Q$1006:S1006),$Q$1006:$U$1006,0)), HYPERLINK("#",""), HYPERLINK(CONCATENATE("#Metadata!", ADDRESS(INDEX($L$2:$L$1001,MATCH(ROWS($J$2:J244),$J$2:$J$1001,0),0), INDEX($Q$1004:$U$1004,1,MATCH(COLUMNS($Q$1006:S1006),$Q$1006:$U$1006,0)))),"Fix")))</f>
        <v xml:space="preserve"> </v>
      </c>
      <c r="E244" s="3" t="str">
        <f ca="1">IF(OR(INDEX($K$2:$K$1001,MATCH(ROWS($J$2:J244),$J$2:$J$1001,0),1)&gt;=100000,INDEX($Q$1005:$U$1005,1,MATCH(COLUMNS($Q$1006:T1006),$Q$1006:$U$1006,0))&gt;=100000), " ",IF(INDEX($Q$2:$U$1001,MATCH(ROWS($J$2:J244),$J$2:$J$1001,0),MATCH(COLUMNS($Q$1006:T1006),$Q$1006:$U$1006,0)), HYPERLINK("#",""), HYPERLINK(CONCATENATE("#Metadata!", ADDRESS(INDEX($L$2:$L$1001,MATCH(ROWS($J$2:J244),$J$2:$J$1001,0),0), INDEX($Q$1004:$U$1004,1,MATCH(COLUMNS($Q$1006:T1006),$Q$1006:$U$1006,0)))),"Fix")))</f>
        <v xml:space="preserve"> </v>
      </c>
      <c r="F244" s="3" t="str">
        <f ca="1">IF(OR(INDEX($K$2:$K$1001,MATCH(ROWS($J$2:J244),$J$2:$J$1001,0),1)&gt;=100000,INDEX($Q$1005:$U$1005,1,MATCH(COLUMNS($Q$1006:U1006),$Q$1006:$U$1006,0))&gt;=100000), " ",IF(INDEX($Q$2:$U$1001,MATCH(ROWS($J$2:J244),$J$2:$J$1001,0),MATCH(COLUMNS($Q$1006:U1006),$Q$1006:$U$1006,0)), HYPERLINK("#",""), HYPERLINK(CONCATENATE("#Metadata!", ADDRESS(INDEX($L$2:$L$1001,MATCH(ROWS($J$2:J244),$J$2:$J$1001,0),0), INDEX($Q$1004:$U$1004,1,MATCH(COLUMNS($Q$1006:U1006),$Q$1006:$U$1006,0)))),"Fix")))</f>
        <v xml:space="preserve"> </v>
      </c>
      <c r="J244">
        <f ca="1"/>
        <v>243</v>
      </c>
      <c r="K244">
        <v>100244</v>
      </c>
      <c r="L244">
        <v>244</v>
      </c>
      <c r="M244" t="b">
        <f t="shared" si="3"/>
        <v>1</v>
      </c>
      <c r="N244" t="b">
        <f>COUNTBLANK(Metadata!B244:F244)=COLUMNS(Metadata!B244:F244)</f>
        <v>1</v>
      </c>
      <c r="O244" t="str">
        <v/>
      </c>
      <c r="Q244" t="b">
        <f ca="1"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R244" t="b">
        <f>IF(Metadata!C244="",FALSE,TRUE)</f>
        <v>0</v>
      </c>
      <c r="S244" t="b">
        <f>OR(AND(IF(Metadata!D244="",FALSE,TRUE),EXACT(Metadata!D244,"missing: not collected")),AND(IF(Metadata!D244="",FALSE,TRUE),OR(EXACT(Metadata!D244,"t"),EXACT(Metadata!D244,"f"))))</f>
        <v>0</v>
      </c>
      <c r="T244" t="b">
        <f>AND(IF(Metadata!E244="",FALSE,TRUE),OR(EXACT(Metadata!E244,"a"),EXACT(Metadata!E244,"b")))</f>
        <v>0</v>
      </c>
      <c r="U244" t="b">
        <f>OR(AND(IF(Metadata!F244="",FALSE,TRUE),OR(EXACT(Metadata!F244,"missing: not collected"),EXACT(Metadata!F244,"missing: not provided"))),AND(IF(Metadata!F244="",FALSE,TRUE),OR(EXACT(Metadata!F244,"lo"),EXACT(Metadata!F244,"med"),EXACT(Metadata!F244,"hi"))))</f>
        <v>0</v>
      </c>
    </row>
    <row r="245" spans="1:21" x14ac:dyDescent="0.2">
      <c r="A245" s="4" t="str">
        <f ca="1">IF(B245=" "," ",HYPERLINK(CONCATENATE("#metadata!",ADDRESS(INDEX($L$2:$L$1001,MATCH(ROWS($J$2:J245),$J$2:$J$1001,0),0),1)),INDEX($O$2:$O$1001,MATCH(ROWS($J$2:J245),$J$2:$J$1001,0),0)))</f>
        <v xml:space="preserve"> </v>
      </c>
      <c r="B245" s="3" t="str">
        <f ca="1">IF(OR(INDEX($K$2:$K$1001,MATCH(ROWS($J$2:J245),$J$2:$J$1001,0),1)&gt;=100000,INDEX($Q$1005:$U$1005,1,MATCH(COLUMNS($Q$1006:Q1006),$Q$1006:$U$1006,0))&gt;=100000), " ",IF(INDEX($Q$2:$U$1001,MATCH(ROWS($J$2:J245),$J$2:$J$1001,0),MATCH(COLUMNS($Q$1006:Q1006),$Q$1006:$U$1006,0)), HYPERLINK("#",""), HYPERLINK(CONCATENATE("#Metadata!", ADDRESS(INDEX($L$2:$L$1001,MATCH(ROWS($J$2:J245),$J$2:$J$1001,0),0), INDEX($Q$1004:$U$1004,1,MATCH(COLUMNS($Q$1006:Q1006),$Q$1006:$U$1006,0)))),"Fix")))</f>
        <v xml:space="preserve"> </v>
      </c>
      <c r="C245" s="3" t="str">
        <f ca="1">IF(OR(INDEX($K$2:$K$1001,MATCH(ROWS($J$2:J245),$J$2:$J$1001,0),1)&gt;=100000,INDEX($Q$1005:$U$1005,1,MATCH(COLUMNS($Q$1006:R1006),$Q$1006:$U$1006,0))&gt;=100000), " ",IF(INDEX($Q$2:$U$1001,MATCH(ROWS($J$2:J245),$J$2:$J$1001,0),MATCH(COLUMNS($Q$1006:R1006),$Q$1006:$U$1006,0)), HYPERLINK("#",""), HYPERLINK(CONCATENATE("#Metadata!", ADDRESS(INDEX($L$2:$L$1001,MATCH(ROWS($J$2:J245),$J$2:$J$1001,0),0), INDEX($Q$1004:$U$1004,1,MATCH(COLUMNS($Q$1006:R1006),$Q$1006:$U$1006,0)))),"Fix")))</f>
        <v xml:space="preserve"> </v>
      </c>
      <c r="D245" s="3" t="str">
        <f ca="1">IF(OR(INDEX($K$2:$K$1001,MATCH(ROWS($J$2:J245),$J$2:$J$1001,0),1)&gt;=100000,INDEX($Q$1005:$U$1005,1,MATCH(COLUMNS($Q$1006:S1006),$Q$1006:$U$1006,0))&gt;=100000), " ",IF(INDEX($Q$2:$U$1001,MATCH(ROWS($J$2:J245),$J$2:$J$1001,0),MATCH(COLUMNS($Q$1006:S1006),$Q$1006:$U$1006,0)), HYPERLINK("#",""), HYPERLINK(CONCATENATE("#Metadata!", ADDRESS(INDEX($L$2:$L$1001,MATCH(ROWS($J$2:J245),$J$2:$J$1001,0),0), INDEX($Q$1004:$U$1004,1,MATCH(COLUMNS($Q$1006:S1006),$Q$1006:$U$1006,0)))),"Fix")))</f>
        <v xml:space="preserve"> </v>
      </c>
      <c r="E245" s="3" t="str">
        <f ca="1">IF(OR(INDEX($K$2:$K$1001,MATCH(ROWS($J$2:J245),$J$2:$J$1001,0),1)&gt;=100000,INDEX($Q$1005:$U$1005,1,MATCH(COLUMNS($Q$1006:T1006),$Q$1006:$U$1006,0))&gt;=100000), " ",IF(INDEX($Q$2:$U$1001,MATCH(ROWS($J$2:J245),$J$2:$J$1001,0),MATCH(COLUMNS($Q$1006:T1006),$Q$1006:$U$1006,0)), HYPERLINK("#",""), HYPERLINK(CONCATENATE("#Metadata!", ADDRESS(INDEX($L$2:$L$1001,MATCH(ROWS($J$2:J245),$J$2:$J$1001,0),0), INDEX($Q$1004:$U$1004,1,MATCH(COLUMNS($Q$1006:T1006),$Q$1006:$U$1006,0)))),"Fix")))</f>
        <v xml:space="preserve"> </v>
      </c>
      <c r="F245" s="3" t="str">
        <f ca="1">IF(OR(INDEX($K$2:$K$1001,MATCH(ROWS($J$2:J245),$J$2:$J$1001,0),1)&gt;=100000,INDEX($Q$1005:$U$1005,1,MATCH(COLUMNS($Q$1006:U1006),$Q$1006:$U$1006,0))&gt;=100000), " ",IF(INDEX($Q$2:$U$1001,MATCH(ROWS($J$2:J245),$J$2:$J$1001,0),MATCH(COLUMNS($Q$1006:U1006),$Q$1006:$U$1006,0)), HYPERLINK("#",""), HYPERLINK(CONCATENATE("#Metadata!", ADDRESS(INDEX($L$2:$L$1001,MATCH(ROWS($J$2:J245),$J$2:$J$1001,0),0), INDEX($Q$1004:$U$1004,1,MATCH(COLUMNS($Q$1006:U1006),$Q$1006:$U$1006,0)))),"Fix")))</f>
        <v xml:space="preserve"> </v>
      </c>
      <c r="J245">
        <f ca="1"/>
        <v>244</v>
      </c>
      <c r="K245">
        <v>100245</v>
      </c>
      <c r="L245">
        <v>245</v>
      </c>
      <c r="M245" t="b">
        <f t="shared" si="3"/>
        <v>1</v>
      </c>
      <c r="N245" t="b">
        <f>COUNTBLANK(Metadata!B245:F245)=COLUMNS(Metadata!B245:F245)</f>
        <v>1</v>
      </c>
      <c r="O245" t="str">
        <v/>
      </c>
      <c r="Q245" t="b">
        <f ca="1"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R245" t="b">
        <f>IF(Metadata!C245="",FALSE,TRUE)</f>
        <v>0</v>
      </c>
      <c r="S245" t="b">
        <f>OR(AND(IF(Metadata!D245="",FALSE,TRUE),EXACT(Metadata!D245,"missing: not collected")),AND(IF(Metadata!D245="",FALSE,TRUE),OR(EXACT(Metadata!D245,"t"),EXACT(Metadata!D245,"f"))))</f>
        <v>0</v>
      </c>
      <c r="T245" t="b">
        <f>AND(IF(Metadata!E245="",FALSE,TRUE),OR(EXACT(Metadata!E245,"a"),EXACT(Metadata!E245,"b")))</f>
        <v>0</v>
      </c>
      <c r="U245" t="b">
        <f>OR(AND(IF(Metadata!F245="",FALSE,TRUE),OR(EXACT(Metadata!F245,"missing: not collected"),EXACT(Metadata!F245,"missing: not provided"))),AND(IF(Metadata!F245="",FALSE,TRUE),OR(EXACT(Metadata!F245,"lo"),EXACT(Metadata!F245,"med"),EXACT(Metadata!F245,"hi"))))</f>
        <v>0</v>
      </c>
    </row>
    <row r="246" spans="1:21" x14ac:dyDescent="0.2">
      <c r="A246" s="4" t="str">
        <f ca="1">IF(B246=" "," ",HYPERLINK(CONCATENATE("#metadata!",ADDRESS(INDEX($L$2:$L$1001,MATCH(ROWS($J$2:J246),$J$2:$J$1001,0),0),1)),INDEX($O$2:$O$1001,MATCH(ROWS($J$2:J246),$J$2:$J$1001,0),0)))</f>
        <v xml:space="preserve"> </v>
      </c>
      <c r="B246" s="3" t="str">
        <f ca="1">IF(OR(INDEX($K$2:$K$1001,MATCH(ROWS($J$2:J246),$J$2:$J$1001,0),1)&gt;=100000,INDEX($Q$1005:$U$1005,1,MATCH(COLUMNS($Q$1006:Q1006),$Q$1006:$U$1006,0))&gt;=100000), " ",IF(INDEX($Q$2:$U$1001,MATCH(ROWS($J$2:J246),$J$2:$J$1001,0),MATCH(COLUMNS($Q$1006:Q1006),$Q$1006:$U$1006,0)), HYPERLINK("#",""), HYPERLINK(CONCATENATE("#Metadata!", ADDRESS(INDEX($L$2:$L$1001,MATCH(ROWS($J$2:J246),$J$2:$J$1001,0),0), INDEX($Q$1004:$U$1004,1,MATCH(COLUMNS($Q$1006:Q1006),$Q$1006:$U$1006,0)))),"Fix")))</f>
        <v xml:space="preserve"> </v>
      </c>
      <c r="C246" s="3" t="str">
        <f ca="1">IF(OR(INDEX($K$2:$K$1001,MATCH(ROWS($J$2:J246),$J$2:$J$1001,0),1)&gt;=100000,INDEX($Q$1005:$U$1005,1,MATCH(COLUMNS($Q$1006:R1006),$Q$1006:$U$1006,0))&gt;=100000), " ",IF(INDEX($Q$2:$U$1001,MATCH(ROWS($J$2:J246),$J$2:$J$1001,0),MATCH(COLUMNS($Q$1006:R1006),$Q$1006:$U$1006,0)), HYPERLINK("#",""), HYPERLINK(CONCATENATE("#Metadata!", ADDRESS(INDEX($L$2:$L$1001,MATCH(ROWS($J$2:J246),$J$2:$J$1001,0),0), INDEX($Q$1004:$U$1004,1,MATCH(COLUMNS($Q$1006:R1006),$Q$1006:$U$1006,0)))),"Fix")))</f>
        <v xml:space="preserve"> </v>
      </c>
      <c r="D246" s="3" t="str">
        <f ca="1">IF(OR(INDEX($K$2:$K$1001,MATCH(ROWS($J$2:J246),$J$2:$J$1001,0),1)&gt;=100000,INDEX($Q$1005:$U$1005,1,MATCH(COLUMNS($Q$1006:S1006),$Q$1006:$U$1006,0))&gt;=100000), " ",IF(INDEX($Q$2:$U$1001,MATCH(ROWS($J$2:J246),$J$2:$J$1001,0),MATCH(COLUMNS($Q$1006:S1006),$Q$1006:$U$1006,0)), HYPERLINK("#",""), HYPERLINK(CONCATENATE("#Metadata!", ADDRESS(INDEX($L$2:$L$1001,MATCH(ROWS($J$2:J246),$J$2:$J$1001,0),0), INDEX($Q$1004:$U$1004,1,MATCH(COLUMNS($Q$1006:S1006),$Q$1006:$U$1006,0)))),"Fix")))</f>
        <v xml:space="preserve"> </v>
      </c>
      <c r="E246" s="3" t="str">
        <f ca="1">IF(OR(INDEX($K$2:$K$1001,MATCH(ROWS($J$2:J246),$J$2:$J$1001,0),1)&gt;=100000,INDEX($Q$1005:$U$1005,1,MATCH(COLUMNS($Q$1006:T1006),$Q$1006:$U$1006,0))&gt;=100000), " ",IF(INDEX($Q$2:$U$1001,MATCH(ROWS($J$2:J246),$J$2:$J$1001,0),MATCH(COLUMNS($Q$1006:T1006),$Q$1006:$U$1006,0)), HYPERLINK("#",""), HYPERLINK(CONCATENATE("#Metadata!", ADDRESS(INDEX($L$2:$L$1001,MATCH(ROWS($J$2:J246),$J$2:$J$1001,0),0), INDEX($Q$1004:$U$1004,1,MATCH(COLUMNS($Q$1006:T1006),$Q$1006:$U$1006,0)))),"Fix")))</f>
        <v xml:space="preserve"> </v>
      </c>
      <c r="F246" s="3" t="str">
        <f ca="1">IF(OR(INDEX($K$2:$K$1001,MATCH(ROWS($J$2:J246),$J$2:$J$1001,0),1)&gt;=100000,INDEX($Q$1005:$U$1005,1,MATCH(COLUMNS($Q$1006:U1006),$Q$1006:$U$1006,0))&gt;=100000), " ",IF(INDEX($Q$2:$U$1001,MATCH(ROWS($J$2:J246),$J$2:$J$1001,0),MATCH(COLUMNS($Q$1006:U1006),$Q$1006:$U$1006,0)), HYPERLINK("#",""), HYPERLINK(CONCATENATE("#Metadata!", ADDRESS(INDEX($L$2:$L$1001,MATCH(ROWS($J$2:J246),$J$2:$J$1001,0),0), INDEX($Q$1004:$U$1004,1,MATCH(COLUMNS($Q$1006:U1006),$Q$1006:$U$1006,0)))),"Fix")))</f>
        <v xml:space="preserve"> </v>
      </c>
      <c r="J246">
        <f ca="1"/>
        <v>245</v>
      </c>
      <c r="K246">
        <v>100246</v>
      </c>
      <c r="L246">
        <v>246</v>
      </c>
      <c r="M246" t="b">
        <f t="shared" si="3"/>
        <v>1</v>
      </c>
      <c r="N246" t="b">
        <f>COUNTBLANK(Metadata!B246:F246)=COLUMNS(Metadata!B246:F246)</f>
        <v>1</v>
      </c>
      <c r="O246" t="str">
        <v/>
      </c>
      <c r="Q246" t="b">
        <f ca="1"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R246" t="b">
        <f>IF(Metadata!C246="",FALSE,TRUE)</f>
        <v>0</v>
      </c>
      <c r="S246" t="b">
        <f>OR(AND(IF(Metadata!D246="",FALSE,TRUE),EXACT(Metadata!D246,"missing: not collected")),AND(IF(Metadata!D246="",FALSE,TRUE),OR(EXACT(Metadata!D246,"t"),EXACT(Metadata!D246,"f"))))</f>
        <v>0</v>
      </c>
      <c r="T246" t="b">
        <f>AND(IF(Metadata!E246="",FALSE,TRUE),OR(EXACT(Metadata!E246,"a"),EXACT(Metadata!E246,"b")))</f>
        <v>0</v>
      </c>
      <c r="U246" t="b">
        <f>OR(AND(IF(Metadata!F246="",FALSE,TRUE),OR(EXACT(Metadata!F246,"missing: not collected"),EXACT(Metadata!F246,"missing: not provided"))),AND(IF(Metadata!F246="",FALSE,TRUE),OR(EXACT(Metadata!F246,"lo"),EXACT(Metadata!F246,"med"),EXACT(Metadata!F246,"hi"))))</f>
        <v>0</v>
      </c>
    </row>
    <row r="247" spans="1:21" x14ac:dyDescent="0.2">
      <c r="A247" s="4" t="str">
        <f ca="1">IF(B247=" "," ",HYPERLINK(CONCATENATE("#metadata!",ADDRESS(INDEX($L$2:$L$1001,MATCH(ROWS($J$2:J247),$J$2:$J$1001,0),0),1)),INDEX($O$2:$O$1001,MATCH(ROWS($J$2:J247),$J$2:$J$1001,0),0)))</f>
        <v xml:space="preserve"> </v>
      </c>
      <c r="B247" s="3" t="str">
        <f ca="1">IF(OR(INDEX($K$2:$K$1001,MATCH(ROWS($J$2:J247),$J$2:$J$1001,0),1)&gt;=100000,INDEX($Q$1005:$U$1005,1,MATCH(COLUMNS($Q$1006:Q1006),$Q$1006:$U$1006,0))&gt;=100000), " ",IF(INDEX($Q$2:$U$1001,MATCH(ROWS($J$2:J247),$J$2:$J$1001,0),MATCH(COLUMNS($Q$1006:Q1006),$Q$1006:$U$1006,0)), HYPERLINK("#",""), HYPERLINK(CONCATENATE("#Metadata!", ADDRESS(INDEX($L$2:$L$1001,MATCH(ROWS($J$2:J247),$J$2:$J$1001,0),0), INDEX($Q$1004:$U$1004,1,MATCH(COLUMNS($Q$1006:Q1006),$Q$1006:$U$1006,0)))),"Fix")))</f>
        <v xml:space="preserve"> </v>
      </c>
      <c r="C247" s="3" t="str">
        <f ca="1">IF(OR(INDEX($K$2:$K$1001,MATCH(ROWS($J$2:J247),$J$2:$J$1001,0),1)&gt;=100000,INDEX($Q$1005:$U$1005,1,MATCH(COLUMNS($Q$1006:R1006),$Q$1006:$U$1006,0))&gt;=100000), " ",IF(INDEX($Q$2:$U$1001,MATCH(ROWS($J$2:J247),$J$2:$J$1001,0),MATCH(COLUMNS($Q$1006:R1006),$Q$1006:$U$1006,0)), HYPERLINK("#",""), HYPERLINK(CONCATENATE("#Metadata!", ADDRESS(INDEX($L$2:$L$1001,MATCH(ROWS($J$2:J247),$J$2:$J$1001,0),0), INDEX($Q$1004:$U$1004,1,MATCH(COLUMNS($Q$1006:R1006),$Q$1006:$U$1006,0)))),"Fix")))</f>
        <v xml:space="preserve"> </v>
      </c>
      <c r="D247" s="3" t="str">
        <f ca="1">IF(OR(INDEX($K$2:$K$1001,MATCH(ROWS($J$2:J247),$J$2:$J$1001,0),1)&gt;=100000,INDEX($Q$1005:$U$1005,1,MATCH(COLUMNS($Q$1006:S1006),$Q$1006:$U$1006,0))&gt;=100000), " ",IF(INDEX($Q$2:$U$1001,MATCH(ROWS($J$2:J247),$J$2:$J$1001,0),MATCH(COLUMNS($Q$1006:S1006),$Q$1006:$U$1006,0)), HYPERLINK("#",""), HYPERLINK(CONCATENATE("#Metadata!", ADDRESS(INDEX($L$2:$L$1001,MATCH(ROWS($J$2:J247),$J$2:$J$1001,0),0), INDEX($Q$1004:$U$1004,1,MATCH(COLUMNS($Q$1006:S1006),$Q$1006:$U$1006,0)))),"Fix")))</f>
        <v xml:space="preserve"> </v>
      </c>
      <c r="E247" s="3" t="str">
        <f ca="1">IF(OR(INDEX($K$2:$K$1001,MATCH(ROWS($J$2:J247),$J$2:$J$1001,0),1)&gt;=100000,INDEX($Q$1005:$U$1005,1,MATCH(COLUMNS($Q$1006:T1006),$Q$1006:$U$1006,0))&gt;=100000), " ",IF(INDEX($Q$2:$U$1001,MATCH(ROWS($J$2:J247),$J$2:$J$1001,0),MATCH(COLUMNS($Q$1006:T1006),$Q$1006:$U$1006,0)), HYPERLINK("#",""), HYPERLINK(CONCATENATE("#Metadata!", ADDRESS(INDEX($L$2:$L$1001,MATCH(ROWS($J$2:J247),$J$2:$J$1001,0),0), INDEX($Q$1004:$U$1004,1,MATCH(COLUMNS($Q$1006:T1006),$Q$1006:$U$1006,0)))),"Fix")))</f>
        <v xml:space="preserve"> </v>
      </c>
      <c r="F247" s="3" t="str">
        <f ca="1">IF(OR(INDEX($K$2:$K$1001,MATCH(ROWS($J$2:J247),$J$2:$J$1001,0),1)&gt;=100000,INDEX($Q$1005:$U$1005,1,MATCH(COLUMNS($Q$1006:U1006),$Q$1006:$U$1006,0))&gt;=100000), " ",IF(INDEX($Q$2:$U$1001,MATCH(ROWS($J$2:J247),$J$2:$J$1001,0),MATCH(COLUMNS($Q$1006:U1006),$Q$1006:$U$1006,0)), HYPERLINK("#",""), HYPERLINK(CONCATENATE("#Metadata!", ADDRESS(INDEX($L$2:$L$1001,MATCH(ROWS($J$2:J247),$J$2:$J$1001,0),0), INDEX($Q$1004:$U$1004,1,MATCH(COLUMNS($Q$1006:U1006),$Q$1006:$U$1006,0)))),"Fix")))</f>
        <v xml:space="preserve"> </v>
      </c>
      <c r="J247">
        <f ca="1"/>
        <v>246</v>
      </c>
      <c r="K247">
        <v>100247</v>
      </c>
      <c r="L247">
        <v>247</v>
      </c>
      <c r="M247" t="b">
        <f t="shared" si="3"/>
        <v>1</v>
      </c>
      <c r="N247" t="b">
        <f>COUNTBLANK(Metadata!B247:F247)=COLUMNS(Metadata!B247:F247)</f>
        <v>1</v>
      </c>
      <c r="O247" t="str">
        <v/>
      </c>
      <c r="Q247" t="b">
        <f ca="1"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R247" t="b">
        <f>IF(Metadata!C247="",FALSE,TRUE)</f>
        <v>0</v>
      </c>
      <c r="S247" t="b">
        <f>OR(AND(IF(Metadata!D247="",FALSE,TRUE),EXACT(Metadata!D247,"missing: not collected")),AND(IF(Metadata!D247="",FALSE,TRUE),OR(EXACT(Metadata!D247,"t"),EXACT(Metadata!D247,"f"))))</f>
        <v>0</v>
      </c>
      <c r="T247" t="b">
        <f>AND(IF(Metadata!E247="",FALSE,TRUE),OR(EXACT(Metadata!E247,"a"),EXACT(Metadata!E247,"b")))</f>
        <v>0</v>
      </c>
      <c r="U247" t="b">
        <f>OR(AND(IF(Metadata!F247="",FALSE,TRUE),OR(EXACT(Metadata!F247,"missing: not collected"),EXACT(Metadata!F247,"missing: not provided"))),AND(IF(Metadata!F247="",FALSE,TRUE),OR(EXACT(Metadata!F247,"lo"),EXACT(Metadata!F247,"med"),EXACT(Metadata!F247,"hi"))))</f>
        <v>0</v>
      </c>
    </row>
    <row r="248" spans="1:21" x14ac:dyDescent="0.2">
      <c r="A248" s="4" t="str">
        <f ca="1">IF(B248=" "," ",HYPERLINK(CONCATENATE("#metadata!",ADDRESS(INDEX($L$2:$L$1001,MATCH(ROWS($J$2:J248),$J$2:$J$1001,0),0),1)),INDEX($O$2:$O$1001,MATCH(ROWS($J$2:J248),$J$2:$J$1001,0),0)))</f>
        <v xml:space="preserve"> </v>
      </c>
      <c r="B248" s="3" t="str">
        <f ca="1">IF(OR(INDEX($K$2:$K$1001,MATCH(ROWS($J$2:J248),$J$2:$J$1001,0),1)&gt;=100000,INDEX($Q$1005:$U$1005,1,MATCH(COLUMNS($Q$1006:Q1006),$Q$1006:$U$1006,0))&gt;=100000), " ",IF(INDEX($Q$2:$U$1001,MATCH(ROWS($J$2:J248),$J$2:$J$1001,0),MATCH(COLUMNS($Q$1006:Q1006),$Q$1006:$U$1006,0)), HYPERLINK("#",""), HYPERLINK(CONCATENATE("#Metadata!", ADDRESS(INDEX($L$2:$L$1001,MATCH(ROWS($J$2:J248),$J$2:$J$1001,0),0), INDEX($Q$1004:$U$1004,1,MATCH(COLUMNS($Q$1006:Q1006),$Q$1006:$U$1006,0)))),"Fix")))</f>
        <v xml:space="preserve"> </v>
      </c>
      <c r="C248" s="3" t="str">
        <f ca="1">IF(OR(INDEX($K$2:$K$1001,MATCH(ROWS($J$2:J248),$J$2:$J$1001,0),1)&gt;=100000,INDEX($Q$1005:$U$1005,1,MATCH(COLUMNS($Q$1006:R1006),$Q$1006:$U$1006,0))&gt;=100000), " ",IF(INDEX($Q$2:$U$1001,MATCH(ROWS($J$2:J248),$J$2:$J$1001,0),MATCH(COLUMNS($Q$1006:R1006),$Q$1006:$U$1006,0)), HYPERLINK("#",""), HYPERLINK(CONCATENATE("#Metadata!", ADDRESS(INDEX($L$2:$L$1001,MATCH(ROWS($J$2:J248),$J$2:$J$1001,0),0), INDEX($Q$1004:$U$1004,1,MATCH(COLUMNS($Q$1006:R1006),$Q$1006:$U$1006,0)))),"Fix")))</f>
        <v xml:space="preserve"> </v>
      </c>
      <c r="D248" s="3" t="str">
        <f ca="1">IF(OR(INDEX($K$2:$K$1001,MATCH(ROWS($J$2:J248),$J$2:$J$1001,0),1)&gt;=100000,INDEX($Q$1005:$U$1005,1,MATCH(COLUMNS($Q$1006:S1006),$Q$1006:$U$1006,0))&gt;=100000), " ",IF(INDEX($Q$2:$U$1001,MATCH(ROWS($J$2:J248),$J$2:$J$1001,0),MATCH(COLUMNS($Q$1006:S1006),$Q$1006:$U$1006,0)), HYPERLINK("#",""), HYPERLINK(CONCATENATE("#Metadata!", ADDRESS(INDEX($L$2:$L$1001,MATCH(ROWS($J$2:J248),$J$2:$J$1001,0),0), INDEX($Q$1004:$U$1004,1,MATCH(COLUMNS($Q$1006:S1006),$Q$1006:$U$1006,0)))),"Fix")))</f>
        <v xml:space="preserve"> </v>
      </c>
      <c r="E248" s="3" t="str">
        <f ca="1">IF(OR(INDEX($K$2:$K$1001,MATCH(ROWS($J$2:J248),$J$2:$J$1001,0),1)&gt;=100000,INDEX($Q$1005:$U$1005,1,MATCH(COLUMNS($Q$1006:T1006),$Q$1006:$U$1006,0))&gt;=100000), " ",IF(INDEX($Q$2:$U$1001,MATCH(ROWS($J$2:J248),$J$2:$J$1001,0),MATCH(COLUMNS($Q$1006:T1006),$Q$1006:$U$1006,0)), HYPERLINK("#",""), HYPERLINK(CONCATENATE("#Metadata!", ADDRESS(INDEX($L$2:$L$1001,MATCH(ROWS($J$2:J248),$J$2:$J$1001,0),0), INDEX($Q$1004:$U$1004,1,MATCH(COLUMNS($Q$1006:T1006),$Q$1006:$U$1006,0)))),"Fix")))</f>
        <v xml:space="preserve"> </v>
      </c>
      <c r="F248" s="3" t="str">
        <f ca="1">IF(OR(INDEX($K$2:$K$1001,MATCH(ROWS($J$2:J248),$J$2:$J$1001,0),1)&gt;=100000,INDEX($Q$1005:$U$1005,1,MATCH(COLUMNS($Q$1006:U1006),$Q$1006:$U$1006,0))&gt;=100000), " ",IF(INDEX($Q$2:$U$1001,MATCH(ROWS($J$2:J248),$J$2:$J$1001,0),MATCH(COLUMNS($Q$1006:U1006),$Q$1006:$U$1006,0)), HYPERLINK("#",""), HYPERLINK(CONCATENATE("#Metadata!", ADDRESS(INDEX($L$2:$L$1001,MATCH(ROWS($J$2:J248),$J$2:$J$1001,0),0), INDEX($Q$1004:$U$1004,1,MATCH(COLUMNS($Q$1006:U1006),$Q$1006:$U$1006,0)))),"Fix")))</f>
        <v xml:space="preserve"> </v>
      </c>
      <c r="J248">
        <f ca="1"/>
        <v>247</v>
      </c>
      <c r="K248">
        <v>100248</v>
      </c>
      <c r="L248">
        <v>248</v>
      </c>
      <c r="M248" t="b">
        <f t="shared" si="3"/>
        <v>1</v>
      </c>
      <c r="N248" t="b">
        <f>COUNTBLANK(Metadata!B248:F248)=COLUMNS(Metadata!B248:F248)</f>
        <v>1</v>
      </c>
      <c r="O248" t="str">
        <v/>
      </c>
      <c r="Q248" t="b">
        <f ca="1"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R248" t="b">
        <f>IF(Metadata!C248="",FALSE,TRUE)</f>
        <v>0</v>
      </c>
      <c r="S248" t="b">
        <f>OR(AND(IF(Metadata!D248="",FALSE,TRUE),EXACT(Metadata!D248,"missing: not collected")),AND(IF(Metadata!D248="",FALSE,TRUE),OR(EXACT(Metadata!D248,"t"),EXACT(Metadata!D248,"f"))))</f>
        <v>0</v>
      </c>
      <c r="T248" t="b">
        <f>AND(IF(Metadata!E248="",FALSE,TRUE),OR(EXACT(Metadata!E248,"a"),EXACT(Metadata!E248,"b")))</f>
        <v>0</v>
      </c>
      <c r="U248" t="b">
        <f>OR(AND(IF(Metadata!F248="",FALSE,TRUE),OR(EXACT(Metadata!F248,"missing: not collected"),EXACT(Metadata!F248,"missing: not provided"))),AND(IF(Metadata!F248="",FALSE,TRUE),OR(EXACT(Metadata!F248,"lo"),EXACT(Metadata!F248,"med"),EXACT(Metadata!F248,"hi"))))</f>
        <v>0</v>
      </c>
    </row>
    <row r="249" spans="1:21" x14ac:dyDescent="0.2">
      <c r="A249" s="4" t="str">
        <f ca="1">IF(B249=" "," ",HYPERLINK(CONCATENATE("#metadata!",ADDRESS(INDEX($L$2:$L$1001,MATCH(ROWS($J$2:J249),$J$2:$J$1001,0),0),1)),INDEX($O$2:$O$1001,MATCH(ROWS($J$2:J249),$J$2:$J$1001,0),0)))</f>
        <v xml:space="preserve"> </v>
      </c>
      <c r="B249" s="3" t="str">
        <f ca="1">IF(OR(INDEX($K$2:$K$1001,MATCH(ROWS($J$2:J249),$J$2:$J$1001,0),1)&gt;=100000,INDEX($Q$1005:$U$1005,1,MATCH(COLUMNS($Q$1006:Q1006),$Q$1006:$U$1006,0))&gt;=100000), " ",IF(INDEX($Q$2:$U$1001,MATCH(ROWS($J$2:J249),$J$2:$J$1001,0),MATCH(COLUMNS($Q$1006:Q1006),$Q$1006:$U$1006,0)), HYPERLINK("#",""), HYPERLINK(CONCATENATE("#Metadata!", ADDRESS(INDEX($L$2:$L$1001,MATCH(ROWS($J$2:J249),$J$2:$J$1001,0),0), INDEX($Q$1004:$U$1004,1,MATCH(COLUMNS($Q$1006:Q1006),$Q$1006:$U$1006,0)))),"Fix")))</f>
        <v xml:space="preserve"> </v>
      </c>
      <c r="C249" s="3" t="str">
        <f ca="1">IF(OR(INDEX($K$2:$K$1001,MATCH(ROWS($J$2:J249),$J$2:$J$1001,0),1)&gt;=100000,INDEX($Q$1005:$U$1005,1,MATCH(COLUMNS($Q$1006:R1006),$Q$1006:$U$1006,0))&gt;=100000), " ",IF(INDEX($Q$2:$U$1001,MATCH(ROWS($J$2:J249),$J$2:$J$1001,0),MATCH(COLUMNS($Q$1006:R1006),$Q$1006:$U$1006,0)), HYPERLINK("#",""), HYPERLINK(CONCATENATE("#Metadata!", ADDRESS(INDEX($L$2:$L$1001,MATCH(ROWS($J$2:J249),$J$2:$J$1001,0),0), INDEX($Q$1004:$U$1004,1,MATCH(COLUMNS($Q$1006:R1006),$Q$1006:$U$1006,0)))),"Fix")))</f>
        <v xml:space="preserve"> </v>
      </c>
      <c r="D249" s="3" t="str">
        <f ca="1">IF(OR(INDEX($K$2:$K$1001,MATCH(ROWS($J$2:J249),$J$2:$J$1001,0),1)&gt;=100000,INDEX($Q$1005:$U$1005,1,MATCH(COLUMNS($Q$1006:S1006),$Q$1006:$U$1006,0))&gt;=100000), " ",IF(INDEX($Q$2:$U$1001,MATCH(ROWS($J$2:J249),$J$2:$J$1001,0),MATCH(COLUMNS($Q$1006:S1006),$Q$1006:$U$1006,0)), HYPERLINK("#",""), HYPERLINK(CONCATENATE("#Metadata!", ADDRESS(INDEX($L$2:$L$1001,MATCH(ROWS($J$2:J249),$J$2:$J$1001,0),0), INDEX($Q$1004:$U$1004,1,MATCH(COLUMNS($Q$1006:S1006),$Q$1006:$U$1006,0)))),"Fix")))</f>
        <v xml:space="preserve"> </v>
      </c>
      <c r="E249" s="3" t="str">
        <f ca="1">IF(OR(INDEX($K$2:$K$1001,MATCH(ROWS($J$2:J249),$J$2:$J$1001,0),1)&gt;=100000,INDEX($Q$1005:$U$1005,1,MATCH(COLUMNS($Q$1006:T1006),$Q$1006:$U$1006,0))&gt;=100000), " ",IF(INDEX($Q$2:$U$1001,MATCH(ROWS($J$2:J249),$J$2:$J$1001,0),MATCH(COLUMNS($Q$1006:T1006),$Q$1006:$U$1006,0)), HYPERLINK("#",""), HYPERLINK(CONCATENATE("#Metadata!", ADDRESS(INDEX($L$2:$L$1001,MATCH(ROWS($J$2:J249),$J$2:$J$1001,0),0), INDEX($Q$1004:$U$1004,1,MATCH(COLUMNS($Q$1006:T1006),$Q$1006:$U$1006,0)))),"Fix")))</f>
        <v xml:space="preserve"> </v>
      </c>
      <c r="F249" s="3" t="str">
        <f ca="1">IF(OR(INDEX($K$2:$K$1001,MATCH(ROWS($J$2:J249),$J$2:$J$1001,0),1)&gt;=100000,INDEX($Q$1005:$U$1005,1,MATCH(COLUMNS($Q$1006:U1006),$Q$1006:$U$1006,0))&gt;=100000), " ",IF(INDEX($Q$2:$U$1001,MATCH(ROWS($J$2:J249),$J$2:$J$1001,0),MATCH(COLUMNS($Q$1006:U1006),$Q$1006:$U$1006,0)), HYPERLINK("#",""), HYPERLINK(CONCATENATE("#Metadata!", ADDRESS(INDEX($L$2:$L$1001,MATCH(ROWS($J$2:J249),$J$2:$J$1001,0),0), INDEX($Q$1004:$U$1004,1,MATCH(COLUMNS($Q$1006:U1006),$Q$1006:$U$1006,0)))),"Fix")))</f>
        <v xml:space="preserve"> </v>
      </c>
      <c r="J249">
        <f ca="1"/>
        <v>248</v>
      </c>
      <c r="K249">
        <v>100249</v>
      </c>
      <c r="L249">
        <v>249</v>
      </c>
      <c r="M249" t="b">
        <f t="shared" si="3"/>
        <v>1</v>
      </c>
      <c r="N249" t="b">
        <f>COUNTBLANK(Metadata!B249:F249)=COLUMNS(Metadata!B249:F249)</f>
        <v>1</v>
      </c>
      <c r="O249" t="str">
        <v/>
      </c>
      <c r="Q249" t="b">
        <f ca="1"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R249" t="b">
        <f>IF(Metadata!C249="",FALSE,TRUE)</f>
        <v>0</v>
      </c>
      <c r="S249" t="b">
        <f>OR(AND(IF(Metadata!D249="",FALSE,TRUE),EXACT(Metadata!D249,"missing: not collected")),AND(IF(Metadata!D249="",FALSE,TRUE),OR(EXACT(Metadata!D249,"t"),EXACT(Metadata!D249,"f"))))</f>
        <v>0</v>
      </c>
      <c r="T249" t="b">
        <f>AND(IF(Metadata!E249="",FALSE,TRUE),OR(EXACT(Metadata!E249,"a"),EXACT(Metadata!E249,"b")))</f>
        <v>0</v>
      </c>
      <c r="U249" t="b">
        <f>OR(AND(IF(Metadata!F249="",FALSE,TRUE),OR(EXACT(Metadata!F249,"missing: not collected"),EXACT(Metadata!F249,"missing: not provided"))),AND(IF(Metadata!F249="",FALSE,TRUE),OR(EXACT(Metadata!F249,"lo"),EXACT(Metadata!F249,"med"),EXACT(Metadata!F249,"hi"))))</f>
        <v>0</v>
      </c>
    </row>
    <row r="250" spans="1:21" x14ac:dyDescent="0.2">
      <c r="A250" s="4" t="str">
        <f ca="1">IF(B250=" "," ",HYPERLINK(CONCATENATE("#metadata!",ADDRESS(INDEX($L$2:$L$1001,MATCH(ROWS($J$2:J250),$J$2:$J$1001,0),0),1)),INDEX($O$2:$O$1001,MATCH(ROWS($J$2:J250),$J$2:$J$1001,0),0)))</f>
        <v xml:space="preserve"> </v>
      </c>
      <c r="B250" s="3" t="str">
        <f ca="1">IF(OR(INDEX($K$2:$K$1001,MATCH(ROWS($J$2:J250),$J$2:$J$1001,0),1)&gt;=100000,INDEX($Q$1005:$U$1005,1,MATCH(COLUMNS($Q$1006:Q1006),$Q$1006:$U$1006,0))&gt;=100000), " ",IF(INDEX($Q$2:$U$1001,MATCH(ROWS($J$2:J250),$J$2:$J$1001,0),MATCH(COLUMNS($Q$1006:Q1006),$Q$1006:$U$1006,0)), HYPERLINK("#",""), HYPERLINK(CONCATENATE("#Metadata!", ADDRESS(INDEX($L$2:$L$1001,MATCH(ROWS($J$2:J250),$J$2:$J$1001,0),0), INDEX($Q$1004:$U$1004,1,MATCH(COLUMNS($Q$1006:Q1006),$Q$1006:$U$1006,0)))),"Fix")))</f>
        <v xml:space="preserve"> </v>
      </c>
      <c r="C250" s="3" t="str">
        <f ca="1">IF(OR(INDEX($K$2:$K$1001,MATCH(ROWS($J$2:J250),$J$2:$J$1001,0),1)&gt;=100000,INDEX($Q$1005:$U$1005,1,MATCH(COLUMNS($Q$1006:R1006),$Q$1006:$U$1006,0))&gt;=100000), " ",IF(INDEX($Q$2:$U$1001,MATCH(ROWS($J$2:J250),$J$2:$J$1001,0),MATCH(COLUMNS($Q$1006:R1006),$Q$1006:$U$1006,0)), HYPERLINK("#",""), HYPERLINK(CONCATENATE("#Metadata!", ADDRESS(INDEX($L$2:$L$1001,MATCH(ROWS($J$2:J250),$J$2:$J$1001,0),0), INDEX($Q$1004:$U$1004,1,MATCH(COLUMNS($Q$1006:R1006),$Q$1006:$U$1006,0)))),"Fix")))</f>
        <v xml:space="preserve"> </v>
      </c>
      <c r="D250" s="3" t="str">
        <f ca="1">IF(OR(INDEX($K$2:$K$1001,MATCH(ROWS($J$2:J250),$J$2:$J$1001,0),1)&gt;=100000,INDEX($Q$1005:$U$1005,1,MATCH(COLUMNS($Q$1006:S1006),$Q$1006:$U$1006,0))&gt;=100000), " ",IF(INDEX($Q$2:$U$1001,MATCH(ROWS($J$2:J250),$J$2:$J$1001,0),MATCH(COLUMNS($Q$1006:S1006),$Q$1006:$U$1006,0)), HYPERLINK("#",""), HYPERLINK(CONCATENATE("#Metadata!", ADDRESS(INDEX($L$2:$L$1001,MATCH(ROWS($J$2:J250),$J$2:$J$1001,0),0), INDEX($Q$1004:$U$1004,1,MATCH(COLUMNS($Q$1006:S1006),$Q$1006:$U$1006,0)))),"Fix")))</f>
        <v xml:space="preserve"> </v>
      </c>
      <c r="E250" s="3" t="str">
        <f ca="1">IF(OR(INDEX($K$2:$K$1001,MATCH(ROWS($J$2:J250),$J$2:$J$1001,0),1)&gt;=100000,INDEX($Q$1005:$U$1005,1,MATCH(COLUMNS($Q$1006:T1006),$Q$1006:$U$1006,0))&gt;=100000), " ",IF(INDEX($Q$2:$U$1001,MATCH(ROWS($J$2:J250),$J$2:$J$1001,0),MATCH(COLUMNS($Q$1006:T1006),$Q$1006:$U$1006,0)), HYPERLINK("#",""), HYPERLINK(CONCATENATE("#Metadata!", ADDRESS(INDEX($L$2:$L$1001,MATCH(ROWS($J$2:J250),$J$2:$J$1001,0),0), INDEX($Q$1004:$U$1004,1,MATCH(COLUMNS($Q$1006:T1006),$Q$1006:$U$1006,0)))),"Fix")))</f>
        <v xml:space="preserve"> </v>
      </c>
      <c r="F250" s="3" t="str">
        <f ca="1">IF(OR(INDEX($K$2:$K$1001,MATCH(ROWS($J$2:J250),$J$2:$J$1001,0),1)&gt;=100000,INDEX($Q$1005:$U$1005,1,MATCH(COLUMNS($Q$1006:U1006),$Q$1006:$U$1006,0))&gt;=100000), " ",IF(INDEX($Q$2:$U$1001,MATCH(ROWS($J$2:J250),$J$2:$J$1001,0),MATCH(COLUMNS($Q$1006:U1006),$Q$1006:$U$1006,0)), HYPERLINK("#",""), HYPERLINK(CONCATENATE("#Metadata!", ADDRESS(INDEX($L$2:$L$1001,MATCH(ROWS($J$2:J250),$J$2:$J$1001,0),0), INDEX($Q$1004:$U$1004,1,MATCH(COLUMNS($Q$1006:U1006),$Q$1006:$U$1006,0)))),"Fix")))</f>
        <v xml:space="preserve"> </v>
      </c>
      <c r="J250">
        <f ca="1"/>
        <v>249</v>
      </c>
      <c r="K250">
        <v>100250</v>
      </c>
      <c r="L250">
        <v>250</v>
      </c>
      <c r="M250" t="b">
        <f t="shared" si="3"/>
        <v>1</v>
      </c>
      <c r="N250" t="b">
        <f>COUNTBLANK(Metadata!B250:F250)=COLUMNS(Metadata!B250:F250)</f>
        <v>1</v>
      </c>
      <c r="O250" t="str">
        <v/>
      </c>
      <c r="Q250" t="b">
        <f ca="1"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R250" t="b">
        <f>IF(Metadata!C250="",FALSE,TRUE)</f>
        <v>0</v>
      </c>
      <c r="S250" t="b">
        <f>OR(AND(IF(Metadata!D250="",FALSE,TRUE),EXACT(Metadata!D250,"missing: not collected")),AND(IF(Metadata!D250="",FALSE,TRUE),OR(EXACT(Metadata!D250,"t"),EXACT(Metadata!D250,"f"))))</f>
        <v>0</v>
      </c>
      <c r="T250" t="b">
        <f>AND(IF(Metadata!E250="",FALSE,TRUE),OR(EXACT(Metadata!E250,"a"),EXACT(Metadata!E250,"b")))</f>
        <v>0</v>
      </c>
      <c r="U250" t="b">
        <f>OR(AND(IF(Metadata!F250="",FALSE,TRUE),OR(EXACT(Metadata!F250,"missing: not collected"),EXACT(Metadata!F250,"missing: not provided"))),AND(IF(Metadata!F250="",FALSE,TRUE),OR(EXACT(Metadata!F250,"lo"),EXACT(Metadata!F250,"med"),EXACT(Metadata!F250,"hi"))))</f>
        <v>0</v>
      </c>
    </row>
    <row r="251" spans="1:21" x14ac:dyDescent="0.2">
      <c r="A251" s="4" t="str">
        <f ca="1">IF(B251=" "," ",HYPERLINK(CONCATENATE("#metadata!",ADDRESS(INDEX($L$2:$L$1001,MATCH(ROWS($J$2:J251),$J$2:$J$1001,0),0),1)),INDEX($O$2:$O$1001,MATCH(ROWS($J$2:J251),$J$2:$J$1001,0),0)))</f>
        <v xml:space="preserve"> </v>
      </c>
      <c r="B251" s="3" t="str">
        <f ca="1">IF(OR(INDEX($K$2:$K$1001,MATCH(ROWS($J$2:J251),$J$2:$J$1001,0),1)&gt;=100000,INDEX($Q$1005:$U$1005,1,MATCH(COLUMNS($Q$1006:Q1006),$Q$1006:$U$1006,0))&gt;=100000), " ",IF(INDEX($Q$2:$U$1001,MATCH(ROWS($J$2:J251),$J$2:$J$1001,0),MATCH(COLUMNS($Q$1006:Q1006),$Q$1006:$U$1006,0)), HYPERLINK("#",""), HYPERLINK(CONCATENATE("#Metadata!", ADDRESS(INDEX($L$2:$L$1001,MATCH(ROWS($J$2:J251),$J$2:$J$1001,0),0), INDEX($Q$1004:$U$1004,1,MATCH(COLUMNS($Q$1006:Q1006),$Q$1006:$U$1006,0)))),"Fix")))</f>
        <v xml:space="preserve"> </v>
      </c>
      <c r="C251" s="3" t="str">
        <f ca="1">IF(OR(INDEX($K$2:$K$1001,MATCH(ROWS($J$2:J251),$J$2:$J$1001,0),1)&gt;=100000,INDEX($Q$1005:$U$1005,1,MATCH(COLUMNS($Q$1006:R1006),$Q$1006:$U$1006,0))&gt;=100000), " ",IF(INDEX($Q$2:$U$1001,MATCH(ROWS($J$2:J251),$J$2:$J$1001,0),MATCH(COLUMNS($Q$1006:R1006),$Q$1006:$U$1006,0)), HYPERLINK("#",""), HYPERLINK(CONCATENATE("#Metadata!", ADDRESS(INDEX($L$2:$L$1001,MATCH(ROWS($J$2:J251),$J$2:$J$1001,0),0), INDEX($Q$1004:$U$1004,1,MATCH(COLUMNS($Q$1006:R1006),$Q$1006:$U$1006,0)))),"Fix")))</f>
        <v xml:space="preserve"> </v>
      </c>
      <c r="D251" s="3" t="str">
        <f ca="1">IF(OR(INDEX($K$2:$K$1001,MATCH(ROWS($J$2:J251),$J$2:$J$1001,0),1)&gt;=100000,INDEX($Q$1005:$U$1005,1,MATCH(COLUMNS($Q$1006:S1006),$Q$1006:$U$1006,0))&gt;=100000), " ",IF(INDEX($Q$2:$U$1001,MATCH(ROWS($J$2:J251),$J$2:$J$1001,0),MATCH(COLUMNS($Q$1006:S1006),$Q$1006:$U$1006,0)), HYPERLINK("#",""), HYPERLINK(CONCATENATE("#Metadata!", ADDRESS(INDEX($L$2:$L$1001,MATCH(ROWS($J$2:J251),$J$2:$J$1001,0),0), INDEX($Q$1004:$U$1004,1,MATCH(COLUMNS($Q$1006:S1006),$Q$1006:$U$1006,0)))),"Fix")))</f>
        <v xml:space="preserve"> </v>
      </c>
      <c r="E251" s="3" t="str">
        <f ca="1">IF(OR(INDEX($K$2:$K$1001,MATCH(ROWS($J$2:J251),$J$2:$J$1001,0),1)&gt;=100000,INDEX($Q$1005:$U$1005,1,MATCH(COLUMNS($Q$1006:T1006),$Q$1006:$U$1006,0))&gt;=100000), " ",IF(INDEX($Q$2:$U$1001,MATCH(ROWS($J$2:J251),$J$2:$J$1001,0),MATCH(COLUMNS($Q$1006:T1006),$Q$1006:$U$1006,0)), HYPERLINK("#",""), HYPERLINK(CONCATENATE("#Metadata!", ADDRESS(INDEX($L$2:$L$1001,MATCH(ROWS($J$2:J251),$J$2:$J$1001,0),0), INDEX($Q$1004:$U$1004,1,MATCH(COLUMNS($Q$1006:T1006),$Q$1006:$U$1006,0)))),"Fix")))</f>
        <v xml:space="preserve"> </v>
      </c>
      <c r="F251" s="3" t="str">
        <f ca="1">IF(OR(INDEX($K$2:$K$1001,MATCH(ROWS($J$2:J251),$J$2:$J$1001,0),1)&gt;=100000,INDEX($Q$1005:$U$1005,1,MATCH(COLUMNS($Q$1006:U1006),$Q$1006:$U$1006,0))&gt;=100000), " ",IF(INDEX($Q$2:$U$1001,MATCH(ROWS($J$2:J251),$J$2:$J$1001,0),MATCH(COLUMNS($Q$1006:U1006),$Q$1006:$U$1006,0)), HYPERLINK("#",""), HYPERLINK(CONCATENATE("#Metadata!", ADDRESS(INDEX($L$2:$L$1001,MATCH(ROWS($J$2:J251),$J$2:$J$1001,0),0), INDEX($Q$1004:$U$1004,1,MATCH(COLUMNS($Q$1006:U1006),$Q$1006:$U$1006,0)))),"Fix")))</f>
        <v xml:space="preserve"> </v>
      </c>
      <c r="J251">
        <f ca="1"/>
        <v>250</v>
      </c>
      <c r="K251">
        <v>100251</v>
      </c>
      <c r="L251">
        <v>251</v>
      </c>
      <c r="M251" t="b">
        <f t="shared" si="3"/>
        <v>1</v>
      </c>
      <c r="N251" t="b">
        <f>COUNTBLANK(Metadata!B251:F251)=COLUMNS(Metadata!B251:F251)</f>
        <v>1</v>
      </c>
      <c r="O251" t="str">
        <v/>
      </c>
      <c r="Q251" t="b">
        <f ca="1"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R251" t="b">
        <f>IF(Metadata!C251="",FALSE,TRUE)</f>
        <v>0</v>
      </c>
      <c r="S251" t="b">
        <f>OR(AND(IF(Metadata!D251="",FALSE,TRUE),EXACT(Metadata!D251,"missing: not collected")),AND(IF(Metadata!D251="",FALSE,TRUE),OR(EXACT(Metadata!D251,"t"),EXACT(Metadata!D251,"f"))))</f>
        <v>0</v>
      </c>
      <c r="T251" t="b">
        <f>AND(IF(Metadata!E251="",FALSE,TRUE),OR(EXACT(Metadata!E251,"a"),EXACT(Metadata!E251,"b")))</f>
        <v>0</v>
      </c>
      <c r="U251" t="b">
        <f>OR(AND(IF(Metadata!F251="",FALSE,TRUE),OR(EXACT(Metadata!F251,"missing: not collected"),EXACT(Metadata!F251,"missing: not provided"))),AND(IF(Metadata!F251="",FALSE,TRUE),OR(EXACT(Metadata!F251,"lo"),EXACT(Metadata!F251,"med"),EXACT(Metadata!F251,"hi"))))</f>
        <v>0</v>
      </c>
    </row>
    <row r="252" spans="1:21" x14ac:dyDescent="0.2">
      <c r="A252" s="4" t="str">
        <f ca="1">IF(B252=" "," ",HYPERLINK(CONCATENATE("#metadata!",ADDRESS(INDEX($L$2:$L$1001,MATCH(ROWS($J$2:J252),$J$2:$J$1001,0),0),1)),INDEX($O$2:$O$1001,MATCH(ROWS($J$2:J252),$J$2:$J$1001,0),0)))</f>
        <v xml:space="preserve"> </v>
      </c>
      <c r="B252" s="3" t="str">
        <f ca="1">IF(OR(INDEX($K$2:$K$1001,MATCH(ROWS($J$2:J252),$J$2:$J$1001,0),1)&gt;=100000,INDEX($Q$1005:$U$1005,1,MATCH(COLUMNS($Q$1006:Q1006),$Q$1006:$U$1006,0))&gt;=100000), " ",IF(INDEX($Q$2:$U$1001,MATCH(ROWS($J$2:J252),$J$2:$J$1001,0),MATCH(COLUMNS($Q$1006:Q1006),$Q$1006:$U$1006,0)), HYPERLINK("#",""), HYPERLINK(CONCATENATE("#Metadata!", ADDRESS(INDEX($L$2:$L$1001,MATCH(ROWS($J$2:J252),$J$2:$J$1001,0),0), INDEX($Q$1004:$U$1004,1,MATCH(COLUMNS($Q$1006:Q1006),$Q$1006:$U$1006,0)))),"Fix")))</f>
        <v xml:space="preserve"> </v>
      </c>
      <c r="C252" s="3" t="str">
        <f ca="1">IF(OR(INDEX($K$2:$K$1001,MATCH(ROWS($J$2:J252),$J$2:$J$1001,0),1)&gt;=100000,INDEX($Q$1005:$U$1005,1,MATCH(COLUMNS($Q$1006:R1006),$Q$1006:$U$1006,0))&gt;=100000), " ",IF(INDEX($Q$2:$U$1001,MATCH(ROWS($J$2:J252),$J$2:$J$1001,0),MATCH(COLUMNS($Q$1006:R1006),$Q$1006:$U$1006,0)), HYPERLINK("#",""), HYPERLINK(CONCATENATE("#Metadata!", ADDRESS(INDEX($L$2:$L$1001,MATCH(ROWS($J$2:J252),$J$2:$J$1001,0),0), INDEX($Q$1004:$U$1004,1,MATCH(COLUMNS($Q$1006:R1006),$Q$1006:$U$1006,0)))),"Fix")))</f>
        <v xml:space="preserve"> </v>
      </c>
      <c r="D252" s="3" t="str">
        <f ca="1">IF(OR(INDEX($K$2:$K$1001,MATCH(ROWS($J$2:J252),$J$2:$J$1001,0),1)&gt;=100000,INDEX($Q$1005:$U$1005,1,MATCH(COLUMNS($Q$1006:S1006),$Q$1006:$U$1006,0))&gt;=100000), " ",IF(INDEX($Q$2:$U$1001,MATCH(ROWS($J$2:J252),$J$2:$J$1001,0),MATCH(COLUMNS($Q$1006:S1006),$Q$1006:$U$1006,0)), HYPERLINK("#",""), HYPERLINK(CONCATENATE("#Metadata!", ADDRESS(INDEX($L$2:$L$1001,MATCH(ROWS($J$2:J252),$J$2:$J$1001,0),0), INDEX($Q$1004:$U$1004,1,MATCH(COLUMNS($Q$1006:S1006),$Q$1006:$U$1006,0)))),"Fix")))</f>
        <v xml:space="preserve"> </v>
      </c>
      <c r="E252" s="3" t="str">
        <f ca="1">IF(OR(INDEX($K$2:$K$1001,MATCH(ROWS($J$2:J252),$J$2:$J$1001,0),1)&gt;=100000,INDEX($Q$1005:$U$1005,1,MATCH(COLUMNS($Q$1006:T1006),$Q$1006:$U$1006,0))&gt;=100000), " ",IF(INDEX($Q$2:$U$1001,MATCH(ROWS($J$2:J252),$J$2:$J$1001,0),MATCH(COLUMNS($Q$1006:T1006),$Q$1006:$U$1006,0)), HYPERLINK("#",""), HYPERLINK(CONCATENATE("#Metadata!", ADDRESS(INDEX($L$2:$L$1001,MATCH(ROWS($J$2:J252),$J$2:$J$1001,0),0), INDEX($Q$1004:$U$1004,1,MATCH(COLUMNS($Q$1006:T1006),$Q$1006:$U$1006,0)))),"Fix")))</f>
        <v xml:space="preserve"> </v>
      </c>
      <c r="F252" s="3" t="str">
        <f ca="1">IF(OR(INDEX($K$2:$K$1001,MATCH(ROWS($J$2:J252),$J$2:$J$1001,0),1)&gt;=100000,INDEX($Q$1005:$U$1005,1,MATCH(COLUMNS($Q$1006:U1006),$Q$1006:$U$1006,0))&gt;=100000), " ",IF(INDEX($Q$2:$U$1001,MATCH(ROWS($J$2:J252),$J$2:$J$1001,0),MATCH(COLUMNS($Q$1006:U1006),$Q$1006:$U$1006,0)), HYPERLINK("#",""), HYPERLINK(CONCATENATE("#Metadata!", ADDRESS(INDEX($L$2:$L$1001,MATCH(ROWS($J$2:J252),$J$2:$J$1001,0),0), INDEX($Q$1004:$U$1004,1,MATCH(COLUMNS($Q$1006:U1006),$Q$1006:$U$1006,0)))),"Fix")))</f>
        <v xml:space="preserve"> </v>
      </c>
      <c r="J252">
        <f ca="1"/>
        <v>251</v>
      </c>
      <c r="K252">
        <v>100252</v>
      </c>
      <c r="L252">
        <v>252</v>
      </c>
      <c r="M252" t="b">
        <f t="shared" si="3"/>
        <v>1</v>
      </c>
      <c r="N252" t="b">
        <f>COUNTBLANK(Metadata!B252:F252)=COLUMNS(Metadata!B252:F252)</f>
        <v>1</v>
      </c>
      <c r="O252" t="str">
        <v/>
      </c>
      <c r="Q252" t="b">
        <f ca="1"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R252" t="b">
        <f>IF(Metadata!C252="",FALSE,TRUE)</f>
        <v>0</v>
      </c>
      <c r="S252" t="b">
        <f>OR(AND(IF(Metadata!D252="",FALSE,TRUE),EXACT(Metadata!D252,"missing: not collected")),AND(IF(Metadata!D252="",FALSE,TRUE),OR(EXACT(Metadata!D252,"t"),EXACT(Metadata!D252,"f"))))</f>
        <v>0</v>
      </c>
      <c r="T252" t="b">
        <f>AND(IF(Metadata!E252="",FALSE,TRUE),OR(EXACT(Metadata!E252,"a"),EXACT(Metadata!E252,"b")))</f>
        <v>0</v>
      </c>
      <c r="U252" t="b">
        <f>OR(AND(IF(Metadata!F252="",FALSE,TRUE),OR(EXACT(Metadata!F252,"missing: not collected"),EXACT(Metadata!F252,"missing: not provided"))),AND(IF(Metadata!F252="",FALSE,TRUE),OR(EXACT(Metadata!F252,"lo"),EXACT(Metadata!F252,"med"),EXACT(Metadata!F252,"hi"))))</f>
        <v>0</v>
      </c>
    </row>
    <row r="253" spans="1:21" x14ac:dyDescent="0.2">
      <c r="A253" s="4" t="str">
        <f ca="1">IF(B253=" "," ",HYPERLINK(CONCATENATE("#metadata!",ADDRESS(INDEX($L$2:$L$1001,MATCH(ROWS($J$2:J253),$J$2:$J$1001,0),0),1)),INDEX($O$2:$O$1001,MATCH(ROWS($J$2:J253),$J$2:$J$1001,0),0)))</f>
        <v xml:space="preserve"> </v>
      </c>
      <c r="B253" s="3" t="str">
        <f ca="1">IF(OR(INDEX($K$2:$K$1001,MATCH(ROWS($J$2:J253),$J$2:$J$1001,0),1)&gt;=100000,INDEX($Q$1005:$U$1005,1,MATCH(COLUMNS($Q$1006:Q1006),$Q$1006:$U$1006,0))&gt;=100000), " ",IF(INDEX($Q$2:$U$1001,MATCH(ROWS($J$2:J253),$J$2:$J$1001,0),MATCH(COLUMNS($Q$1006:Q1006),$Q$1006:$U$1006,0)), HYPERLINK("#",""), HYPERLINK(CONCATENATE("#Metadata!", ADDRESS(INDEX($L$2:$L$1001,MATCH(ROWS($J$2:J253),$J$2:$J$1001,0),0), INDEX($Q$1004:$U$1004,1,MATCH(COLUMNS($Q$1006:Q1006),$Q$1006:$U$1006,0)))),"Fix")))</f>
        <v xml:space="preserve"> </v>
      </c>
      <c r="C253" s="3" t="str">
        <f ca="1">IF(OR(INDEX($K$2:$K$1001,MATCH(ROWS($J$2:J253),$J$2:$J$1001,0),1)&gt;=100000,INDEX($Q$1005:$U$1005,1,MATCH(COLUMNS($Q$1006:R1006),$Q$1006:$U$1006,0))&gt;=100000), " ",IF(INDEX($Q$2:$U$1001,MATCH(ROWS($J$2:J253),$J$2:$J$1001,0),MATCH(COLUMNS($Q$1006:R1006),$Q$1006:$U$1006,0)), HYPERLINK("#",""), HYPERLINK(CONCATENATE("#Metadata!", ADDRESS(INDEX($L$2:$L$1001,MATCH(ROWS($J$2:J253),$J$2:$J$1001,0),0), INDEX($Q$1004:$U$1004,1,MATCH(COLUMNS($Q$1006:R1006),$Q$1006:$U$1006,0)))),"Fix")))</f>
        <v xml:space="preserve"> </v>
      </c>
      <c r="D253" s="3" t="str">
        <f ca="1">IF(OR(INDEX($K$2:$K$1001,MATCH(ROWS($J$2:J253),$J$2:$J$1001,0),1)&gt;=100000,INDEX($Q$1005:$U$1005,1,MATCH(COLUMNS($Q$1006:S1006),$Q$1006:$U$1006,0))&gt;=100000), " ",IF(INDEX($Q$2:$U$1001,MATCH(ROWS($J$2:J253),$J$2:$J$1001,0),MATCH(COLUMNS($Q$1006:S1006),$Q$1006:$U$1006,0)), HYPERLINK("#",""), HYPERLINK(CONCATENATE("#Metadata!", ADDRESS(INDEX($L$2:$L$1001,MATCH(ROWS($J$2:J253),$J$2:$J$1001,0),0), INDEX($Q$1004:$U$1004,1,MATCH(COLUMNS($Q$1006:S1006),$Q$1006:$U$1006,0)))),"Fix")))</f>
        <v xml:space="preserve"> </v>
      </c>
      <c r="E253" s="3" t="str">
        <f ca="1">IF(OR(INDEX($K$2:$K$1001,MATCH(ROWS($J$2:J253),$J$2:$J$1001,0),1)&gt;=100000,INDEX($Q$1005:$U$1005,1,MATCH(COLUMNS($Q$1006:T1006),$Q$1006:$U$1006,0))&gt;=100000), " ",IF(INDEX($Q$2:$U$1001,MATCH(ROWS($J$2:J253),$J$2:$J$1001,0),MATCH(COLUMNS($Q$1006:T1006),$Q$1006:$U$1006,0)), HYPERLINK("#",""), HYPERLINK(CONCATENATE("#Metadata!", ADDRESS(INDEX($L$2:$L$1001,MATCH(ROWS($J$2:J253),$J$2:$J$1001,0),0), INDEX($Q$1004:$U$1004,1,MATCH(COLUMNS($Q$1006:T1006),$Q$1006:$U$1006,0)))),"Fix")))</f>
        <v xml:space="preserve"> </v>
      </c>
      <c r="F253" s="3" t="str">
        <f ca="1">IF(OR(INDEX($K$2:$K$1001,MATCH(ROWS($J$2:J253),$J$2:$J$1001,0),1)&gt;=100000,INDEX($Q$1005:$U$1005,1,MATCH(COLUMNS($Q$1006:U1006),$Q$1006:$U$1006,0))&gt;=100000), " ",IF(INDEX($Q$2:$U$1001,MATCH(ROWS($J$2:J253),$J$2:$J$1001,0),MATCH(COLUMNS($Q$1006:U1006),$Q$1006:$U$1006,0)), HYPERLINK("#",""), HYPERLINK(CONCATENATE("#Metadata!", ADDRESS(INDEX($L$2:$L$1001,MATCH(ROWS($J$2:J253),$J$2:$J$1001,0),0), INDEX($Q$1004:$U$1004,1,MATCH(COLUMNS($Q$1006:U1006),$Q$1006:$U$1006,0)))),"Fix")))</f>
        <v xml:space="preserve"> </v>
      </c>
      <c r="J253">
        <f ca="1"/>
        <v>252</v>
      </c>
      <c r="K253">
        <v>100253</v>
      </c>
      <c r="L253">
        <v>253</v>
      </c>
      <c r="M253" t="b">
        <f t="shared" si="3"/>
        <v>1</v>
      </c>
      <c r="N253" t="b">
        <f>COUNTBLANK(Metadata!B253:F253)=COLUMNS(Metadata!B253:F253)</f>
        <v>1</v>
      </c>
      <c r="O253" t="str">
        <v/>
      </c>
      <c r="Q253" t="b">
        <f ca="1"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R253" t="b">
        <f>IF(Metadata!C253="",FALSE,TRUE)</f>
        <v>0</v>
      </c>
      <c r="S253" t="b">
        <f>OR(AND(IF(Metadata!D253="",FALSE,TRUE),EXACT(Metadata!D253,"missing: not collected")),AND(IF(Metadata!D253="",FALSE,TRUE),OR(EXACT(Metadata!D253,"t"),EXACT(Metadata!D253,"f"))))</f>
        <v>0</v>
      </c>
      <c r="T253" t="b">
        <f>AND(IF(Metadata!E253="",FALSE,TRUE),OR(EXACT(Metadata!E253,"a"),EXACT(Metadata!E253,"b")))</f>
        <v>0</v>
      </c>
      <c r="U253" t="b">
        <f>OR(AND(IF(Metadata!F253="",FALSE,TRUE),OR(EXACT(Metadata!F253,"missing: not collected"),EXACT(Metadata!F253,"missing: not provided"))),AND(IF(Metadata!F253="",FALSE,TRUE),OR(EXACT(Metadata!F253,"lo"),EXACT(Metadata!F253,"med"),EXACT(Metadata!F253,"hi"))))</f>
        <v>0</v>
      </c>
    </row>
    <row r="254" spans="1:21" x14ac:dyDescent="0.2">
      <c r="A254" s="4" t="str">
        <f ca="1">IF(B254=" "," ",HYPERLINK(CONCATENATE("#metadata!",ADDRESS(INDEX($L$2:$L$1001,MATCH(ROWS($J$2:J254),$J$2:$J$1001,0),0),1)),INDEX($O$2:$O$1001,MATCH(ROWS($J$2:J254),$J$2:$J$1001,0),0)))</f>
        <v xml:space="preserve"> </v>
      </c>
      <c r="B254" s="3" t="str">
        <f ca="1">IF(OR(INDEX($K$2:$K$1001,MATCH(ROWS($J$2:J254),$J$2:$J$1001,0),1)&gt;=100000,INDEX($Q$1005:$U$1005,1,MATCH(COLUMNS($Q$1006:Q1006),$Q$1006:$U$1006,0))&gt;=100000), " ",IF(INDEX($Q$2:$U$1001,MATCH(ROWS($J$2:J254),$J$2:$J$1001,0),MATCH(COLUMNS($Q$1006:Q1006),$Q$1006:$U$1006,0)), HYPERLINK("#",""), HYPERLINK(CONCATENATE("#Metadata!", ADDRESS(INDEX($L$2:$L$1001,MATCH(ROWS($J$2:J254),$J$2:$J$1001,0),0), INDEX($Q$1004:$U$1004,1,MATCH(COLUMNS($Q$1006:Q1006),$Q$1006:$U$1006,0)))),"Fix")))</f>
        <v xml:space="preserve"> </v>
      </c>
      <c r="C254" s="3" t="str">
        <f ca="1">IF(OR(INDEX($K$2:$K$1001,MATCH(ROWS($J$2:J254),$J$2:$J$1001,0),1)&gt;=100000,INDEX($Q$1005:$U$1005,1,MATCH(COLUMNS($Q$1006:R1006),$Q$1006:$U$1006,0))&gt;=100000), " ",IF(INDEX($Q$2:$U$1001,MATCH(ROWS($J$2:J254),$J$2:$J$1001,0),MATCH(COLUMNS($Q$1006:R1006),$Q$1006:$U$1006,0)), HYPERLINK("#",""), HYPERLINK(CONCATENATE("#Metadata!", ADDRESS(INDEX($L$2:$L$1001,MATCH(ROWS($J$2:J254),$J$2:$J$1001,0),0), INDEX($Q$1004:$U$1004,1,MATCH(COLUMNS($Q$1006:R1006),$Q$1006:$U$1006,0)))),"Fix")))</f>
        <v xml:space="preserve"> </v>
      </c>
      <c r="D254" s="3" t="str">
        <f ca="1">IF(OR(INDEX($K$2:$K$1001,MATCH(ROWS($J$2:J254),$J$2:$J$1001,0),1)&gt;=100000,INDEX($Q$1005:$U$1005,1,MATCH(COLUMNS($Q$1006:S1006),$Q$1006:$U$1006,0))&gt;=100000), " ",IF(INDEX($Q$2:$U$1001,MATCH(ROWS($J$2:J254),$J$2:$J$1001,0),MATCH(COLUMNS($Q$1006:S1006),$Q$1006:$U$1006,0)), HYPERLINK("#",""), HYPERLINK(CONCATENATE("#Metadata!", ADDRESS(INDEX($L$2:$L$1001,MATCH(ROWS($J$2:J254),$J$2:$J$1001,0),0), INDEX($Q$1004:$U$1004,1,MATCH(COLUMNS($Q$1006:S1006),$Q$1006:$U$1006,0)))),"Fix")))</f>
        <v xml:space="preserve"> </v>
      </c>
      <c r="E254" s="3" t="str">
        <f ca="1">IF(OR(INDEX($K$2:$K$1001,MATCH(ROWS($J$2:J254),$J$2:$J$1001,0),1)&gt;=100000,INDEX($Q$1005:$U$1005,1,MATCH(COLUMNS($Q$1006:T1006),$Q$1006:$U$1006,0))&gt;=100000), " ",IF(INDEX($Q$2:$U$1001,MATCH(ROWS($J$2:J254),$J$2:$J$1001,0),MATCH(COLUMNS($Q$1006:T1006),$Q$1006:$U$1006,0)), HYPERLINK("#",""), HYPERLINK(CONCATENATE("#Metadata!", ADDRESS(INDEX($L$2:$L$1001,MATCH(ROWS($J$2:J254),$J$2:$J$1001,0),0), INDEX($Q$1004:$U$1004,1,MATCH(COLUMNS($Q$1006:T1006),$Q$1006:$U$1006,0)))),"Fix")))</f>
        <v xml:space="preserve"> </v>
      </c>
      <c r="F254" s="3" t="str">
        <f ca="1">IF(OR(INDEX($K$2:$K$1001,MATCH(ROWS($J$2:J254),$J$2:$J$1001,0),1)&gt;=100000,INDEX($Q$1005:$U$1005,1,MATCH(COLUMNS($Q$1006:U1006),$Q$1006:$U$1006,0))&gt;=100000), " ",IF(INDEX($Q$2:$U$1001,MATCH(ROWS($J$2:J254),$J$2:$J$1001,0),MATCH(COLUMNS($Q$1006:U1006),$Q$1006:$U$1006,0)), HYPERLINK("#",""), HYPERLINK(CONCATENATE("#Metadata!", ADDRESS(INDEX($L$2:$L$1001,MATCH(ROWS($J$2:J254),$J$2:$J$1001,0),0), INDEX($Q$1004:$U$1004,1,MATCH(COLUMNS($Q$1006:U1006),$Q$1006:$U$1006,0)))),"Fix")))</f>
        <v xml:space="preserve"> </v>
      </c>
      <c r="J254">
        <f ca="1"/>
        <v>253</v>
      </c>
      <c r="K254">
        <v>100254</v>
      </c>
      <c r="L254">
        <v>254</v>
      </c>
      <c r="M254" t="b">
        <f t="shared" si="3"/>
        <v>1</v>
      </c>
      <c r="N254" t="b">
        <f>COUNTBLANK(Metadata!B254:F254)=COLUMNS(Metadata!B254:F254)</f>
        <v>1</v>
      </c>
      <c r="O254" t="str">
        <v/>
      </c>
      <c r="Q254" t="b">
        <f ca="1"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R254" t="b">
        <f>IF(Metadata!C254="",FALSE,TRUE)</f>
        <v>0</v>
      </c>
      <c r="S254" t="b">
        <f>OR(AND(IF(Metadata!D254="",FALSE,TRUE),EXACT(Metadata!D254,"missing: not collected")),AND(IF(Metadata!D254="",FALSE,TRUE),OR(EXACT(Metadata!D254,"t"),EXACT(Metadata!D254,"f"))))</f>
        <v>0</v>
      </c>
      <c r="T254" t="b">
        <f>AND(IF(Metadata!E254="",FALSE,TRUE),OR(EXACT(Metadata!E254,"a"),EXACT(Metadata!E254,"b")))</f>
        <v>0</v>
      </c>
      <c r="U254" t="b">
        <f>OR(AND(IF(Metadata!F254="",FALSE,TRUE),OR(EXACT(Metadata!F254,"missing: not collected"),EXACT(Metadata!F254,"missing: not provided"))),AND(IF(Metadata!F254="",FALSE,TRUE),OR(EXACT(Metadata!F254,"lo"),EXACT(Metadata!F254,"med"),EXACT(Metadata!F254,"hi"))))</f>
        <v>0</v>
      </c>
    </row>
    <row r="255" spans="1:21" x14ac:dyDescent="0.2">
      <c r="A255" s="4" t="str">
        <f ca="1">IF(B255=" "," ",HYPERLINK(CONCATENATE("#metadata!",ADDRESS(INDEX($L$2:$L$1001,MATCH(ROWS($J$2:J255),$J$2:$J$1001,0),0),1)),INDEX($O$2:$O$1001,MATCH(ROWS($J$2:J255),$J$2:$J$1001,0),0)))</f>
        <v xml:space="preserve"> </v>
      </c>
      <c r="B255" s="3" t="str">
        <f ca="1">IF(OR(INDEX($K$2:$K$1001,MATCH(ROWS($J$2:J255),$J$2:$J$1001,0),1)&gt;=100000,INDEX($Q$1005:$U$1005,1,MATCH(COLUMNS($Q$1006:Q1006),$Q$1006:$U$1006,0))&gt;=100000), " ",IF(INDEX($Q$2:$U$1001,MATCH(ROWS($J$2:J255),$J$2:$J$1001,0),MATCH(COLUMNS($Q$1006:Q1006),$Q$1006:$U$1006,0)), HYPERLINK("#",""), HYPERLINK(CONCATENATE("#Metadata!", ADDRESS(INDEX($L$2:$L$1001,MATCH(ROWS($J$2:J255),$J$2:$J$1001,0),0), INDEX($Q$1004:$U$1004,1,MATCH(COLUMNS($Q$1006:Q1006),$Q$1006:$U$1006,0)))),"Fix")))</f>
        <v xml:space="preserve"> </v>
      </c>
      <c r="C255" s="3" t="str">
        <f ca="1">IF(OR(INDEX($K$2:$K$1001,MATCH(ROWS($J$2:J255),$J$2:$J$1001,0),1)&gt;=100000,INDEX($Q$1005:$U$1005,1,MATCH(COLUMNS($Q$1006:R1006),$Q$1006:$U$1006,0))&gt;=100000), " ",IF(INDEX($Q$2:$U$1001,MATCH(ROWS($J$2:J255),$J$2:$J$1001,0),MATCH(COLUMNS($Q$1006:R1006),$Q$1006:$U$1006,0)), HYPERLINK("#",""), HYPERLINK(CONCATENATE("#Metadata!", ADDRESS(INDEX($L$2:$L$1001,MATCH(ROWS($J$2:J255),$J$2:$J$1001,0),0), INDEX($Q$1004:$U$1004,1,MATCH(COLUMNS($Q$1006:R1006),$Q$1006:$U$1006,0)))),"Fix")))</f>
        <v xml:space="preserve"> </v>
      </c>
      <c r="D255" s="3" t="str">
        <f ca="1">IF(OR(INDEX($K$2:$K$1001,MATCH(ROWS($J$2:J255),$J$2:$J$1001,0),1)&gt;=100000,INDEX($Q$1005:$U$1005,1,MATCH(COLUMNS($Q$1006:S1006),$Q$1006:$U$1006,0))&gt;=100000), " ",IF(INDEX($Q$2:$U$1001,MATCH(ROWS($J$2:J255),$J$2:$J$1001,0),MATCH(COLUMNS($Q$1006:S1006),$Q$1006:$U$1006,0)), HYPERLINK("#",""), HYPERLINK(CONCATENATE("#Metadata!", ADDRESS(INDEX($L$2:$L$1001,MATCH(ROWS($J$2:J255),$J$2:$J$1001,0),0), INDEX($Q$1004:$U$1004,1,MATCH(COLUMNS($Q$1006:S1006),$Q$1006:$U$1006,0)))),"Fix")))</f>
        <v xml:space="preserve"> </v>
      </c>
      <c r="E255" s="3" t="str">
        <f ca="1">IF(OR(INDEX($K$2:$K$1001,MATCH(ROWS($J$2:J255),$J$2:$J$1001,0),1)&gt;=100000,INDEX($Q$1005:$U$1005,1,MATCH(COLUMNS($Q$1006:T1006),$Q$1006:$U$1006,0))&gt;=100000), " ",IF(INDEX($Q$2:$U$1001,MATCH(ROWS($J$2:J255),$J$2:$J$1001,0),MATCH(COLUMNS($Q$1006:T1006),$Q$1006:$U$1006,0)), HYPERLINK("#",""), HYPERLINK(CONCATENATE("#Metadata!", ADDRESS(INDEX($L$2:$L$1001,MATCH(ROWS($J$2:J255),$J$2:$J$1001,0),0), INDEX($Q$1004:$U$1004,1,MATCH(COLUMNS($Q$1006:T1006),$Q$1006:$U$1006,0)))),"Fix")))</f>
        <v xml:space="preserve"> </v>
      </c>
      <c r="F255" s="3" t="str">
        <f ca="1">IF(OR(INDEX($K$2:$K$1001,MATCH(ROWS($J$2:J255),$J$2:$J$1001,0),1)&gt;=100000,INDEX($Q$1005:$U$1005,1,MATCH(COLUMNS($Q$1006:U1006),$Q$1006:$U$1006,0))&gt;=100000), " ",IF(INDEX($Q$2:$U$1001,MATCH(ROWS($J$2:J255),$J$2:$J$1001,0),MATCH(COLUMNS($Q$1006:U1006),$Q$1006:$U$1006,0)), HYPERLINK("#",""), HYPERLINK(CONCATENATE("#Metadata!", ADDRESS(INDEX($L$2:$L$1001,MATCH(ROWS($J$2:J255),$J$2:$J$1001,0),0), INDEX($Q$1004:$U$1004,1,MATCH(COLUMNS($Q$1006:U1006),$Q$1006:$U$1006,0)))),"Fix")))</f>
        <v xml:space="preserve"> </v>
      </c>
      <c r="J255">
        <f ca="1"/>
        <v>254</v>
      </c>
      <c r="K255">
        <v>100255</v>
      </c>
      <c r="L255">
        <v>255</v>
      </c>
      <c r="M255" t="b">
        <f t="shared" si="3"/>
        <v>1</v>
      </c>
      <c r="N255" t="b">
        <f>COUNTBLANK(Metadata!B255:F255)=COLUMNS(Metadata!B255:F255)</f>
        <v>1</v>
      </c>
      <c r="O255" t="str">
        <v/>
      </c>
      <c r="Q255" t="b">
        <f ca="1"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R255" t="b">
        <f>IF(Metadata!C255="",FALSE,TRUE)</f>
        <v>0</v>
      </c>
      <c r="S255" t="b">
        <f>OR(AND(IF(Metadata!D255="",FALSE,TRUE),EXACT(Metadata!D255,"missing: not collected")),AND(IF(Metadata!D255="",FALSE,TRUE),OR(EXACT(Metadata!D255,"t"),EXACT(Metadata!D255,"f"))))</f>
        <v>0</v>
      </c>
      <c r="T255" t="b">
        <f>AND(IF(Metadata!E255="",FALSE,TRUE),OR(EXACT(Metadata!E255,"a"),EXACT(Metadata!E255,"b")))</f>
        <v>0</v>
      </c>
      <c r="U255" t="b">
        <f>OR(AND(IF(Metadata!F255="",FALSE,TRUE),OR(EXACT(Metadata!F255,"missing: not collected"),EXACT(Metadata!F255,"missing: not provided"))),AND(IF(Metadata!F255="",FALSE,TRUE),OR(EXACT(Metadata!F255,"lo"),EXACT(Metadata!F255,"med"),EXACT(Metadata!F255,"hi"))))</f>
        <v>0</v>
      </c>
    </row>
    <row r="256" spans="1:21" x14ac:dyDescent="0.2">
      <c r="A256" s="4" t="str">
        <f ca="1">IF(B256=" "," ",HYPERLINK(CONCATENATE("#metadata!",ADDRESS(INDEX($L$2:$L$1001,MATCH(ROWS($J$2:J256),$J$2:$J$1001,0),0),1)),INDEX($O$2:$O$1001,MATCH(ROWS($J$2:J256),$J$2:$J$1001,0),0)))</f>
        <v xml:space="preserve"> </v>
      </c>
      <c r="B256" s="3" t="str">
        <f ca="1">IF(OR(INDEX($K$2:$K$1001,MATCH(ROWS($J$2:J256),$J$2:$J$1001,0),1)&gt;=100000,INDEX($Q$1005:$U$1005,1,MATCH(COLUMNS($Q$1006:Q1006),$Q$1006:$U$1006,0))&gt;=100000), " ",IF(INDEX($Q$2:$U$1001,MATCH(ROWS($J$2:J256),$J$2:$J$1001,0),MATCH(COLUMNS($Q$1006:Q1006),$Q$1006:$U$1006,0)), HYPERLINK("#",""), HYPERLINK(CONCATENATE("#Metadata!", ADDRESS(INDEX($L$2:$L$1001,MATCH(ROWS($J$2:J256),$J$2:$J$1001,0),0), INDEX($Q$1004:$U$1004,1,MATCH(COLUMNS($Q$1006:Q1006),$Q$1006:$U$1006,0)))),"Fix")))</f>
        <v xml:space="preserve"> </v>
      </c>
      <c r="C256" s="3" t="str">
        <f ca="1">IF(OR(INDEX($K$2:$K$1001,MATCH(ROWS($J$2:J256),$J$2:$J$1001,0),1)&gt;=100000,INDEX($Q$1005:$U$1005,1,MATCH(COLUMNS($Q$1006:R1006),$Q$1006:$U$1006,0))&gt;=100000), " ",IF(INDEX($Q$2:$U$1001,MATCH(ROWS($J$2:J256),$J$2:$J$1001,0),MATCH(COLUMNS($Q$1006:R1006),$Q$1006:$U$1006,0)), HYPERLINK("#",""), HYPERLINK(CONCATENATE("#Metadata!", ADDRESS(INDEX($L$2:$L$1001,MATCH(ROWS($J$2:J256),$J$2:$J$1001,0),0), INDEX($Q$1004:$U$1004,1,MATCH(COLUMNS($Q$1006:R1006),$Q$1006:$U$1006,0)))),"Fix")))</f>
        <v xml:space="preserve"> </v>
      </c>
      <c r="D256" s="3" t="str">
        <f ca="1">IF(OR(INDEX($K$2:$K$1001,MATCH(ROWS($J$2:J256),$J$2:$J$1001,0),1)&gt;=100000,INDEX($Q$1005:$U$1005,1,MATCH(COLUMNS($Q$1006:S1006),$Q$1006:$U$1006,0))&gt;=100000), " ",IF(INDEX($Q$2:$U$1001,MATCH(ROWS($J$2:J256),$J$2:$J$1001,0),MATCH(COLUMNS($Q$1006:S1006),$Q$1006:$U$1006,0)), HYPERLINK("#",""), HYPERLINK(CONCATENATE("#Metadata!", ADDRESS(INDEX($L$2:$L$1001,MATCH(ROWS($J$2:J256),$J$2:$J$1001,0),0), INDEX($Q$1004:$U$1004,1,MATCH(COLUMNS($Q$1006:S1006),$Q$1006:$U$1006,0)))),"Fix")))</f>
        <v xml:space="preserve"> </v>
      </c>
      <c r="E256" s="3" t="str">
        <f ca="1">IF(OR(INDEX($K$2:$K$1001,MATCH(ROWS($J$2:J256),$J$2:$J$1001,0),1)&gt;=100000,INDEX($Q$1005:$U$1005,1,MATCH(COLUMNS($Q$1006:T1006),$Q$1006:$U$1006,0))&gt;=100000), " ",IF(INDEX($Q$2:$U$1001,MATCH(ROWS($J$2:J256),$J$2:$J$1001,0),MATCH(COLUMNS($Q$1006:T1006),$Q$1006:$U$1006,0)), HYPERLINK("#",""), HYPERLINK(CONCATENATE("#Metadata!", ADDRESS(INDEX($L$2:$L$1001,MATCH(ROWS($J$2:J256),$J$2:$J$1001,0),0), INDEX($Q$1004:$U$1004,1,MATCH(COLUMNS($Q$1006:T1006),$Q$1006:$U$1006,0)))),"Fix")))</f>
        <v xml:space="preserve"> </v>
      </c>
      <c r="F256" s="3" t="str">
        <f ca="1">IF(OR(INDEX($K$2:$K$1001,MATCH(ROWS($J$2:J256),$J$2:$J$1001,0),1)&gt;=100000,INDEX($Q$1005:$U$1005,1,MATCH(COLUMNS($Q$1006:U1006),$Q$1006:$U$1006,0))&gt;=100000), " ",IF(INDEX($Q$2:$U$1001,MATCH(ROWS($J$2:J256),$J$2:$J$1001,0),MATCH(COLUMNS($Q$1006:U1006),$Q$1006:$U$1006,0)), HYPERLINK("#",""), HYPERLINK(CONCATENATE("#Metadata!", ADDRESS(INDEX($L$2:$L$1001,MATCH(ROWS($J$2:J256),$J$2:$J$1001,0),0), INDEX($Q$1004:$U$1004,1,MATCH(COLUMNS($Q$1006:U1006),$Q$1006:$U$1006,0)))),"Fix")))</f>
        <v xml:space="preserve"> </v>
      </c>
      <c r="J256">
        <f ca="1"/>
        <v>255</v>
      </c>
      <c r="K256">
        <v>100256</v>
      </c>
      <c r="L256">
        <v>256</v>
      </c>
      <c r="M256" t="b">
        <f t="shared" si="3"/>
        <v>1</v>
      </c>
      <c r="N256" t="b">
        <f>COUNTBLANK(Metadata!B256:F256)=COLUMNS(Metadata!B256:F256)</f>
        <v>1</v>
      </c>
      <c r="O256" t="str">
        <v/>
      </c>
      <c r="Q256" t="b">
        <f ca="1"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R256" t="b">
        <f>IF(Metadata!C256="",FALSE,TRUE)</f>
        <v>0</v>
      </c>
      <c r="S256" t="b">
        <f>OR(AND(IF(Metadata!D256="",FALSE,TRUE),EXACT(Metadata!D256,"missing: not collected")),AND(IF(Metadata!D256="",FALSE,TRUE),OR(EXACT(Metadata!D256,"t"),EXACT(Metadata!D256,"f"))))</f>
        <v>0</v>
      </c>
      <c r="T256" t="b">
        <f>AND(IF(Metadata!E256="",FALSE,TRUE),OR(EXACT(Metadata!E256,"a"),EXACT(Metadata!E256,"b")))</f>
        <v>0</v>
      </c>
      <c r="U256" t="b">
        <f>OR(AND(IF(Metadata!F256="",FALSE,TRUE),OR(EXACT(Metadata!F256,"missing: not collected"),EXACT(Metadata!F256,"missing: not provided"))),AND(IF(Metadata!F256="",FALSE,TRUE),OR(EXACT(Metadata!F256,"lo"),EXACT(Metadata!F256,"med"),EXACT(Metadata!F256,"hi"))))</f>
        <v>0</v>
      </c>
    </row>
    <row r="257" spans="1:21" x14ac:dyDescent="0.2">
      <c r="A257" s="4" t="str">
        <f ca="1">IF(B257=" "," ",HYPERLINK(CONCATENATE("#metadata!",ADDRESS(INDEX($L$2:$L$1001,MATCH(ROWS($J$2:J257),$J$2:$J$1001,0),0),1)),INDEX($O$2:$O$1001,MATCH(ROWS($J$2:J257),$J$2:$J$1001,0),0)))</f>
        <v xml:space="preserve"> </v>
      </c>
      <c r="B257" s="3" t="str">
        <f ca="1">IF(OR(INDEX($K$2:$K$1001,MATCH(ROWS($J$2:J257),$J$2:$J$1001,0),1)&gt;=100000,INDEX($Q$1005:$U$1005,1,MATCH(COLUMNS($Q$1006:Q1006),$Q$1006:$U$1006,0))&gt;=100000), " ",IF(INDEX($Q$2:$U$1001,MATCH(ROWS($J$2:J257),$J$2:$J$1001,0),MATCH(COLUMNS($Q$1006:Q1006),$Q$1006:$U$1006,0)), HYPERLINK("#",""), HYPERLINK(CONCATENATE("#Metadata!", ADDRESS(INDEX($L$2:$L$1001,MATCH(ROWS($J$2:J257),$J$2:$J$1001,0),0), INDEX($Q$1004:$U$1004,1,MATCH(COLUMNS($Q$1006:Q1006),$Q$1006:$U$1006,0)))),"Fix")))</f>
        <v xml:space="preserve"> </v>
      </c>
      <c r="C257" s="3" t="str">
        <f ca="1">IF(OR(INDEX($K$2:$K$1001,MATCH(ROWS($J$2:J257),$J$2:$J$1001,0),1)&gt;=100000,INDEX($Q$1005:$U$1005,1,MATCH(COLUMNS($Q$1006:R1006),$Q$1006:$U$1006,0))&gt;=100000), " ",IF(INDEX($Q$2:$U$1001,MATCH(ROWS($J$2:J257),$J$2:$J$1001,0),MATCH(COLUMNS($Q$1006:R1006),$Q$1006:$U$1006,0)), HYPERLINK("#",""), HYPERLINK(CONCATENATE("#Metadata!", ADDRESS(INDEX($L$2:$L$1001,MATCH(ROWS($J$2:J257),$J$2:$J$1001,0),0), INDEX($Q$1004:$U$1004,1,MATCH(COLUMNS($Q$1006:R1006),$Q$1006:$U$1006,0)))),"Fix")))</f>
        <v xml:space="preserve"> </v>
      </c>
      <c r="D257" s="3" t="str">
        <f ca="1">IF(OR(INDEX($K$2:$K$1001,MATCH(ROWS($J$2:J257),$J$2:$J$1001,0),1)&gt;=100000,INDEX($Q$1005:$U$1005,1,MATCH(COLUMNS($Q$1006:S1006),$Q$1006:$U$1006,0))&gt;=100000), " ",IF(INDEX($Q$2:$U$1001,MATCH(ROWS($J$2:J257),$J$2:$J$1001,0),MATCH(COLUMNS($Q$1006:S1006),$Q$1006:$U$1006,0)), HYPERLINK("#",""), HYPERLINK(CONCATENATE("#Metadata!", ADDRESS(INDEX($L$2:$L$1001,MATCH(ROWS($J$2:J257),$J$2:$J$1001,0),0), INDEX($Q$1004:$U$1004,1,MATCH(COLUMNS($Q$1006:S1006),$Q$1006:$U$1006,0)))),"Fix")))</f>
        <v xml:space="preserve"> </v>
      </c>
      <c r="E257" s="3" t="str">
        <f ca="1">IF(OR(INDEX($K$2:$K$1001,MATCH(ROWS($J$2:J257),$J$2:$J$1001,0),1)&gt;=100000,INDEX($Q$1005:$U$1005,1,MATCH(COLUMNS($Q$1006:T1006),$Q$1006:$U$1006,0))&gt;=100000), " ",IF(INDEX($Q$2:$U$1001,MATCH(ROWS($J$2:J257),$J$2:$J$1001,0),MATCH(COLUMNS($Q$1006:T1006),$Q$1006:$U$1006,0)), HYPERLINK("#",""), HYPERLINK(CONCATENATE("#Metadata!", ADDRESS(INDEX($L$2:$L$1001,MATCH(ROWS($J$2:J257),$J$2:$J$1001,0),0), INDEX($Q$1004:$U$1004,1,MATCH(COLUMNS($Q$1006:T1006),$Q$1006:$U$1006,0)))),"Fix")))</f>
        <v xml:space="preserve"> </v>
      </c>
      <c r="F257" s="3" t="str">
        <f ca="1">IF(OR(INDEX($K$2:$K$1001,MATCH(ROWS($J$2:J257),$J$2:$J$1001,0),1)&gt;=100000,INDEX($Q$1005:$U$1005,1,MATCH(COLUMNS($Q$1006:U1006),$Q$1006:$U$1006,0))&gt;=100000), " ",IF(INDEX($Q$2:$U$1001,MATCH(ROWS($J$2:J257),$J$2:$J$1001,0),MATCH(COLUMNS($Q$1006:U1006),$Q$1006:$U$1006,0)), HYPERLINK("#",""), HYPERLINK(CONCATENATE("#Metadata!", ADDRESS(INDEX($L$2:$L$1001,MATCH(ROWS($J$2:J257),$J$2:$J$1001,0),0), INDEX($Q$1004:$U$1004,1,MATCH(COLUMNS($Q$1006:U1006),$Q$1006:$U$1006,0)))),"Fix")))</f>
        <v xml:space="preserve"> </v>
      </c>
      <c r="J257">
        <f ca="1"/>
        <v>256</v>
      </c>
      <c r="K257">
        <v>100257</v>
      </c>
      <c r="L257">
        <v>257</v>
      </c>
      <c r="M257" t="b">
        <f t="shared" si="3"/>
        <v>1</v>
      </c>
      <c r="N257" t="b">
        <f>COUNTBLANK(Metadata!B257:F257)=COLUMNS(Metadata!B257:F257)</f>
        <v>1</v>
      </c>
      <c r="O257" t="str">
        <v/>
      </c>
      <c r="Q257" t="b">
        <f ca="1"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R257" t="b">
        <f>IF(Metadata!C257="",FALSE,TRUE)</f>
        <v>0</v>
      </c>
      <c r="S257" t="b">
        <f>OR(AND(IF(Metadata!D257="",FALSE,TRUE),EXACT(Metadata!D257,"missing: not collected")),AND(IF(Metadata!D257="",FALSE,TRUE),OR(EXACT(Metadata!D257,"t"),EXACT(Metadata!D257,"f"))))</f>
        <v>0</v>
      </c>
      <c r="T257" t="b">
        <f>AND(IF(Metadata!E257="",FALSE,TRUE),OR(EXACT(Metadata!E257,"a"),EXACT(Metadata!E257,"b")))</f>
        <v>0</v>
      </c>
      <c r="U257" t="b">
        <f>OR(AND(IF(Metadata!F257="",FALSE,TRUE),OR(EXACT(Metadata!F257,"missing: not collected"),EXACT(Metadata!F257,"missing: not provided"))),AND(IF(Metadata!F257="",FALSE,TRUE),OR(EXACT(Metadata!F257,"lo"),EXACT(Metadata!F257,"med"),EXACT(Metadata!F257,"hi"))))</f>
        <v>0</v>
      </c>
    </row>
    <row r="258" spans="1:21" x14ac:dyDescent="0.2">
      <c r="A258" s="4" t="str">
        <f ca="1">IF(B258=" "," ",HYPERLINK(CONCATENATE("#metadata!",ADDRESS(INDEX($L$2:$L$1001,MATCH(ROWS($J$2:J258),$J$2:$J$1001,0),0),1)),INDEX($O$2:$O$1001,MATCH(ROWS($J$2:J258),$J$2:$J$1001,0),0)))</f>
        <v xml:space="preserve"> </v>
      </c>
      <c r="B258" s="3" t="str">
        <f ca="1">IF(OR(INDEX($K$2:$K$1001,MATCH(ROWS($J$2:J258),$J$2:$J$1001,0),1)&gt;=100000,INDEX($Q$1005:$U$1005,1,MATCH(COLUMNS($Q$1006:Q1006),$Q$1006:$U$1006,0))&gt;=100000), " ",IF(INDEX($Q$2:$U$1001,MATCH(ROWS($J$2:J258),$J$2:$J$1001,0),MATCH(COLUMNS($Q$1006:Q1006),$Q$1006:$U$1006,0)), HYPERLINK("#",""), HYPERLINK(CONCATENATE("#Metadata!", ADDRESS(INDEX($L$2:$L$1001,MATCH(ROWS($J$2:J258),$J$2:$J$1001,0),0), INDEX($Q$1004:$U$1004,1,MATCH(COLUMNS($Q$1006:Q1006),$Q$1006:$U$1006,0)))),"Fix")))</f>
        <v xml:space="preserve"> </v>
      </c>
      <c r="C258" s="3" t="str">
        <f ca="1">IF(OR(INDEX($K$2:$K$1001,MATCH(ROWS($J$2:J258),$J$2:$J$1001,0),1)&gt;=100000,INDEX($Q$1005:$U$1005,1,MATCH(COLUMNS($Q$1006:R1006),$Q$1006:$U$1006,0))&gt;=100000), " ",IF(INDEX($Q$2:$U$1001,MATCH(ROWS($J$2:J258),$J$2:$J$1001,0),MATCH(COLUMNS($Q$1006:R1006),$Q$1006:$U$1006,0)), HYPERLINK("#",""), HYPERLINK(CONCATENATE("#Metadata!", ADDRESS(INDEX($L$2:$L$1001,MATCH(ROWS($J$2:J258),$J$2:$J$1001,0),0), INDEX($Q$1004:$U$1004,1,MATCH(COLUMNS($Q$1006:R1006),$Q$1006:$U$1006,0)))),"Fix")))</f>
        <v xml:space="preserve"> </v>
      </c>
      <c r="D258" s="3" t="str">
        <f ca="1">IF(OR(INDEX($K$2:$K$1001,MATCH(ROWS($J$2:J258),$J$2:$J$1001,0),1)&gt;=100000,INDEX($Q$1005:$U$1005,1,MATCH(COLUMNS($Q$1006:S1006),$Q$1006:$U$1006,0))&gt;=100000), " ",IF(INDEX($Q$2:$U$1001,MATCH(ROWS($J$2:J258),$J$2:$J$1001,0),MATCH(COLUMNS($Q$1006:S1006),$Q$1006:$U$1006,0)), HYPERLINK("#",""), HYPERLINK(CONCATENATE("#Metadata!", ADDRESS(INDEX($L$2:$L$1001,MATCH(ROWS($J$2:J258),$J$2:$J$1001,0),0), INDEX($Q$1004:$U$1004,1,MATCH(COLUMNS($Q$1006:S1006),$Q$1006:$U$1006,0)))),"Fix")))</f>
        <v xml:space="preserve"> </v>
      </c>
      <c r="E258" s="3" t="str">
        <f ca="1">IF(OR(INDEX($K$2:$K$1001,MATCH(ROWS($J$2:J258),$J$2:$J$1001,0),1)&gt;=100000,INDEX($Q$1005:$U$1005,1,MATCH(COLUMNS($Q$1006:T1006),$Q$1006:$U$1006,0))&gt;=100000), " ",IF(INDEX($Q$2:$U$1001,MATCH(ROWS($J$2:J258),$J$2:$J$1001,0),MATCH(COLUMNS($Q$1006:T1006),$Q$1006:$U$1006,0)), HYPERLINK("#",""), HYPERLINK(CONCATENATE("#Metadata!", ADDRESS(INDEX($L$2:$L$1001,MATCH(ROWS($J$2:J258),$J$2:$J$1001,0),0), INDEX($Q$1004:$U$1004,1,MATCH(COLUMNS($Q$1006:T1006),$Q$1006:$U$1006,0)))),"Fix")))</f>
        <v xml:space="preserve"> </v>
      </c>
      <c r="F258" s="3" t="str">
        <f ca="1">IF(OR(INDEX($K$2:$K$1001,MATCH(ROWS($J$2:J258),$J$2:$J$1001,0),1)&gt;=100000,INDEX($Q$1005:$U$1005,1,MATCH(COLUMNS($Q$1006:U1006),$Q$1006:$U$1006,0))&gt;=100000), " ",IF(INDEX($Q$2:$U$1001,MATCH(ROWS($J$2:J258),$J$2:$J$1001,0),MATCH(COLUMNS($Q$1006:U1006),$Q$1006:$U$1006,0)), HYPERLINK("#",""), HYPERLINK(CONCATENATE("#Metadata!", ADDRESS(INDEX($L$2:$L$1001,MATCH(ROWS($J$2:J258),$J$2:$J$1001,0),0), INDEX($Q$1004:$U$1004,1,MATCH(COLUMNS($Q$1006:U1006),$Q$1006:$U$1006,0)))),"Fix")))</f>
        <v xml:space="preserve"> </v>
      </c>
      <c r="J258">
        <f ca="1"/>
        <v>257</v>
      </c>
      <c r="K258">
        <v>100258</v>
      </c>
      <c r="L258">
        <v>258</v>
      </c>
      <c r="M258" t="b">
        <f t="shared" ref="M258:M321" si="4">IF(N258,TRUE,AND(Q258:U258))</f>
        <v>1</v>
      </c>
      <c r="N258" t="b">
        <f>COUNTBLANK(Metadata!B258:F258)=COLUMNS(Metadata!B258:F258)</f>
        <v>1</v>
      </c>
      <c r="O258" t="str">
        <v/>
      </c>
      <c r="Q258" t="b">
        <f ca="1"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R258" t="b">
        <f>IF(Metadata!C258="",FALSE,TRUE)</f>
        <v>0</v>
      </c>
      <c r="S258" t="b">
        <f>OR(AND(IF(Metadata!D258="",FALSE,TRUE),EXACT(Metadata!D258,"missing: not collected")),AND(IF(Metadata!D258="",FALSE,TRUE),OR(EXACT(Metadata!D258,"t"),EXACT(Metadata!D258,"f"))))</f>
        <v>0</v>
      </c>
      <c r="T258" t="b">
        <f>AND(IF(Metadata!E258="",FALSE,TRUE),OR(EXACT(Metadata!E258,"a"),EXACT(Metadata!E258,"b")))</f>
        <v>0</v>
      </c>
      <c r="U258" t="b">
        <f>OR(AND(IF(Metadata!F258="",FALSE,TRUE),OR(EXACT(Metadata!F258,"missing: not collected"),EXACT(Metadata!F258,"missing: not provided"))),AND(IF(Metadata!F258="",FALSE,TRUE),OR(EXACT(Metadata!F258,"lo"),EXACT(Metadata!F258,"med"),EXACT(Metadata!F258,"hi"))))</f>
        <v>0</v>
      </c>
    </row>
    <row r="259" spans="1:21" x14ac:dyDescent="0.2">
      <c r="A259" s="4" t="str">
        <f ca="1">IF(B259=" "," ",HYPERLINK(CONCATENATE("#metadata!",ADDRESS(INDEX($L$2:$L$1001,MATCH(ROWS($J$2:J259),$J$2:$J$1001,0),0),1)),INDEX($O$2:$O$1001,MATCH(ROWS($J$2:J259),$J$2:$J$1001,0),0)))</f>
        <v xml:space="preserve"> </v>
      </c>
      <c r="B259" s="3" t="str">
        <f ca="1">IF(OR(INDEX($K$2:$K$1001,MATCH(ROWS($J$2:J259),$J$2:$J$1001,0),1)&gt;=100000,INDEX($Q$1005:$U$1005,1,MATCH(COLUMNS($Q$1006:Q1006),$Q$1006:$U$1006,0))&gt;=100000), " ",IF(INDEX($Q$2:$U$1001,MATCH(ROWS($J$2:J259),$J$2:$J$1001,0),MATCH(COLUMNS($Q$1006:Q1006),$Q$1006:$U$1006,0)), HYPERLINK("#",""), HYPERLINK(CONCATENATE("#Metadata!", ADDRESS(INDEX($L$2:$L$1001,MATCH(ROWS($J$2:J259),$J$2:$J$1001,0),0), INDEX($Q$1004:$U$1004,1,MATCH(COLUMNS($Q$1006:Q1006),$Q$1006:$U$1006,0)))),"Fix")))</f>
        <v xml:space="preserve"> </v>
      </c>
      <c r="C259" s="3" t="str">
        <f ca="1">IF(OR(INDEX($K$2:$K$1001,MATCH(ROWS($J$2:J259),$J$2:$J$1001,0),1)&gt;=100000,INDEX($Q$1005:$U$1005,1,MATCH(COLUMNS($Q$1006:R1006),$Q$1006:$U$1006,0))&gt;=100000), " ",IF(INDEX($Q$2:$U$1001,MATCH(ROWS($J$2:J259),$J$2:$J$1001,0),MATCH(COLUMNS($Q$1006:R1006),$Q$1006:$U$1006,0)), HYPERLINK("#",""), HYPERLINK(CONCATENATE("#Metadata!", ADDRESS(INDEX($L$2:$L$1001,MATCH(ROWS($J$2:J259),$J$2:$J$1001,0),0), INDEX($Q$1004:$U$1004,1,MATCH(COLUMNS($Q$1006:R1006),$Q$1006:$U$1006,0)))),"Fix")))</f>
        <v xml:space="preserve"> </v>
      </c>
      <c r="D259" s="3" t="str">
        <f ca="1">IF(OR(INDEX($K$2:$K$1001,MATCH(ROWS($J$2:J259),$J$2:$J$1001,0),1)&gt;=100000,INDEX($Q$1005:$U$1005,1,MATCH(COLUMNS($Q$1006:S1006),$Q$1006:$U$1006,0))&gt;=100000), " ",IF(INDEX($Q$2:$U$1001,MATCH(ROWS($J$2:J259),$J$2:$J$1001,0),MATCH(COLUMNS($Q$1006:S1006),$Q$1006:$U$1006,0)), HYPERLINK("#",""), HYPERLINK(CONCATENATE("#Metadata!", ADDRESS(INDEX($L$2:$L$1001,MATCH(ROWS($J$2:J259),$J$2:$J$1001,0),0), INDEX($Q$1004:$U$1004,1,MATCH(COLUMNS($Q$1006:S1006),$Q$1006:$U$1006,0)))),"Fix")))</f>
        <v xml:space="preserve"> </v>
      </c>
      <c r="E259" s="3" t="str">
        <f ca="1">IF(OR(INDEX($K$2:$K$1001,MATCH(ROWS($J$2:J259),$J$2:$J$1001,0),1)&gt;=100000,INDEX($Q$1005:$U$1005,1,MATCH(COLUMNS($Q$1006:T1006),$Q$1006:$U$1006,0))&gt;=100000), " ",IF(INDEX($Q$2:$U$1001,MATCH(ROWS($J$2:J259),$J$2:$J$1001,0),MATCH(COLUMNS($Q$1006:T1006),$Q$1006:$U$1006,0)), HYPERLINK("#",""), HYPERLINK(CONCATENATE("#Metadata!", ADDRESS(INDEX($L$2:$L$1001,MATCH(ROWS($J$2:J259),$J$2:$J$1001,0),0), INDEX($Q$1004:$U$1004,1,MATCH(COLUMNS($Q$1006:T1006),$Q$1006:$U$1006,0)))),"Fix")))</f>
        <v xml:space="preserve"> </v>
      </c>
      <c r="F259" s="3" t="str">
        <f ca="1">IF(OR(INDEX($K$2:$K$1001,MATCH(ROWS($J$2:J259),$J$2:$J$1001,0),1)&gt;=100000,INDEX($Q$1005:$U$1005,1,MATCH(COLUMNS($Q$1006:U1006),$Q$1006:$U$1006,0))&gt;=100000), " ",IF(INDEX($Q$2:$U$1001,MATCH(ROWS($J$2:J259),$J$2:$J$1001,0),MATCH(COLUMNS($Q$1006:U1006),$Q$1006:$U$1006,0)), HYPERLINK("#",""), HYPERLINK(CONCATENATE("#Metadata!", ADDRESS(INDEX($L$2:$L$1001,MATCH(ROWS($J$2:J259),$J$2:$J$1001,0),0), INDEX($Q$1004:$U$1004,1,MATCH(COLUMNS($Q$1006:U1006),$Q$1006:$U$1006,0)))),"Fix")))</f>
        <v xml:space="preserve"> </v>
      </c>
      <c r="J259">
        <f ca="1"/>
        <v>258</v>
      </c>
      <c r="K259">
        <v>100259</v>
      </c>
      <c r="L259">
        <v>259</v>
      </c>
      <c r="M259" t="b">
        <f t="shared" si="4"/>
        <v>1</v>
      </c>
      <c r="N259" t="b">
        <f>COUNTBLANK(Metadata!B259:F259)=COLUMNS(Metadata!B259:F259)</f>
        <v>1</v>
      </c>
      <c r="O259" t="str">
        <v/>
      </c>
      <c r="Q259" t="b">
        <f ca="1"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R259" t="b">
        <f>IF(Metadata!C259="",FALSE,TRUE)</f>
        <v>0</v>
      </c>
      <c r="S259" t="b">
        <f>OR(AND(IF(Metadata!D259="",FALSE,TRUE),EXACT(Metadata!D259,"missing: not collected")),AND(IF(Metadata!D259="",FALSE,TRUE),OR(EXACT(Metadata!D259,"t"),EXACT(Metadata!D259,"f"))))</f>
        <v>0</v>
      </c>
      <c r="T259" t="b">
        <f>AND(IF(Metadata!E259="",FALSE,TRUE),OR(EXACT(Metadata!E259,"a"),EXACT(Metadata!E259,"b")))</f>
        <v>0</v>
      </c>
      <c r="U259" t="b">
        <f>OR(AND(IF(Metadata!F259="",FALSE,TRUE),OR(EXACT(Metadata!F259,"missing: not collected"),EXACT(Metadata!F259,"missing: not provided"))),AND(IF(Metadata!F259="",FALSE,TRUE),OR(EXACT(Metadata!F259,"lo"),EXACT(Metadata!F259,"med"),EXACT(Metadata!F259,"hi"))))</f>
        <v>0</v>
      </c>
    </row>
    <row r="260" spans="1:21" x14ac:dyDescent="0.2">
      <c r="A260" s="4" t="str">
        <f ca="1">IF(B260=" "," ",HYPERLINK(CONCATENATE("#metadata!",ADDRESS(INDEX($L$2:$L$1001,MATCH(ROWS($J$2:J260),$J$2:$J$1001,0),0),1)),INDEX($O$2:$O$1001,MATCH(ROWS($J$2:J260),$J$2:$J$1001,0),0)))</f>
        <v xml:space="preserve"> </v>
      </c>
      <c r="B260" s="3" t="str">
        <f ca="1">IF(OR(INDEX($K$2:$K$1001,MATCH(ROWS($J$2:J260),$J$2:$J$1001,0),1)&gt;=100000,INDEX($Q$1005:$U$1005,1,MATCH(COLUMNS($Q$1006:Q1006),$Q$1006:$U$1006,0))&gt;=100000), " ",IF(INDEX($Q$2:$U$1001,MATCH(ROWS($J$2:J260),$J$2:$J$1001,0),MATCH(COLUMNS($Q$1006:Q1006),$Q$1006:$U$1006,0)), HYPERLINK("#",""), HYPERLINK(CONCATENATE("#Metadata!", ADDRESS(INDEX($L$2:$L$1001,MATCH(ROWS($J$2:J260),$J$2:$J$1001,0),0), INDEX($Q$1004:$U$1004,1,MATCH(COLUMNS($Q$1006:Q1006),$Q$1006:$U$1006,0)))),"Fix")))</f>
        <v xml:space="preserve"> </v>
      </c>
      <c r="C260" s="3" t="str">
        <f ca="1">IF(OR(INDEX($K$2:$K$1001,MATCH(ROWS($J$2:J260),$J$2:$J$1001,0),1)&gt;=100000,INDEX($Q$1005:$U$1005,1,MATCH(COLUMNS($Q$1006:R1006),$Q$1006:$U$1006,0))&gt;=100000), " ",IF(INDEX($Q$2:$U$1001,MATCH(ROWS($J$2:J260),$J$2:$J$1001,0),MATCH(COLUMNS($Q$1006:R1006),$Q$1006:$U$1006,0)), HYPERLINK("#",""), HYPERLINK(CONCATENATE("#Metadata!", ADDRESS(INDEX($L$2:$L$1001,MATCH(ROWS($J$2:J260),$J$2:$J$1001,0),0), INDEX($Q$1004:$U$1004,1,MATCH(COLUMNS($Q$1006:R1006),$Q$1006:$U$1006,0)))),"Fix")))</f>
        <v xml:space="preserve"> </v>
      </c>
      <c r="D260" s="3" t="str">
        <f ca="1">IF(OR(INDEX($K$2:$K$1001,MATCH(ROWS($J$2:J260),$J$2:$J$1001,0),1)&gt;=100000,INDEX($Q$1005:$U$1005,1,MATCH(COLUMNS($Q$1006:S1006),$Q$1006:$U$1006,0))&gt;=100000), " ",IF(INDEX($Q$2:$U$1001,MATCH(ROWS($J$2:J260),$J$2:$J$1001,0),MATCH(COLUMNS($Q$1006:S1006),$Q$1006:$U$1006,0)), HYPERLINK("#",""), HYPERLINK(CONCATENATE("#Metadata!", ADDRESS(INDEX($L$2:$L$1001,MATCH(ROWS($J$2:J260),$J$2:$J$1001,0),0), INDEX($Q$1004:$U$1004,1,MATCH(COLUMNS($Q$1006:S1006),$Q$1006:$U$1006,0)))),"Fix")))</f>
        <v xml:space="preserve"> </v>
      </c>
      <c r="E260" s="3" t="str">
        <f ca="1">IF(OR(INDEX($K$2:$K$1001,MATCH(ROWS($J$2:J260),$J$2:$J$1001,0),1)&gt;=100000,INDEX($Q$1005:$U$1005,1,MATCH(COLUMNS($Q$1006:T1006),$Q$1006:$U$1006,0))&gt;=100000), " ",IF(INDEX($Q$2:$U$1001,MATCH(ROWS($J$2:J260),$J$2:$J$1001,0),MATCH(COLUMNS($Q$1006:T1006),$Q$1006:$U$1006,0)), HYPERLINK("#",""), HYPERLINK(CONCATENATE("#Metadata!", ADDRESS(INDEX($L$2:$L$1001,MATCH(ROWS($J$2:J260),$J$2:$J$1001,0),0), INDEX($Q$1004:$U$1004,1,MATCH(COLUMNS($Q$1006:T1006),$Q$1006:$U$1006,0)))),"Fix")))</f>
        <v xml:space="preserve"> </v>
      </c>
      <c r="F260" s="3" t="str">
        <f ca="1">IF(OR(INDEX($K$2:$K$1001,MATCH(ROWS($J$2:J260),$J$2:$J$1001,0),1)&gt;=100000,INDEX($Q$1005:$U$1005,1,MATCH(COLUMNS($Q$1006:U1006),$Q$1006:$U$1006,0))&gt;=100000), " ",IF(INDEX($Q$2:$U$1001,MATCH(ROWS($J$2:J260),$J$2:$J$1001,0),MATCH(COLUMNS($Q$1006:U1006),$Q$1006:$U$1006,0)), HYPERLINK("#",""), HYPERLINK(CONCATENATE("#Metadata!", ADDRESS(INDEX($L$2:$L$1001,MATCH(ROWS($J$2:J260),$J$2:$J$1001,0),0), INDEX($Q$1004:$U$1004,1,MATCH(COLUMNS($Q$1006:U1006),$Q$1006:$U$1006,0)))),"Fix")))</f>
        <v xml:space="preserve"> </v>
      </c>
      <c r="J260">
        <f ca="1"/>
        <v>259</v>
      </c>
      <c r="K260">
        <v>100260</v>
      </c>
      <c r="L260">
        <v>260</v>
      </c>
      <c r="M260" t="b">
        <f t="shared" si="4"/>
        <v>1</v>
      </c>
      <c r="N260" t="b">
        <f>COUNTBLANK(Metadata!B260:F260)=COLUMNS(Metadata!B260:F260)</f>
        <v>1</v>
      </c>
      <c r="O260" t="str">
        <v/>
      </c>
      <c r="Q260" t="b">
        <f ca="1"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R260" t="b">
        <f>IF(Metadata!C260="",FALSE,TRUE)</f>
        <v>0</v>
      </c>
      <c r="S260" t="b">
        <f>OR(AND(IF(Metadata!D260="",FALSE,TRUE),EXACT(Metadata!D260,"missing: not collected")),AND(IF(Metadata!D260="",FALSE,TRUE),OR(EXACT(Metadata!D260,"t"),EXACT(Metadata!D260,"f"))))</f>
        <v>0</v>
      </c>
      <c r="T260" t="b">
        <f>AND(IF(Metadata!E260="",FALSE,TRUE),OR(EXACT(Metadata!E260,"a"),EXACT(Metadata!E260,"b")))</f>
        <v>0</v>
      </c>
      <c r="U260" t="b">
        <f>OR(AND(IF(Metadata!F260="",FALSE,TRUE),OR(EXACT(Metadata!F260,"missing: not collected"),EXACT(Metadata!F260,"missing: not provided"))),AND(IF(Metadata!F260="",FALSE,TRUE),OR(EXACT(Metadata!F260,"lo"),EXACT(Metadata!F260,"med"),EXACT(Metadata!F260,"hi"))))</f>
        <v>0</v>
      </c>
    </row>
    <row r="261" spans="1:21" x14ac:dyDescent="0.2">
      <c r="A261" s="4" t="str">
        <f ca="1">IF(B261=" "," ",HYPERLINK(CONCATENATE("#metadata!",ADDRESS(INDEX($L$2:$L$1001,MATCH(ROWS($J$2:J261),$J$2:$J$1001,0),0),1)),INDEX($O$2:$O$1001,MATCH(ROWS($J$2:J261),$J$2:$J$1001,0),0)))</f>
        <v xml:space="preserve"> </v>
      </c>
      <c r="B261" s="3" t="str">
        <f ca="1">IF(OR(INDEX($K$2:$K$1001,MATCH(ROWS($J$2:J261),$J$2:$J$1001,0),1)&gt;=100000,INDEX($Q$1005:$U$1005,1,MATCH(COLUMNS($Q$1006:Q1006),$Q$1006:$U$1006,0))&gt;=100000), " ",IF(INDEX($Q$2:$U$1001,MATCH(ROWS($J$2:J261),$J$2:$J$1001,0),MATCH(COLUMNS($Q$1006:Q1006),$Q$1006:$U$1006,0)), HYPERLINK("#",""), HYPERLINK(CONCATENATE("#Metadata!", ADDRESS(INDEX($L$2:$L$1001,MATCH(ROWS($J$2:J261),$J$2:$J$1001,0),0), INDEX($Q$1004:$U$1004,1,MATCH(COLUMNS($Q$1006:Q1006),$Q$1006:$U$1006,0)))),"Fix")))</f>
        <v xml:space="preserve"> </v>
      </c>
      <c r="C261" s="3" t="str">
        <f ca="1">IF(OR(INDEX($K$2:$K$1001,MATCH(ROWS($J$2:J261),$J$2:$J$1001,0),1)&gt;=100000,INDEX($Q$1005:$U$1005,1,MATCH(COLUMNS($Q$1006:R1006),$Q$1006:$U$1006,0))&gt;=100000), " ",IF(INDEX($Q$2:$U$1001,MATCH(ROWS($J$2:J261),$J$2:$J$1001,0),MATCH(COLUMNS($Q$1006:R1006),$Q$1006:$U$1006,0)), HYPERLINK("#",""), HYPERLINK(CONCATENATE("#Metadata!", ADDRESS(INDEX($L$2:$L$1001,MATCH(ROWS($J$2:J261),$J$2:$J$1001,0),0), INDEX($Q$1004:$U$1004,1,MATCH(COLUMNS($Q$1006:R1006),$Q$1006:$U$1006,0)))),"Fix")))</f>
        <v xml:space="preserve"> </v>
      </c>
      <c r="D261" s="3" t="str">
        <f ca="1">IF(OR(INDEX($K$2:$K$1001,MATCH(ROWS($J$2:J261),$J$2:$J$1001,0),1)&gt;=100000,INDEX($Q$1005:$U$1005,1,MATCH(COLUMNS($Q$1006:S1006),$Q$1006:$U$1006,0))&gt;=100000), " ",IF(INDEX($Q$2:$U$1001,MATCH(ROWS($J$2:J261),$J$2:$J$1001,0),MATCH(COLUMNS($Q$1006:S1006),$Q$1006:$U$1006,0)), HYPERLINK("#",""), HYPERLINK(CONCATENATE("#Metadata!", ADDRESS(INDEX($L$2:$L$1001,MATCH(ROWS($J$2:J261),$J$2:$J$1001,0),0), INDEX($Q$1004:$U$1004,1,MATCH(COLUMNS($Q$1006:S1006),$Q$1006:$U$1006,0)))),"Fix")))</f>
        <v xml:space="preserve"> </v>
      </c>
      <c r="E261" s="3" t="str">
        <f ca="1">IF(OR(INDEX($K$2:$K$1001,MATCH(ROWS($J$2:J261),$J$2:$J$1001,0),1)&gt;=100000,INDEX($Q$1005:$U$1005,1,MATCH(COLUMNS($Q$1006:T1006),$Q$1006:$U$1006,0))&gt;=100000), " ",IF(INDEX($Q$2:$U$1001,MATCH(ROWS($J$2:J261),$J$2:$J$1001,0),MATCH(COLUMNS($Q$1006:T1006),$Q$1006:$U$1006,0)), HYPERLINK("#",""), HYPERLINK(CONCATENATE("#Metadata!", ADDRESS(INDEX($L$2:$L$1001,MATCH(ROWS($J$2:J261),$J$2:$J$1001,0),0), INDEX($Q$1004:$U$1004,1,MATCH(COLUMNS($Q$1006:T1006),$Q$1006:$U$1006,0)))),"Fix")))</f>
        <v xml:space="preserve"> </v>
      </c>
      <c r="F261" s="3" t="str">
        <f ca="1">IF(OR(INDEX($K$2:$K$1001,MATCH(ROWS($J$2:J261),$J$2:$J$1001,0),1)&gt;=100000,INDEX($Q$1005:$U$1005,1,MATCH(COLUMNS($Q$1006:U1006),$Q$1006:$U$1006,0))&gt;=100000), " ",IF(INDEX($Q$2:$U$1001,MATCH(ROWS($J$2:J261),$J$2:$J$1001,0),MATCH(COLUMNS($Q$1006:U1006),$Q$1006:$U$1006,0)), HYPERLINK("#",""), HYPERLINK(CONCATENATE("#Metadata!", ADDRESS(INDEX($L$2:$L$1001,MATCH(ROWS($J$2:J261),$J$2:$J$1001,0),0), INDEX($Q$1004:$U$1004,1,MATCH(COLUMNS($Q$1006:U1006),$Q$1006:$U$1006,0)))),"Fix")))</f>
        <v xml:space="preserve"> </v>
      </c>
      <c r="J261">
        <f ca="1"/>
        <v>260</v>
      </c>
      <c r="K261">
        <v>100261</v>
      </c>
      <c r="L261">
        <v>261</v>
      </c>
      <c r="M261" t="b">
        <f t="shared" si="4"/>
        <v>1</v>
      </c>
      <c r="N261" t="b">
        <f>COUNTBLANK(Metadata!B261:F261)=COLUMNS(Metadata!B261:F261)</f>
        <v>1</v>
      </c>
      <c r="O261" t="str">
        <v/>
      </c>
      <c r="Q261" t="b">
        <f ca="1"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R261" t="b">
        <f>IF(Metadata!C261="",FALSE,TRUE)</f>
        <v>0</v>
      </c>
      <c r="S261" t="b">
        <f>OR(AND(IF(Metadata!D261="",FALSE,TRUE),EXACT(Metadata!D261,"missing: not collected")),AND(IF(Metadata!D261="",FALSE,TRUE),OR(EXACT(Metadata!D261,"t"),EXACT(Metadata!D261,"f"))))</f>
        <v>0</v>
      </c>
      <c r="T261" t="b">
        <f>AND(IF(Metadata!E261="",FALSE,TRUE),OR(EXACT(Metadata!E261,"a"),EXACT(Metadata!E261,"b")))</f>
        <v>0</v>
      </c>
      <c r="U261" t="b">
        <f>OR(AND(IF(Metadata!F261="",FALSE,TRUE),OR(EXACT(Metadata!F261,"missing: not collected"),EXACT(Metadata!F261,"missing: not provided"))),AND(IF(Metadata!F261="",FALSE,TRUE),OR(EXACT(Metadata!F261,"lo"),EXACT(Metadata!F261,"med"),EXACT(Metadata!F261,"hi"))))</f>
        <v>0</v>
      </c>
    </row>
    <row r="262" spans="1:21" x14ac:dyDescent="0.2">
      <c r="A262" s="4" t="str">
        <f ca="1">IF(B262=" "," ",HYPERLINK(CONCATENATE("#metadata!",ADDRESS(INDEX($L$2:$L$1001,MATCH(ROWS($J$2:J262),$J$2:$J$1001,0),0),1)),INDEX($O$2:$O$1001,MATCH(ROWS($J$2:J262),$J$2:$J$1001,0),0)))</f>
        <v xml:space="preserve"> </v>
      </c>
      <c r="B262" s="3" t="str">
        <f ca="1">IF(OR(INDEX($K$2:$K$1001,MATCH(ROWS($J$2:J262),$J$2:$J$1001,0),1)&gt;=100000,INDEX($Q$1005:$U$1005,1,MATCH(COLUMNS($Q$1006:Q1006),$Q$1006:$U$1006,0))&gt;=100000), " ",IF(INDEX($Q$2:$U$1001,MATCH(ROWS($J$2:J262),$J$2:$J$1001,0),MATCH(COLUMNS($Q$1006:Q1006),$Q$1006:$U$1006,0)), HYPERLINK("#",""), HYPERLINK(CONCATENATE("#Metadata!", ADDRESS(INDEX($L$2:$L$1001,MATCH(ROWS($J$2:J262),$J$2:$J$1001,0),0), INDEX($Q$1004:$U$1004,1,MATCH(COLUMNS($Q$1006:Q1006),$Q$1006:$U$1006,0)))),"Fix")))</f>
        <v xml:space="preserve"> </v>
      </c>
      <c r="C262" s="3" t="str">
        <f ca="1">IF(OR(INDEX($K$2:$K$1001,MATCH(ROWS($J$2:J262),$J$2:$J$1001,0),1)&gt;=100000,INDEX($Q$1005:$U$1005,1,MATCH(COLUMNS($Q$1006:R1006),$Q$1006:$U$1006,0))&gt;=100000), " ",IF(INDEX($Q$2:$U$1001,MATCH(ROWS($J$2:J262),$J$2:$J$1001,0),MATCH(COLUMNS($Q$1006:R1006),$Q$1006:$U$1006,0)), HYPERLINK("#",""), HYPERLINK(CONCATENATE("#Metadata!", ADDRESS(INDEX($L$2:$L$1001,MATCH(ROWS($J$2:J262),$J$2:$J$1001,0),0), INDEX($Q$1004:$U$1004,1,MATCH(COLUMNS($Q$1006:R1006),$Q$1006:$U$1006,0)))),"Fix")))</f>
        <v xml:space="preserve"> </v>
      </c>
      <c r="D262" s="3" t="str">
        <f ca="1">IF(OR(INDEX($K$2:$K$1001,MATCH(ROWS($J$2:J262),$J$2:$J$1001,0),1)&gt;=100000,INDEX($Q$1005:$U$1005,1,MATCH(COLUMNS($Q$1006:S1006),$Q$1006:$U$1006,0))&gt;=100000), " ",IF(INDEX($Q$2:$U$1001,MATCH(ROWS($J$2:J262),$J$2:$J$1001,0),MATCH(COLUMNS($Q$1006:S1006),$Q$1006:$U$1006,0)), HYPERLINK("#",""), HYPERLINK(CONCATENATE("#Metadata!", ADDRESS(INDEX($L$2:$L$1001,MATCH(ROWS($J$2:J262),$J$2:$J$1001,0),0), INDEX($Q$1004:$U$1004,1,MATCH(COLUMNS($Q$1006:S1006),$Q$1006:$U$1006,0)))),"Fix")))</f>
        <v xml:space="preserve"> </v>
      </c>
      <c r="E262" s="3" t="str">
        <f ca="1">IF(OR(INDEX($K$2:$K$1001,MATCH(ROWS($J$2:J262),$J$2:$J$1001,0),1)&gt;=100000,INDEX($Q$1005:$U$1005,1,MATCH(COLUMNS($Q$1006:T1006),$Q$1006:$U$1006,0))&gt;=100000), " ",IF(INDEX($Q$2:$U$1001,MATCH(ROWS($J$2:J262),$J$2:$J$1001,0),MATCH(COLUMNS($Q$1006:T1006),$Q$1006:$U$1006,0)), HYPERLINK("#",""), HYPERLINK(CONCATENATE("#Metadata!", ADDRESS(INDEX($L$2:$L$1001,MATCH(ROWS($J$2:J262),$J$2:$J$1001,0),0), INDEX($Q$1004:$U$1004,1,MATCH(COLUMNS($Q$1006:T1006),$Q$1006:$U$1006,0)))),"Fix")))</f>
        <v xml:space="preserve"> </v>
      </c>
      <c r="F262" s="3" t="str">
        <f ca="1">IF(OR(INDEX($K$2:$K$1001,MATCH(ROWS($J$2:J262),$J$2:$J$1001,0),1)&gt;=100000,INDEX($Q$1005:$U$1005,1,MATCH(COLUMNS($Q$1006:U1006),$Q$1006:$U$1006,0))&gt;=100000), " ",IF(INDEX($Q$2:$U$1001,MATCH(ROWS($J$2:J262),$J$2:$J$1001,0),MATCH(COLUMNS($Q$1006:U1006),$Q$1006:$U$1006,0)), HYPERLINK("#",""), HYPERLINK(CONCATENATE("#Metadata!", ADDRESS(INDEX($L$2:$L$1001,MATCH(ROWS($J$2:J262),$J$2:$J$1001,0),0), INDEX($Q$1004:$U$1004,1,MATCH(COLUMNS($Q$1006:U1006),$Q$1006:$U$1006,0)))),"Fix")))</f>
        <v xml:space="preserve"> </v>
      </c>
      <c r="J262">
        <f ca="1"/>
        <v>261</v>
      </c>
      <c r="K262">
        <v>100262</v>
      </c>
      <c r="L262">
        <v>262</v>
      </c>
      <c r="M262" t="b">
        <f t="shared" si="4"/>
        <v>1</v>
      </c>
      <c r="N262" t="b">
        <f>COUNTBLANK(Metadata!B262:F262)=COLUMNS(Metadata!B262:F262)</f>
        <v>1</v>
      </c>
      <c r="O262" t="str">
        <v/>
      </c>
      <c r="Q262" t="b">
        <f ca="1"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R262" t="b">
        <f>IF(Metadata!C262="",FALSE,TRUE)</f>
        <v>0</v>
      </c>
      <c r="S262" t="b">
        <f>OR(AND(IF(Metadata!D262="",FALSE,TRUE),EXACT(Metadata!D262,"missing: not collected")),AND(IF(Metadata!D262="",FALSE,TRUE),OR(EXACT(Metadata!D262,"t"),EXACT(Metadata!D262,"f"))))</f>
        <v>0</v>
      </c>
      <c r="T262" t="b">
        <f>AND(IF(Metadata!E262="",FALSE,TRUE),OR(EXACT(Metadata!E262,"a"),EXACT(Metadata!E262,"b")))</f>
        <v>0</v>
      </c>
      <c r="U262" t="b">
        <f>OR(AND(IF(Metadata!F262="",FALSE,TRUE),OR(EXACT(Metadata!F262,"missing: not collected"),EXACT(Metadata!F262,"missing: not provided"))),AND(IF(Metadata!F262="",FALSE,TRUE),OR(EXACT(Metadata!F262,"lo"),EXACT(Metadata!F262,"med"),EXACT(Metadata!F262,"hi"))))</f>
        <v>0</v>
      </c>
    </row>
    <row r="263" spans="1:21" x14ac:dyDescent="0.2">
      <c r="A263" s="4" t="str">
        <f ca="1">IF(B263=" "," ",HYPERLINK(CONCATENATE("#metadata!",ADDRESS(INDEX($L$2:$L$1001,MATCH(ROWS($J$2:J263),$J$2:$J$1001,0),0),1)),INDEX($O$2:$O$1001,MATCH(ROWS($J$2:J263),$J$2:$J$1001,0),0)))</f>
        <v xml:space="preserve"> </v>
      </c>
      <c r="B263" s="3" t="str">
        <f ca="1">IF(OR(INDEX($K$2:$K$1001,MATCH(ROWS($J$2:J263),$J$2:$J$1001,0),1)&gt;=100000,INDEX($Q$1005:$U$1005,1,MATCH(COLUMNS($Q$1006:Q1006),$Q$1006:$U$1006,0))&gt;=100000), " ",IF(INDEX($Q$2:$U$1001,MATCH(ROWS($J$2:J263),$J$2:$J$1001,0),MATCH(COLUMNS($Q$1006:Q1006),$Q$1006:$U$1006,0)), HYPERLINK("#",""), HYPERLINK(CONCATENATE("#Metadata!", ADDRESS(INDEX($L$2:$L$1001,MATCH(ROWS($J$2:J263),$J$2:$J$1001,0),0), INDEX($Q$1004:$U$1004,1,MATCH(COLUMNS($Q$1006:Q1006),$Q$1006:$U$1006,0)))),"Fix")))</f>
        <v xml:space="preserve"> </v>
      </c>
      <c r="C263" s="3" t="str">
        <f ca="1">IF(OR(INDEX($K$2:$K$1001,MATCH(ROWS($J$2:J263),$J$2:$J$1001,0),1)&gt;=100000,INDEX($Q$1005:$U$1005,1,MATCH(COLUMNS($Q$1006:R1006),$Q$1006:$U$1006,0))&gt;=100000), " ",IF(INDEX($Q$2:$U$1001,MATCH(ROWS($J$2:J263),$J$2:$J$1001,0),MATCH(COLUMNS($Q$1006:R1006),$Q$1006:$U$1006,0)), HYPERLINK("#",""), HYPERLINK(CONCATENATE("#Metadata!", ADDRESS(INDEX($L$2:$L$1001,MATCH(ROWS($J$2:J263),$J$2:$J$1001,0),0), INDEX($Q$1004:$U$1004,1,MATCH(COLUMNS($Q$1006:R1006),$Q$1006:$U$1006,0)))),"Fix")))</f>
        <v xml:space="preserve"> </v>
      </c>
      <c r="D263" s="3" t="str">
        <f ca="1">IF(OR(INDEX($K$2:$K$1001,MATCH(ROWS($J$2:J263),$J$2:$J$1001,0),1)&gt;=100000,INDEX($Q$1005:$U$1005,1,MATCH(COLUMNS($Q$1006:S1006),$Q$1006:$U$1006,0))&gt;=100000), " ",IF(INDEX($Q$2:$U$1001,MATCH(ROWS($J$2:J263),$J$2:$J$1001,0),MATCH(COLUMNS($Q$1006:S1006),$Q$1006:$U$1006,0)), HYPERLINK("#",""), HYPERLINK(CONCATENATE("#Metadata!", ADDRESS(INDEX($L$2:$L$1001,MATCH(ROWS($J$2:J263),$J$2:$J$1001,0),0), INDEX($Q$1004:$U$1004,1,MATCH(COLUMNS($Q$1006:S1006),$Q$1006:$U$1006,0)))),"Fix")))</f>
        <v xml:space="preserve"> </v>
      </c>
      <c r="E263" s="3" t="str">
        <f ca="1">IF(OR(INDEX($K$2:$K$1001,MATCH(ROWS($J$2:J263),$J$2:$J$1001,0),1)&gt;=100000,INDEX($Q$1005:$U$1005,1,MATCH(COLUMNS($Q$1006:T1006),$Q$1006:$U$1006,0))&gt;=100000), " ",IF(INDEX($Q$2:$U$1001,MATCH(ROWS($J$2:J263),$J$2:$J$1001,0),MATCH(COLUMNS($Q$1006:T1006),$Q$1006:$U$1006,0)), HYPERLINK("#",""), HYPERLINK(CONCATENATE("#Metadata!", ADDRESS(INDEX($L$2:$L$1001,MATCH(ROWS($J$2:J263),$J$2:$J$1001,0),0), INDEX($Q$1004:$U$1004,1,MATCH(COLUMNS($Q$1006:T1006),$Q$1006:$U$1006,0)))),"Fix")))</f>
        <v xml:space="preserve"> </v>
      </c>
      <c r="F263" s="3" t="str">
        <f ca="1">IF(OR(INDEX($K$2:$K$1001,MATCH(ROWS($J$2:J263),$J$2:$J$1001,0),1)&gt;=100000,INDEX($Q$1005:$U$1005,1,MATCH(COLUMNS($Q$1006:U1006),$Q$1006:$U$1006,0))&gt;=100000), " ",IF(INDEX($Q$2:$U$1001,MATCH(ROWS($J$2:J263),$J$2:$J$1001,0),MATCH(COLUMNS($Q$1006:U1006),$Q$1006:$U$1006,0)), HYPERLINK("#",""), HYPERLINK(CONCATENATE("#Metadata!", ADDRESS(INDEX($L$2:$L$1001,MATCH(ROWS($J$2:J263),$J$2:$J$1001,0),0), INDEX($Q$1004:$U$1004,1,MATCH(COLUMNS($Q$1006:U1006),$Q$1006:$U$1006,0)))),"Fix")))</f>
        <v xml:space="preserve"> </v>
      </c>
      <c r="J263">
        <f ca="1"/>
        <v>262</v>
      </c>
      <c r="K263">
        <v>100263</v>
      </c>
      <c r="L263">
        <v>263</v>
      </c>
      <c r="M263" t="b">
        <f t="shared" si="4"/>
        <v>1</v>
      </c>
      <c r="N263" t="b">
        <f>COUNTBLANK(Metadata!B263:F263)=COLUMNS(Metadata!B263:F263)</f>
        <v>1</v>
      </c>
      <c r="O263" t="str">
        <v/>
      </c>
      <c r="Q263" t="b">
        <f ca="1"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R263" t="b">
        <f>IF(Metadata!C263="",FALSE,TRUE)</f>
        <v>0</v>
      </c>
      <c r="S263" t="b">
        <f>OR(AND(IF(Metadata!D263="",FALSE,TRUE),EXACT(Metadata!D263,"missing: not collected")),AND(IF(Metadata!D263="",FALSE,TRUE),OR(EXACT(Metadata!D263,"t"),EXACT(Metadata!D263,"f"))))</f>
        <v>0</v>
      </c>
      <c r="T263" t="b">
        <f>AND(IF(Metadata!E263="",FALSE,TRUE),OR(EXACT(Metadata!E263,"a"),EXACT(Metadata!E263,"b")))</f>
        <v>0</v>
      </c>
      <c r="U263" t="b">
        <f>OR(AND(IF(Metadata!F263="",FALSE,TRUE),OR(EXACT(Metadata!F263,"missing: not collected"),EXACT(Metadata!F263,"missing: not provided"))),AND(IF(Metadata!F263="",FALSE,TRUE),OR(EXACT(Metadata!F263,"lo"),EXACT(Metadata!F263,"med"),EXACT(Metadata!F263,"hi"))))</f>
        <v>0</v>
      </c>
    </row>
    <row r="264" spans="1:21" x14ac:dyDescent="0.2">
      <c r="A264" s="4" t="str">
        <f ca="1">IF(B264=" "," ",HYPERLINK(CONCATENATE("#metadata!",ADDRESS(INDEX($L$2:$L$1001,MATCH(ROWS($J$2:J264),$J$2:$J$1001,0),0),1)),INDEX($O$2:$O$1001,MATCH(ROWS($J$2:J264),$J$2:$J$1001,0),0)))</f>
        <v xml:space="preserve"> </v>
      </c>
      <c r="B264" s="3" t="str">
        <f ca="1">IF(OR(INDEX($K$2:$K$1001,MATCH(ROWS($J$2:J264),$J$2:$J$1001,0),1)&gt;=100000,INDEX($Q$1005:$U$1005,1,MATCH(COLUMNS($Q$1006:Q1006),$Q$1006:$U$1006,0))&gt;=100000), " ",IF(INDEX($Q$2:$U$1001,MATCH(ROWS($J$2:J264),$J$2:$J$1001,0),MATCH(COLUMNS($Q$1006:Q1006),$Q$1006:$U$1006,0)), HYPERLINK("#",""), HYPERLINK(CONCATENATE("#Metadata!", ADDRESS(INDEX($L$2:$L$1001,MATCH(ROWS($J$2:J264),$J$2:$J$1001,0),0), INDEX($Q$1004:$U$1004,1,MATCH(COLUMNS($Q$1006:Q1006),$Q$1006:$U$1006,0)))),"Fix")))</f>
        <v xml:space="preserve"> </v>
      </c>
      <c r="C264" s="3" t="str">
        <f ca="1">IF(OR(INDEX($K$2:$K$1001,MATCH(ROWS($J$2:J264),$J$2:$J$1001,0),1)&gt;=100000,INDEX($Q$1005:$U$1005,1,MATCH(COLUMNS($Q$1006:R1006),$Q$1006:$U$1006,0))&gt;=100000), " ",IF(INDEX($Q$2:$U$1001,MATCH(ROWS($J$2:J264),$J$2:$J$1001,0),MATCH(COLUMNS($Q$1006:R1006),$Q$1006:$U$1006,0)), HYPERLINK("#",""), HYPERLINK(CONCATENATE("#Metadata!", ADDRESS(INDEX($L$2:$L$1001,MATCH(ROWS($J$2:J264),$J$2:$J$1001,0),0), INDEX($Q$1004:$U$1004,1,MATCH(COLUMNS($Q$1006:R1006),$Q$1006:$U$1006,0)))),"Fix")))</f>
        <v xml:space="preserve"> </v>
      </c>
      <c r="D264" s="3" t="str">
        <f ca="1">IF(OR(INDEX($K$2:$K$1001,MATCH(ROWS($J$2:J264),$J$2:$J$1001,0),1)&gt;=100000,INDEX($Q$1005:$U$1005,1,MATCH(COLUMNS($Q$1006:S1006),$Q$1006:$U$1006,0))&gt;=100000), " ",IF(INDEX($Q$2:$U$1001,MATCH(ROWS($J$2:J264),$J$2:$J$1001,0),MATCH(COLUMNS($Q$1006:S1006),$Q$1006:$U$1006,0)), HYPERLINK("#",""), HYPERLINK(CONCATENATE("#Metadata!", ADDRESS(INDEX($L$2:$L$1001,MATCH(ROWS($J$2:J264),$J$2:$J$1001,0),0), INDEX($Q$1004:$U$1004,1,MATCH(COLUMNS($Q$1006:S1006),$Q$1006:$U$1006,0)))),"Fix")))</f>
        <v xml:space="preserve"> </v>
      </c>
      <c r="E264" s="3" t="str">
        <f ca="1">IF(OR(INDEX($K$2:$K$1001,MATCH(ROWS($J$2:J264),$J$2:$J$1001,0),1)&gt;=100000,INDEX($Q$1005:$U$1005,1,MATCH(COLUMNS($Q$1006:T1006),$Q$1006:$U$1006,0))&gt;=100000), " ",IF(INDEX($Q$2:$U$1001,MATCH(ROWS($J$2:J264),$J$2:$J$1001,0),MATCH(COLUMNS($Q$1006:T1006),$Q$1006:$U$1006,0)), HYPERLINK("#",""), HYPERLINK(CONCATENATE("#Metadata!", ADDRESS(INDEX($L$2:$L$1001,MATCH(ROWS($J$2:J264),$J$2:$J$1001,0),0), INDEX($Q$1004:$U$1004,1,MATCH(COLUMNS($Q$1006:T1006),$Q$1006:$U$1006,0)))),"Fix")))</f>
        <v xml:space="preserve"> </v>
      </c>
      <c r="F264" s="3" t="str">
        <f ca="1">IF(OR(INDEX($K$2:$K$1001,MATCH(ROWS($J$2:J264),$J$2:$J$1001,0),1)&gt;=100000,INDEX($Q$1005:$U$1005,1,MATCH(COLUMNS($Q$1006:U1006),$Q$1006:$U$1006,0))&gt;=100000), " ",IF(INDEX($Q$2:$U$1001,MATCH(ROWS($J$2:J264),$J$2:$J$1001,0),MATCH(COLUMNS($Q$1006:U1006),$Q$1006:$U$1006,0)), HYPERLINK("#",""), HYPERLINK(CONCATENATE("#Metadata!", ADDRESS(INDEX($L$2:$L$1001,MATCH(ROWS($J$2:J264),$J$2:$J$1001,0),0), INDEX($Q$1004:$U$1004,1,MATCH(COLUMNS($Q$1006:U1006),$Q$1006:$U$1006,0)))),"Fix")))</f>
        <v xml:space="preserve"> </v>
      </c>
      <c r="J264">
        <f ca="1"/>
        <v>263</v>
      </c>
      <c r="K264">
        <v>100264</v>
      </c>
      <c r="L264">
        <v>264</v>
      </c>
      <c r="M264" t="b">
        <f t="shared" si="4"/>
        <v>1</v>
      </c>
      <c r="N264" t="b">
        <f>COUNTBLANK(Metadata!B264:F264)=COLUMNS(Metadata!B264:F264)</f>
        <v>1</v>
      </c>
      <c r="O264" t="str">
        <v/>
      </c>
      <c r="Q264" t="b">
        <f ca="1"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R264" t="b">
        <f>IF(Metadata!C264="",FALSE,TRUE)</f>
        <v>0</v>
      </c>
      <c r="S264" t="b">
        <f>OR(AND(IF(Metadata!D264="",FALSE,TRUE),EXACT(Metadata!D264,"missing: not collected")),AND(IF(Metadata!D264="",FALSE,TRUE),OR(EXACT(Metadata!D264,"t"),EXACT(Metadata!D264,"f"))))</f>
        <v>0</v>
      </c>
      <c r="T264" t="b">
        <f>AND(IF(Metadata!E264="",FALSE,TRUE),OR(EXACT(Metadata!E264,"a"),EXACT(Metadata!E264,"b")))</f>
        <v>0</v>
      </c>
      <c r="U264" t="b">
        <f>OR(AND(IF(Metadata!F264="",FALSE,TRUE),OR(EXACT(Metadata!F264,"missing: not collected"),EXACT(Metadata!F264,"missing: not provided"))),AND(IF(Metadata!F264="",FALSE,TRUE),OR(EXACT(Metadata!F264,"lo"),EXACT(Metadata!F264,"med"),EXACT(Metadata!F264,"hi"))))</f>
        <v>0</v>
      </c>
    </row>
    <row r="265" spans="1:21" x14ac:dyDescent="0.2">
      <c r="A265" s="4" t="str">
        <f ca="1">IF(B265=" "," ",HYPERLINK(CONCATENATE("#metadata!",ADDRESS(INDEX($L$2:$L$1001,MATCH(ROWS($J$2:J265),$J$2:$J$1001,0),0),1)),INDEX($O$2:$O$1001,MATCH(ROWS($J$2:J265),$J$2:$J$1001,0),0)))</f>
        <v xml:space="preserve"> </v>
      </c>
      <c r="B265" s="3" t="str">
        <f ca="1">IF(OR(INDEX($K$2:$K$1001,MATCH(ROWS($J$2:J265),$J$2:$J$1001,0),1)&gt;=100000,INDEX($Q$1005:$U$1005,1,MATCH(COLUMNS($Q$1006:Q1006),$Q$1006:$U$1006,0))&gt;=100000), " ",IF(INDEX($Q$2:$U$1001,MATCH(ROWS($J$2:J265),$J$2:$J$1001,0),MATCH(COLUMNS($Q$1006:Q1006),$Q$1006:$U$1006,0)), HYPERLINK("#",""), HYPERLINK(CONCATENATE("#Metadata!", ADDRESS(INDEX($L$2:$L$1001,MATCH(ROWS($J$2:J265),$J$2:$J$1001,0),0), INDEX($Q$1004:$U$1004,1,MATCH(COLUMNS($Q$1006:Q1006),$Q$1006:$U$1006,0)))),"Fix")))</f>
        <v xml:space="preserve"> </v>
      </c>
      <c r="C265" s="3" t="str">
        <f ca="1">IF(OR(INDEX($K$2:$K$1001,MATCH(ROWS($J$2:J265),$J$2:$J$1001,0),1)&gt;=100000,INDEX($Q$1005:$U$1005,1,MATCH(COLUMNS($Q$1006:R1006),$Q$1006:$U$1006,0))&gt;=100000), " ",IF(INDEX($Q$2:$U$1001,MATCH(ROWS($J$2:J265),$J$2:$J$1001,0),MATCH(COLUMNS($Q$1006:R1006),$Q$1006:$U$1006,0)), HYPERLINK("#",""), HYPERLINK(CONCATENATE("#Metadata!", ADDRESS(INDEX($L$2:$L$1001,MATCH(ROWS($J$2:J265),$J$2:$J$1001,0),0), INDEX($Q$1004:$U$1004,1,MATCH(COLUMNS($Q$1006:R1006),$Q$1006:$U$1006,0)))),"Fix")))</f>
        <v xml:space="preserve"> </v>
      </c>
      <c r="D265" s="3" t="str">
        <f ca="1">IF(OR(INDEX($K$2:$K$1001,MATCH(ROWS($J$2:J265),$J$2:$J$1001,0),1)&gt;=100000,INDEX($Q$1005:$U$1005,1,MATCH(COLUMNS($Q$1006:S1006),$Q$1006:$U$1006,0))&gt;=100000), " ",IF(INDEX($Q$2:$U$1001,MATCH(ROWS($J$2:J265),$J$2:$J$1001,0),MATCH(COLUMNS($Q$1006:S1006),$Q$1006:$U$1006,0)), HYPERLINK("#",""), HYPERLINK(CONCATENATE("#Metadata!", ADDRESS(INDEX($L$2:$L$1001,MATCH(ROWS($J$2:J265),$J$2:$J$1001,0),0), INDEX($Q$1004:$U$1004,1,MATCH(COLUMNS($Q$1006:S1006),$Q$1006:$U$1006,0)))),"Fix")))</f>
        <v xml:space="preserve"> </v>
      </c>
      <c r="E265" s="3" t="str">
        <f ca="1">IF(OR(INDEX($K$2:$K$1001,MATCH(ROWS($J$2:J265),$J$2:$J$1001,0),1)&gt;=100000,INDEX($Q$1005:$U$1005,1,MATCH(COLUMNS($Q$1006:T1006),$Q$1006:$U$1006,0))&gt;=100000), " ",IF(INDEX($Q$2:$U$1001,MATCH(ROWS($J$2:J265),$J$2:$J$1001,0),MATCH(COLUMNS($Q$1006:T1006),$Q$1006:$U$1006,0)), HYPERLINK("#",""), HYPERLINK(CONCATENATE("#Metadata!", ADDRESS(INDEX($L$2:$L$1001,MATCH(ROWS($J$2:J265),$J$2:$J$1001,0),0), INDEX($Q$1004:$U$1004,1,MATCH(COLUMNS($Q$1006:T1006),$Q$1006:$U$1006,0)))),"Fix")))</f>
        <v xml:space="preserve"> </v>
      </c>
      <c r="F265" s="3" t="str">
        <f ca="1">IF(OR(INDEX($K$2:$K$1001,MATCH(ROWS($J$2:J265),$J$2:$J$1001,0),1)&gt;=100000,INDEX($Q$1005:$U$1005,1,MATCH(COLUMNS($Q$1006:U1006),$Q$1006:$U$1006,0))&gt;=100000), " ",IF(INDEX($Q$2:$U$1001,MATCH(ROWS($J$2:J265),$J$2:$J$1001,0),MATCH(COLUMNS($Q$1006:U1006),$Q$1006:$U$1006,0)), HYPERLINK("#",""), HYPERLINK(CONCATENATE("#Metadata!", ADDRESS(INDEX($L$2:$L$1001,MATCH(ROWS($J$2:J265),$J$2:$J$1001,0),0), INDEX($Q$1004:$U$1004,1,MATCH(COLUMNS($Q$1006:U1006),$Q$1006:$U$1006,0)))),"Fix")))</f>
        <v xml:space="preserve"> </v>
      </c>
      <c r="J265">
        <f ca="1"/>
        <v>264</v>
      </c>
      <c r="K265">
        <v>100265</v>
      </c>
      <c r="L265">
        <v>265</v>
      </c>
      <c r="M265" t="b">
        <f t="shared" si="4"/>
        <v>1</v>
      </c>
      <c r="N265" t="b">
        <f>COUNTBLANK(Metadata!B265:F265)=COLUMNS(Metadata!B265:F265)</f>
        <v>1</v>
      </c>
      <c r="O265" t="str">
        <v/>
      </c>
      <c r="Q265" t="b">
        <f ca="1"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R265" t="b">
        <f>IF(Metadata!C265="",FALSE,TRUE)</f>
        <v>0</v>
      </c>
      <c r="S265" t="b">
        <f>OR(AND(IF(Metadata!D265="",FALSE,TRUE),EXACT(Metadata!D265,"missing: not collected")),AND(IF(Metadata!D265="",FALSE,TRUE),OR(EXACT(Metadata!D265,"t"),EXACT(Metadata!D265,"f"))))</f>
        <v>0</v>
      </c>
      <c r="T265" t="b">
        <f>AND(IF(Metadata!E265="",FALSE,TRUE),OR(EXACT(Metadata!E265,"a"),EXACT(Metadata!E265,"b")))</f>
        <v>0</v>
      </c>
      <c r="U265" t="b">
        <f>OR(AND(IF(Metadata!F265="",FALSE,TRUE),OR(EXACT(Metadata!F265,"missing: not collected"),EXACT(Metadata!F265,"missing: not provided"))),AND(IF(Metadata!F265="",FALSE,TRUE),OR(EXACT(Metadata!F265,"lo"),EXACT(Metadata!F265,"med"),EXACT(Metadata!F265,"hi"))))</f>
        <v>0</v>
      </c>
    </row>
    <row r="266" spans="1:21" x14ac:dyDescent="0.2">
      <c r="A266" s="4" t="str">
        <f ca="1">IF(B266=" "," ",HYPERLINK(CONCATENATE("#metadata!",ADDRESS(INDEX($L$2:$L$1001,MATCH(ROWS($J$2:J266),$J$2:$J$1001,0),0),1)),INDEX($O$2:$O$1001,MATCH(ROWS($J$2:J266),$J$2:$J$1001,0),0)))</f>
        <v xml:space="preserve"> </v>
      </c>
      <c r="B266" s="3" t="str">
        <f ca="1">IF(OR(INDEX($K$2:$K$1001,MATCH(ROWS($J$2:J266),$J$2:$J$1001,0),1)&gt;=100000,INDEX($Q$1005:$U$1005,1,MATCH(COLUMNS($Q$1006:Q1006),$Q$1006:$U$1006,0))&gt;=100000), " ",IF(INDEX($Q$2:$U$1001,MATCH(ROWS($J$2:J266),$J$2:$J$1001,0),MATCH(COLUMNS($Q$1006:Q1006),$Q$1006:$U$1006,0)), HYPERLINK("#",""), HYPERLINK(CONCATENATE("#Metadata!", ADDRESS(INDEX($L$2:$L$1001,MATCH(ROWS($J$2:J266),$J$2:$J$1001,0),0), INDEX($Q$1004:$U$1004,1,MATCH(COLUMNS($Q$1006:Q1006),$Q$1006:$U$1006,0)))),"Fix")))</f>
        <v xml:space="preserve"> </v>
      </c>
      <c r="C266" s="3" t="str">
        <f ca="1">IF(OR(INDEX($K$2:$K$1001,MATCH(ROWS($J$2:J266),$J$2:$J$1001,0),1)&gt;=100000,INDEX($Q$1005:$U$1005,1,MATCH(COLUMNS($Q$1006:R1006),$Q$1006:$U$1006,0))&gt;=100000), " ",IF(INDEX($Q$2:$U$1001,MATCH(ROWS($J$2:J266),$J$2:$J$1001,0),MATCH(COLUMNS($Q$1006:R1006),$Q$1006:$U$1006,0)), HYPERLINK("#",""), HYPERLINK(CONCATENATE("#Metadata!", ADDRESS(INDEX($L$2:$L$1001,MATCH(ROWS($J$2:J266),$J$2:$J$1001,0),0), INDEX($Q$1004:$U$1004,1,MATCH(COLUMNS($Q$1006:R1006),$Q$1006:$U$1006,0)))),"Fix")))</f>
        <v xml:space="preserve"> </v>
      </c>
      <c r="D266" s="3" t="str">
        <f ca="1">IF(OR(INDEX($K$2:$K$1001,MATCH(ROWS($J$2:J266),$J$2:$J$1001,0),1)&gt;=100000,INDEX($Q$1005:$U$1005,1,MATCH(COLUMNS($Q$1006:S1006),$Q$1006:$U$1006,0))&gt;=100000), " ",IF(INDEX($Q$2:$U$1001,MATCH(ROWS($J$2:J266),$J$2:$J$1001,0),MATCH(COLUMNS($Q$1006:S1006),$Q$1006:$U$1006,0)), HYPERLINK("#",""), HYPERLINK(CONCATENATE("#Metadata!", ADDRESS(INDEX($L$2:$L$1001,MATCH(ROWS($J$2:J266),$J$2:$J$1001,0),0), INDEX($Q$1004:$U$1004,1,MATCH(COLUMNS($Q$1006:S1006),$Q$1006:$U$1006,0)))),"Fix")))</f>
        <v xml:space="preserve"> </v>
      </c>
      <c r="E266" s="3" t="str">
        <f ca="1">IF(OR(INDEX($K$2:$K$1001,MATCH(ROWS($J$2:J266),$J$2:$J$1001,0),1)&gt;=100000,INDEX($Q$1005:$U$1005,1,MATCH(COLUMNS($Q$1006:T1006),$Q$1006:$U$1006,0))&gt;=100000), " ",IF(INDEX($Q$2:$U$1001,MATCH(ROWS($J$2:J266),$J$2:$J$1001,0),MATCH(COLUMNS($Q$1006:T1006),$Q$1006:$U$1006,0)), HYPERLINK("#",""), HYPERLINK(CONCATENATE("#Metadata!", ADDRESS(INDEX($L$2:$L$1001,MATCH(ROWS($J$2:J266),$J$2:$J$1001,0),0), INDEX($Q$1004:$U$1004,1,MATCH(COLUMNS($Q$1006:T1006),$Q$1006:$U$1006,0)))),"Fix")))</f>
        <v xml:space="preserve"> </v>
      </c>
      <c r="F266" s="3" t="str">
        <f ca="1">IF(OR(INDEX($K$2:$K$1001,MATCH(ROWS($J$2:J266),$J$2:$J$1001,0),1)&gt;=100000,INDEX($Q$1005:$U$1005,1,MATCH(COLUMNS($Q$1006:U1006),$Q$1006:$U$1006,0))&gt;=100000), " ",IF(INDEX($Q$2:$U$1001,MATCH(ROWS($J$2:J266),$J$2:$J$1001,0),MATCH(COLUMNS($Q$1006:U1006),$Q$1006:$U$1006,0)), HYPERLINK("#",""), HYPERLINK(CONCATENATE("#Metadata!", ADDRESS(INDEX($L$2:$L$1001,MATCH(ROWS($J$2:J266),$J$2:$J$1001,0),0), INDEX($Q$1004:$U$1004,1,MATCH(COLUMNS($Q$1006:U1006),$Q$1006:$U$1006,0)))),"Fix")))</f>
        <v xml:space="preserve"> </v>
      </c>
      <c r="J266">
        <f ca="1"/>
        <v>265</v>
      </c>
      <c r="K266">
        <v>100266</v>
      </c>
      <c r="L266">
        <v>266</v>
      </c>
      <c r="M266" t="b">
        <f t="shared" si="4"/>
        <v>1</v>
      </c>
      <c r="N266" t="b">
        <f>COUNTBLANK(Metadata!B266:F266)=COLUMNS(Metadata!B266:F266)</f>
        <v>1</v>
      </c>
      <c r="O266" t="str">
        <v/>
      </c>
      <c r="Q266" t="b">
        <f ca="1"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R266" t="b">
        <f>IF(Metadata!C266="",FALSE,TRUE)</f>
        <v>0</v>
      </c>
      <c r="S266" t="b">
        <f>OR(AND(IF(Metadata!D266="",FALSE,TRUE),EXACT(Metadata!D266,"missing: not collected")),AND(IF(Metadata!D266="",FALSE,TRUE),OR(EXACT(Metadata!D266,"t"),EXACT(Metadata!D266,"f"))))</f>
        <v>0</v>
      </c>
      <c r="T266" t="b">
        <f>AND(IF(Metadata!E266="",FALSE,TRUE),OR(EXACT(Metadata!E266,"a"),EXACT(Metadata!E266,"b")))</f>
        <v>0</v>
      </c>
      <c r="U266" t="b">
        <f>OR(AND(IF(Metadata!F266="",FALSE,TRUE),OR(EXACT(Metadata!F266,"missing: not collected"),EXACT(Metadata!F266,"missing: not provided"))),AND(IF(Metadata!F266="",FALSE,TRUE),OR(EXACT(Metadata!F266,"lo"),EXACT(Metadata!F266,"med"),EXACT(Metadata!F266,"hi"))))</f>
        <v>0</v>
      </c>
    </row>
    <row r="267" spans="1:21" x14ac:dyDescent="0.2">
      <c r="A267" s="4" t="str">
        <f ca="1">IF(B267=" "," ",HYPERLINK(CONCATENATE("#metadata!",ADDRESS(INDEX($L$2:$L$1001,MATCH(ROWS($J$2:J267),$J$2:$J$1001,0),0),1)),INDEX($O$2:$O$1001,MATCH(ROWS($J$2:J267),$J$2:$J$1001,0),0)))</f>
        <v xml:space="preserve"> </v>
      </c>
      <c r="B267" s="3" t="str">
        <f ca="1">IF(OR(INDEX($K$2:$K$1001,MATCH(ROWS($J$2:J267),$J$2:$J$1001,0),1)&gt;=100000,INDEX($Q$1005:$U$1005,1,MATCH(COLUMNS($Q$1006:Q1006),$Q$1006:$U$1006,0))&gt;=100000), " ",IF(INDEX($Q$2:$U$1001,MATCH(ROWS($J$2:J267),$J$2:$J$1001,0),MATCH(COLUMNS($Q$1006:Q1006),$Q$1006:$U$1006,0)), HYPERLINK("#",""), HYPERLINK(CONCATENATE("#Metadata!", ADDRESS(INDEX($L$2:$L$1001,MATCH(ROWS($J$2:J267),$J$2:$J$1001,0),0), INDEX($Q$1004:$U$1004,1,MATCH(COLUMNS($Q$1006:Q1006),$Q$1006:$U$1006,0)))),"Fix")))</f>
        <v xml:space="preserve"> </v>
      </c>
      <c r="C267" s="3" t="str">
        <f ca="1">IF(OR(INDEX($K$2:$K$1001,MATCH(ROWS($J$2:J267),$J$2:$J$1001,0),1)&gt;=100000,INDEX($Q$1005:$U$1005,1,MATCH(COLUMNS($Q$1006:R1006),$Q$1006:$U$1006,0))&gt;=100000), " ",IF(INDEX($Q$2:$U$1001,MATCH(ROWS($J$2:J267),$J$2:$J$1001,0),MATCH(COLUMNS($Q$1006:R1006),$Q$1006:$U$1006,0)), HYPERLINK("#",""), HYPERLINK(CONCATENATE("#Metadata!", ADDRESS(INDEX($L$2:$L$1001,MATCH(ROWS($J$2:J267),$J$2:$J$1001,0),0), INDEX($Q$1004:$U$1004,1,MATCH(COLUMNS($Q$1006:R1006),$Q$1006:$U$1006,0)))),"Fix")))</f>
        <v xml:space="preserve"> </v>
      </c>
      <c r="D267" s="3" t="str">
        <f ca="1">IF(OR(INDEX($K$2:$K$1001,MATCH(ROWS($J$2:J267),$J$2:$J$1001,0),1)&gt;=100000,INDEX($Q$1005:$U$1005,1,MATCH(COLUMNS($Q$1006:S1006),$Q$1006:$U$1006,0))&gt;=100000), " ",IF(INDEX($Q$2:$U$1001,MATCH(ROWS($J$2:J267),$J$2:$J$1001,0),MATCH(COLUMNS($Q$1006:S1006),$Q$1006:$U$1006,0)), HYPERLINK("#",""), HYPERLINK(CONCATENATE("#Metadata!", ADDRESS(INDEX($L$2:$L$1001,MATCH(ROWS($J$2:J267),$J$2:$J$1001,0),0), INDEX($Q$1004:$U$1004,1,MATCH(COLUMNS($Q$1006:S1006),$Q$1006:$U$1006,0)))),"Fix")))</f>
        <v xml:space="preserve"> </v>
      </c>
      <c r="E267" s="3" t="str">
        <f ca="1">IF(OR(INDEX($K$2:$K$1001,MATCH(ROWS($J$2:J267),$J$2:$J$1001,0),1)&gt;=100000,INDEX($Q$1005:$U$1005,1,MATCH(COLUMNS($Q$1006:T1006),$Q$1006:$U$1006,0))&gt;=100000), " ",IF(INDEX($Q$2:$U$1001,MATCH(ROWS($J$2:J267),$J$2:$J$1001,0),MATCH(COLUMNS($Q$1006:T1006),$Q$1006:$U$1006,0)), HYPERLINK("#",""), HYPERLINK(CONCATENATE("#Metadata!", ADDRESS(INDEX($L$2:$L$1001,MATCH(ROWS($J$2:J267),$J$2:$J$1001,0),0), INDEX($Q$1004:$U$1004,1,MATCH(COLUMNS($Q$1006:T1006),$Q$1006:$U$1006,0)))),"Fix")))</f>
        <v xml:space="preserve"> </v>
      </c>
      <c r="F267" s="3" t="str">
        <f ca="1">IF(OR(INDEX($K$2:$K$1001,MATCH(ROWS($J$2:J267),$J$2:$J$1001,0),1)&gt;=100000,INDEX($Q$1005:$U$1005,1,MATCH(COLUMNS($Q$1006:U1006),$Q$1006:$U$1006,0))&gt;=100000), " ",IF(INDEX($Q$2:$U$1001,MATCH(ROWS($J$2:J267),$J$2:$J$1001,0),MATCH(COLUMNS($Q$1006:U1006),$Q$1006:$U$1006,0)), HYPERLINK("#",""), HYPERLINK(CONCATENATE("#Metadata!", ADDRESS(INDEX($L$2:$L$1001,MATCH(ROWS($J$2:J267),$J$2:$J$1001,0),0), INDEX($Q$1004:$U$1004,1,MATCH(COLUMNS($Q$1006:U1006),$Q$1006:$U$1006,0)))),"Fix")))</f>
        <v xml:space="preserve"> </v>
      </c>
      <c r="J267">
        <f ca="1"/>
        <v>266</v>
      </c>
      <c r="K267">
        <v>100267</v>
      </c>
      <c r="L267">
        <v>267</v>
      </c>
      <c r="M267" t="b">
        <f t="shared" si="4"/>
        <v>1</v>
      </c>
      <c r="N267" t="b">
        <f>COUNTBLANK(Metadata!B267:F267)=COLUMNS(Metadata!B267:F267)</f>
        <v>1</v>
      </c>
      <c r="O267" t="str">
        <v/>
      </c>
      <c r="Q267" t="b">
        <f ca="1"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R267" t="b">
        <f>IF(Metadata!C267="",FALSE,TRUE)</f>
        <v>0</v>
      </c>
      <c r="S267" t="b">
        <f>OR(AND(IF(Metadata!D267="",FALSE,TRUE),EXACT(Metadata!D267,"missing: not collected")),AND(IF(Metadata!D267="",FALSE,TRUE),OR(EXACT(Metadata!D267,"t"),EXACT(Metadata!D267,"f"))))</f>
        <v>0</v>
      </c>
      <c r="T267" t="b">
        <f>AND(IF(Metadata!E267="",FALSE,TRUE),OR(EXACT(Metadata!E267,"a"),EXACT(Metadata!E267,"b")))</f>
        <v>0</v>
      </c>
      <c r="U267" t="b">
        <f>OR(AND(IF(Metadata!F267="",FALSE,TRUE),OR(EXACT(Metadata!F267,"missing: not collected"),EXACT(Metadata!F267,"missing: not provided"))),AND(IF(Metadata!F267="",FALSE,TRUE),OR(EXACT(Metadata!F267,"lo"),EXACT(Metadata!F267,"med"),EXACT(Metadata!F267,"hi"))))</f>
        <v>0</v>
      </c>
    </row>
    <row r="268" spans="1:21" x14ac:dyDescent="0.2">
      <c r="A268" s="4" t="str">
        <f ca="1">IF(B268=" "," ",HYPERLINK(CONCATENATE("#metadata!",ADDRESS(INDEX($L$2:$L$1001,MATCH(ROWS($J$2:J268),$J$2:$J$1001,0),0),1)),INDEX($O$2:$O$1001,MATCH(ROWS($J$2:J268),$J$2:$J$1001,0),0)))</f>
        <v xml:space="preserve"> </v>
      </c>
      <c r="B268" s="3" t="str">
        <f ca="1">IF(OR(INDEX($K$2:$K$1001,MATCH(ROWS($J$2:J268),$J$2:$J$1001,0),1)&gt;=100000,INDEX($Q$1005:$U$1005,1,MATCH(COLUMNS($Q$1006:Q1006),$Q$1006:$U$1006,0))&gt;=100000), " ",IF(INDEX($Q$2:$U$1001,MATCH(ROWS($J$2:J268),$J$2:$J$1001,0),MATCH(COLUMNS($Q$1006:Q1006),$Q$1006:$U$1006,0)), HYPERLINK("#",""), HYPERLINK(CONCATENATE("#Metadata!", ADDRESS(INDEX($L$2:$L$1001,MATCH(ROWS($J$2:J268),$J$2:$J$1001,0),0), INDEX($Q$1004:$U$1004,1,MATCH(COLUMNS($Q$1006:Q1006),$Q$1006:$U$1006,0)))),"Fix")))</f>
        <v xml:space="preserve"> </v>
      </c>
      <c r="C268" s="3" t="str">
        <f ca="1">IF(OR(INDEX($K$2:$K$1001,MATCH(ROWS($J$2:J268),$J$2:$J$1001,0),1)&gt;=100000,INDEX($Q$1005:$U$1005,1,MATCH(COLUMNS($Q$1006:R1006),$Q$1006:$U$1006,0))&gt;=100000), " ",IF(INDEX($Q$2:$U$1001,MATCH(ROWS($J$2:J268),$J$2:$J$1001,0),MATCH(COLUMNS($Q$1006:R1006),$Q$1006:$U$1006,0)), HYPERLINK("#",""), HYPERLINK(CONCATENATE("#Metadata!", ADDRESS(INDEX($L$2:$L$1001,MATCH(ROWS($J$2:J268),$J$2:$J$1001,0),0), INDEX($Q$1004:$U$1004,1,MATCH(COLUMNS($Q$1006:R1006),$Q$1006:$U$1006,0)))),"Fix")))</f>
        <v xml:space="preserve"> </v>
      </c>
      <c r="D268" s="3" t="str">
        <f ca="1">IF(OR(INDEX($K$2:$K$1001,MATCH(ROWS($J$2:J268),$J$2:$J$1001,0),1)&gt;=100000,INDEX($Q$1005:$U$1005,1,MATCH(COLUMNS($Q$1006:S1006),$Q$1006:$U$1006,0))&gt;=100000), " ",IF(INDEX($Q$2:$U$1001,MATCH(ROWS($J$2:J268),$J$2:$J$1001,0),MATCH(COLUMNS($Q$1006:S1006),$Q$1006:$U$1006,0)), HYPERLINK("#",""), HYPERLINK(CONCATENATE("#Metadata!", ADDRESS(INDEX($L$2:$L$1001,MATCH(ROWS($J$2:J268),$J$2:$J$1001,0),0), INDEX($Q$1004:$U$1004,1,MATCH(COLUMNS($Q$1006:S1006),$Q$1006:$U$1006,0)))),"Fix")))</f>
        <v xml:space="preserve"> </v>
      </c>
      <c r="E268" s="3" t="str">
        <f ca="1">IF(OR(INDEX($K$2:$K$1001,MATCH(ROWS($J$2:J268),$J$2:$J$1001,0),1)&gt;=100000,INDEX($Q$1005:$U$1005,1,MATCH(COLUMNS($Q$1006:T1006),$Q$1006:$U$1006,0))&gt;=100000), " ",IF(INDEX($Q$2:$U$1001,MATCH(ROWS($J$2:J268),$J$2:$J$1001,0),MATCH(COLUMNS($Q$1006:T1006),$Q$1006:$U$1006,0)), HYPERLINK("#",""), HYPERLINK(CONCATENATE("#Metadata!", ADDRESS(INDEX($L$2:$L$1001,MATCH(ROWS($J$2:J268),$J$2:$J$1001,0),0), INDEX($Q$1004:$U$1004,1,MATCH(COLUMNS($Q$1006:T1006),$Q$1006:$U$1006,0)))),"Fix")))</f>
        <v xml:space="preserve"> </v>
      </c>
      <c r="F268" s="3" t="str">
        <f ca="1">IF(OR(INDEX($K$2:$K$1001,MATCH(ROWS($J$2:J268),$J$2:$J$1001,0),1)&gt;=100000,INDEX($Q$1005:$U$1005,1,MATCH(COLUMNS($Q$1006:U1006),$Q$1006:$U$1006,0))&gt;=100000), " ",IF(INDEX($Q$2:$U$1001,MATCH(ROWS($J$2:J268),$J$2:$J$1001,0),MATCH(COLUMNS($Q$1006:U1006),$Q$1006:$U$1006,0)), HYPERLINK("#",""), HYPERLINK(CONCATENATE("#Metadata!", ADDRESS(INDEX($L$2:$L$1001,MATCH(ROWS($J$2:J268),$J$2:$J$1001,0),0), INDEX($Q$1004:$U$1004,1,MATCH(COLUMNS($Q$1006:U1006),$Q$1006:$U$1006,0)))),"Fix")))</f>
        <v xml:space="preserve"> </v>
      </c>
      <c r="J268">
        <f ca="1"/>
        <v>267</v>
      </c>
      <c r="K268">
        <v>100268</v>
      </c>
      <c r="L268">
        <v>268</v>
      </c>
      <c r="M268" t="b">
        <f t="shared" si="4"/>
        <v>1</v>
      </c>
      <c r="N268" t="b">
        <f>COUNTBLANK(Metadata!B268:F268)=COLUMNS(Metadata!B268:F268)</f>
        <v>1</v>
      </c>
      <c r="O268" t="str">
        <v/>
      </c>
      <c r="Q268" t="b">
        <f ca="1"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R268" t="b">
        <f>IF(Metadata!C268="",FALSE,TRUE)</f>
        <v>0</v>
      </c>
      <c r="S268" t="b">
        <f>OR(AND(IF(Metadata!D268="",FALSE,TRUE),EXACT(Metadata!D268,"missing: not collected")),AND(IF(Metadata!D268="",FALSE,TRUE),OR(EXACT(Metadata!D268,"t"),EXACT(Metadata!D268,"f"))))</f>
        <v>0</v>
      </c>
      <c r="T268" t="b">
        <f>AND(IF(Metadata!E268="",FALSE,TRUE),OR(EXACT(Metadata!E268,"a"),EXACT(Metadata!E268,"b")))</f>
        <v>0</v>
      </c>
      <c r="U268" t="b">
        <f>OR(AND(IF(Metadata!F268="",FALSE,TRUE),OR(EXACT(Metadata!F268,"missing: not collected"),EXACT(Metadata!F268,"missing: not provided"))),AND(IF(Metadata!F268="",FALSE,TRUE),OR(EXACT(Metadata!F268,"lo"),EXACT(Metadata!F268,"med"),EXACT(Metadata!F268,"hi"))))</f>
        <v>0</v>
      </c>
    </row>
    <row r="269" spans="1:21" x14ac:dyDescent="0.2">
      <c r="A269" s="4" t="str">
        <f ca="1">IF(B269=" "," ",HYPERLINK(CONCATENATE("#metadata!",ADDRESS(INDEX($L$2:$L$1001,MATCH(ROWS($J$2:J269),$J$2:$J$1001,0),0),1)),INDEX($O$2:$O$1001,MATCH(ROWS($J$2:J269),$J$2:$J$1001,0),0)))</f>
        <v xml:space="preserve"> </v>
      </c>
      <c r="B269" s="3" t="str">
        <f ca="1">IF(OR(INDEX($K$2:$K$1001,MATCH(ROWS($J$2:J269),$J$2:$J$1001,0),1)&gt;=100000,INDEX($Q$1005:$U$1005,1,MATCH(COLUMNS($Q$1006:Q1006),$Q$1006:$U$1006,0))&gt;=100000), " ",IF(INDEX($Q$2:$U$1001,MATCH(ROWS($J$2:J269),$J$2:$J$1001,0),MATCH(COLUMNS($Q$1006:Q1006),$Q$1006:$U$1006,0)), HYPERLINK("#",""), HYPERLINK(CONCATENATE("#Metadata!", ADDRESS(INDEX($L$2:$L$1001,MATCH(ROWS($J$2:J269),$J$2:$J$1001,0),0), INDEX($Q$1004:$U$1004,1,MATCH(COLUMNS($Q$1006:Q1006),$Q$1006:$U$1006,0)))),"Fix")))</f>
        <v xml:space="preserve"> </v>
      </c>
      <c r="C269" s="3" t="str">
        <f ca="1">IF(OR(INDEX($K$2:$K$1001,MATCH(ROWS($J$2:J269),$J$2:$J$1001,0),1)&gt;=100000,INDEX($Q$1005:$U$1005,1,MATCH(COLUMNS($Q$1006:R1006),$Q$1006:$U$1006,0))&gt;=100000), " ",IF(INDEX($Q$2:$U$1001,MATCH(ROWS($J$2:J269),$J$2:$J$1001,0),MATCH(COLUMNS($Q$1006:R1006),$Q$1006:$U$1006,0)), HYPERLINK("#",""), HYPERLINK(CONCATENATE("#Metadata!", ADDRESS(INDEX($L$2:$L$1001,MATCH(ROWS($J$2:J269),$J$2:$J$1001,0),0), INDEX($Q$1004:$U$1004,1,MATCH(COLUMNS($Q$1006:R1006),$Q$1006:$U$1006,0)))),"Fix")))</f>
        <v xml:space="preserve"> </v>
      </c>
      <c r="D269" s="3" t="str">
        <f ca="1">IF(OR(INDEX($K$2:$K$1001,MATCH(ROWS($J$2:J269),$J$2:$J$1001,0),1)&gt;=100000,INDEX($Q$1005:$U$1005,1,MATCH(COLUMNS($Q$1006:S1006),$Q$1006:$U$1006,0))&gt;=100000), " ",IF(INDEX($Q$2:$U$1001,MATCH(ROWS($J$2:J269),$J$2:$J$1001,0),MATCH(COLUMNS($Q$1006:S1006),$Q$1006:$U$1006,0)), HYPERLINK("#",""), HYPERLINK(CONCATENATE("#Metadata!", ADDRESS(INDEX($L$2:$L$1001,MATCH(ROWS($J$2:J269),$J$2:$J$1001,0),0), INDEX($Q$1004:$U$1004,1,MATCH(COLUMNS($Q$1006:S1006),$Q$1006:$U$1006,0)))),"Fix")))</f>
        <v xml:space="preserve"> </v>
      </c>
      <c r="E269" s="3" t="str">
        <f ca="1">IF(OR(INDEX($K$2:$K$1001,MATCH(ROWS($J$2:J269),$J$2:$J$1001,0),1)&gt;=100000,INDEX($Q$1005:$U$1005,1,MATCH(COLUMNS($Q$1006:T1006),$Q$1006:$U$1006,0))&gt;=100000), " ",IF(INDEX($Q$2:$U$1001,MATCH(ROWS($J$2:J269),$J$2:$J$1001,0),MATCH(COLUMNS($Q$1006:T1006),$Q$1006:$U$1006,0)), HYPERLINK("#",""), HYPERLINK(CONCATENATE("#Metadata!", ADDRESS(INDEX($L$2:$L$1001,MATCH(ROWS($J$2:J269),$J$2:$J$1001,0),0), INDEX($Q$1004:$U$1004,1,MATCH(COLUMNS($Q$1006:T1006),$Q$1006:$U$1006,0)))),"Fix")))</f>
        <v xml:space="preserve"> </v>
      </c>
      <c r="F269" s="3" t="str">
        <f ca="1">IF(OR(INDEX($K$2:$K$1001,MATCH(ROWS($J$2:J269),$J$2:$J$1001,0),1)&gt;=100000,INDEX($Q$1005:$U$1005,1,MATCH(COLUMNS($Q$1006:U1006),$Q$1006:$U$1006,0))&gt;=100000), " ",IF(INDEX($Q$2:$U$1001,MATCH(ROWS($J$2:J269),$J$2:$J$1001,0),MATCH(COLUMNS($Q$1006:U1006),$Q$1006:$U$1006,0)), HYPERLINK("#",""), HYPERLINK(CONCATENATE("#Metadata!", ADDRESS(INDEX($L$2:$L$1001,MATCH(ROWS($J$2:J269),$J$2:$J$1001,0),0), INDEX($Q$1004:$U$1004,1,MATCH(COLUMNS($Q$1006:U1006),$Q$1006:$U$1006,0)))),"Fix")))</f>
        <v xml:space="preserve"> </v>
      </c>
      <c r="J269">
        <f ca="1"/>
        <v>268</v>
      </c>
      <c r="K269">
        <v>100269</v>
      </c>
      <c r="L269">
        <v>269</v>
      </c>
      <c r="M269" t="b">
        <f t="shared" si="4"/>
        <v>1</v>
      </c>
      <c r="N269" t="b">
        <f>COUNTBLANK(Metadata!B269:F269)=COLUMNS(Metadata!B269:F269)</f>
        <v>1</v>
      </c>
      <c r="O269" t="str">
        <v/>
      </c>
      <c r="Q269" t="b">
        <f ca="1"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R269" t="b">
        <f>IF(Metadata!C269="",FALSE,TRUE)</f>
        <v>0</v>
      </c>
      <c r="S269" t="b">
        <f>OR(AND(IF(Metadata!D269="",FALSE,TRUE),EXACT(Metadata!D269,"missing: not collected")),AND(IF(Metadata!D269="",FALSE,TRUE),OR(EXACT(Metadata!D269,"t"),EXACT(Metadata!D269,"f"))))</f>
        <v>0</v>
      </c>
      <c r="T269" t="b">
        <f>AND(IF(Metadata!E269="",FALSE,TRUE),OR(EXACT(Metadata!E269,"a"),EXACT(Metadata!E269,"b")))</f>
        <v>0</v>
      </c>
      <c r="U269" t="b">
        <f>OR(AND(IF(Metadata!F269="",FALSE,TRUE),OR(EXACT(Metadata!F269,"missing: not collected"),EXACT(Metadata!F269,"missing: not provided"))),AND(IF(Metadata!F269="",FALSE,TRUE),OR(EXACT(Metadata!F269,"lo"),EXACT(Metadata!F269,"med"),EXACT(Metadata!F269,"hi"))))</f>
        <v>0</v>
      </c>
    </row>
    <row r="270" spans="1:21" x14ac:dyDescent="0.2">
      <c r="A270" s="4" t="str">
        <f ca="1">IF(B270=" "," ",HYPERLINK(CONCATENATE("#metadata!",ADDRESS(INDEX($L$2:$L$1001,MATCH(ROWS($J$2:J270),$J$2:$J$1001,0),0),1)),INDEX($O$2:$O$1001,MATCH(ROWS($J$2:J270),$J$2:$J$1001,0),0)))</f>
        <v xml:space="preserve"> </v>
      </c>
      <c r="B270" s="3" t="str">
        <f ca="1">IF(OR(INDEX($K$2:$K$1001,MATCH(ROWS($J$2:J270),$J$2:$J$1001,0),1)&gt;=100000,INDEX($Q$1005:$U$1005,1,MATCH(COLUMNS($Q$1006:Q1006),$Q$1006:$U$1006,0))&gt;=100000), " ",IF(INDEX($Q$2:$U$1001,MATCH(ROWS($J$2:J270),$J$2:$J$1001,0),MATCH(COLUMNS($Q$1006:Q1006),$Q$1006:$U$1006,0)), HYPERLINK("#",""), HYPERLINK(CONCATENATE("#Metadata!", ADDRESS(INDEX($L$2:$L$1001,MATCH(ROWS($J$2:J270),$J$2:$J$1001,0),0), INDEX($Q$1004:$U$1004,1,MATCH(COLUMNS($Q$1006:Q1006),$Q$1006:$U$1006,0)))),"Fix")))</f>
        <v xml:space="preserve"> </v>
      </c>
      <c r="C270" s="3" t="str">
        <f ca="1">IF(OR(INDEX($K$2:$K$1001,MATCH(ROWS($J$2:J270),$J$2:$J$1001,0),1)&gt;=100000,INDEX($Q$1005:$U$1005,1,MATCH(COLUMNS($Q$1006:R1006),$Q$1006:$U$1006,0))&gt;=100000), " ",IF(INDEX($Q$2:$U$1001,MATCH(ROWS($J$2:J270),$J$2:$J$1001,0),MATCH(COLUMNS($Q$1006:R1006),$Q$1006:$U$1006,0)), HYPERLINK("#",""), HYPERLINK(CONCATENATE("#Metadata!", ADDRESS(INDEX($L$2:$L$1001,MATCH(ROWS($J$2:J270),$J$2:$J$1001,0),0), INDEX($Q$1004:$U$1004,1,MATCH(COLUMNS($Q$1006:R1006),$Q$1006:$U$1006,0)))),"Fix")))</f>
        <v xml:space="preserve"> </v>
      </c>
      <c r="D270" s="3" t="str">
        <f ca="1">IF(OR(INDEX($K$2:$K$1001,MATCH(ROWS($J$2:J270),$J$2:$J$1001,0),1)&gt;=100000,INDEX($Q$1005:$U$1005,1,MATCH(COLUMNS($Q$1006:S1006),$Q$1006:$U$1006,0))&gt;=100000), " ",IF(INDEX($Q$2:$U$1001,MATCH(ROWS($J$2:J270),$J$2:$J$1001,0),MATCH(COLUMNS($Q$1006:S1006),$Q$1006:$U$1006,0)), HYPERLINK("#",""), HYPERLINK(CONCATENATE("#Metadata!", ADDRESS(INDEX($L$2:$L$1001,MATCH(ROWS($J$2:J270),$J$2:$J$1001,0),0), INDEX($Q$1004:$U$1004,1,MATCH(COLUMNS($Q$1006:S1006),$Q$1006:$U$1006,0)))),"Fix")))</f>
        <v xml:space="preserve"> </v>
      </c>
      <c r="E270" s="3" t="str">
        <f ca="1">IF(OR(INDEX($K$2:$K$1001,MATCH(ROWS($J$2:J270),$J$2:$J$1001,0),1)&gt;=100000,INDEX($Q$1005:$U$1005,1,MATCH(COLUMNS($Q$1006:T1006),$Q$1006:$U$1006,0))&gt;=100000), " ",IF(INDEX($Q$2:$U$1001,MATCH(ROWS($J$2:J270),$J$2:$J$1001,0),MATCH(COLUMNS($Q$1006:T1006),$Q$1006:$U$1006,0)), HYPERLINK("#",""), HYPERLINK(CONCATENATE("#Metadata!", ADDRESS(INDEX($L$2:$L$1001,MATCH(ROWS($J$2:J270),$J$2:$J$1001,0),0), INDEX($Q$1004:$U$1004,1,MATCH(COLUMNS($Q$1006:T1006),$Q$1006:$U$1006,0)))),"Fix")))</f>
        <v xml:space="preserve"> </v>
      </c>
      <c r="F270" s="3" t="str">
        <f ca="1">IF(OR(INDEX($K$2:$K$1001,MATCH(ROWS($J$2:J270),$J$2:$J$1001,0),1)&gt;=100000,INDEX($Q$1005:$U$1005,1,MATCH(COLUMNS($Q$1006:U1006),$Q$1006:$U$1006,0))&gt;=100000), " ",IF(INDEX($Q$2:$U$1001,MATCH(ROWS($J$2:J270),$J$2:$J$1001,0),MATCH(COLUMNS($Q$1006:U1006),$Q$1006:$U$1006,0)), HYPERLINK("#",""), HYPERLINK(CONCATENATE("#Metadata!", ADDRESS(INDEX($L$2:$L$1001,MATCH(ROWS($J$2:J270),$J$2:$J$1001,0),0), INDEX($Q$1004:$U$1004,1,MATCH(COLUMNS($Q$1006:U1006),$Q$1006:$U$1006,0)))),"Fix")))</f>
        <v xml:space="preserve"> </v>
      </c>
      <c r="J270">
        <f ca="1"/>
        <v>269</v>
      </c>
      <c r="K270">
        <v>100270</v>
      </c>
      <c r="L270">
        <v>270</v>
      </c>
      <c r="M270" t="b">
        <f t="shared" si="4"/>
        <v>1</v>
      </c>
      <c r="N270" t="b">
        <f>COUNTBLANK(Metadata!B270:F270)=COLUMNS(Metadata!B270:F270)</f>
        <v>1</v>
      </c>
      <c r="O270" t="str">
        <v/>
      </c>
      <c r="Q270" t="b">
        <f ca="1"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R270" t="b">
        <f>IF(Metadata!C270="",FALSE,TRUE)</f>
        <v>0</v>
      </c>
      <c r="S270" t="b">
        <f>OR(AND(IF(Metadata!D270="",FALSE,TRUE),EXACT(Metadata!D270,"missing: not collected")),AND(IF(Metadata!D270="",FALSE,TRUE),OR(EXACT(Metadata!D270,"t"),EXACT(Metadata!D270,"f"))))</f>
        <v>0</v>
      </c>
      <c r="T270" t="b">
        <f>AND(IF(Metadata!E270="",FALSE,TRUE),OR(EXACT(Metadata!E270,"a"),EXACT(Metadata!E270,"b")))</f>
        <v>0</v>
      </c>
      <c r="U270" t="b">
        <f>OR(AND(IF(Metadata!F270="",FALSE,TRUE),OR(EXACT(Metadata!F270,"missing: not collected"),EXACT(Metadata!F270,"missing: not provided"))),AND(IF(Metadata!F270="",FALSE,TRUE),OR(EXACT(Metadata!F270,"lo"),EXACT(Metadata!F270,"med"),EXACT(Metadata!F270,"hi"))))</f>
        <v>0</v>
      </c>
    </row>
    <row r="271" spans="1:21" x14ac:dyDescent="0.2">
      <c r="A271" s="4" t="str">
        <f ca="1">IF(B271=" "," ",HYPERLINK(CONCATENATE("#metadata!",ADDRESS(INDEX($L$2:$L$1001,MATCH(ROWS($J$2:J271),$J$2:$J$1001,0),0),1)),INDEX($O$2:$O$1001,MATCH(ROWS($J$2:J271),$J$2:$J$1001,0),0)))</f>
        <v xml:space="preserve"> </v>
      </c>
      <c r="B271" s="3" t="str">
        <f ca="1">IF(OR(INDEX($K$2:$K$1001,MATCH(ROWS($J$2:J271),$J$2:$J$1001,0),1)&gt;=100000,INDEX($Q$1005:$U$1005,1,MATCH(COLUMNS($Q$1006:Q1006),$Q$1006:$U$1006,0))&gt;=100000), " ",IF(INDEX($Q$2:$U$1001,MATCH(ROWS($J$2:J271),$J$2:$J$1001,0),MATCH(COLUMNS($Q$1006:Q1006),$Q$1006:$U$1006,0)), HYPERLINK("#",""), HYPERLINK(CONCATENATE("#Metadata!", ADDRESS(INDEX($L$2:$L$1001,MATCH(ROWS($J$2:J271),$J$2:$J$1001,0),0), INDEX($Q$1004:$U$1004,1,MATCH(COLUMNS($Q$1006:Q1006),$Q$1006:$U$1006,0)))),"Fix")))</f>
        <v xml:space="preserve"> </v>
      </c>
      <c r="C271" s="3" t="str">
        <f ca="1">IF(OR(INDEX($K$2:$K$1001,MATCH(ROWS($J$2:J271),$J$2:$J$1001,0),1)&gt;=100000,INDEX($Q$1005:$U$1005,1,MATCH(COLUMNS($Q$1006:R1006),$Q$1006:$U$1006,0))&gt;=100000), " ",IF(INDEX($Q$2:$U$1001,MATCH(ROWS($J$2:J271),$J$2:$J$1001,0),MATCH(COLUMNS($Q$1006:R1006),$Q$1006:$U$1006,0)), HYPERLINK("#",""), HYPERLINK(CONCATENATE("#Metadata!", ADDRESS(INDEX($L$2:$L$1001,MATCH(ROWS($J$2:J271),$J$2:$J$1001,0),0), INDEX($Q$1004:$U$1004,1,MATCH(COLUMNS($Q$1006:R1006),$Q$1006:$U$1006,0)))),"Fix")))</f>
        <v xml:space="preserve"> </v>
      </c>
      <c r="D271" s="3" t="str">
        <f ca="1">IF(OR(INDEX($K$2:$K$1001,MATCH(ROWS($J$2:J271),$J$2:$J$1001,0),1)&gt;=100000,INDEX($Q$1005:$U$1005,1,MATCH(COLUMNS($Q$1006:S1006),$Q$1006:$U$1006,0))&gt;=100000), " ",IF(INDEX($Q$2:$U$1001,MATCH(ROWS($J$2:J271),$J$2:$J$1001,0),MATCH(COLUMNS($Q$1006:S1006),$Q$1006:$U$1006,0)), HYPERLINK("#",""), HYPERLINK(CONCATENATE("#Metadata!", ADDRESS(INDEX($L$2:$L$1001,MATCH(ROWS($J$2:J271),$J$2:$J$1001,0),0), INDEX($Q$1004:$U$1004,1,MATCH(COLUMNS($Q$1006:S1006),$Q$1006:$U$1006,0)))),"Fix")))</f>
        <v xml:space="preserve"> </v>
      </c>
      <c r="E271" s="3" t="str">
        <f ca="1">IF(OR(INDEX($K$2:$K$1001,MATCH(ROWS($J$2:J271),$J$2:$J$1001,0),1)&gt;=100000,INDEX($Q$1005:$U$1005,1,MATCH(COLUMNS($Q$1006:T1006),$Q$1006:$U$1006,0))&gt;=100000), " ",IF(INDEX($Q$2:$U$1001,MATCH(ROWS($J$2:J271),$J$2:$J$1001,0),MATCH(COLUMNS($Q$1006:T1006),$Q$1006:$U$1006,0)), HYPERLINK("#",""), HYPERLINK(CONCATENATE("#Metadata!", ADDRESS(INDEX($L$2:$L$1001,MATCH(ROWS($J$2:J271),$J$2:$J$1001,0),0), INDEX($Q$1004:$U$1004,1,MATCH(COLUMNS($Q$1006:T1006),$Q$1006:$U$1006,0)))),"Fix")))</f>
        <v xml:space="preserve"> </v>
      </c>
      <c r="F271" s="3" t="str">
        <f ca="1">IF(OR(INDEX($K$2:$K$1001,MATCH(ROWS($J$2:J271),$J$2:$J$1001,0),1)&gt;=100000,INDEX($Q$1005:$U$1005,1,MATCH(COLUMNS($Q$1006:U1006),$Q$1006:$U$1006,0))&gt;=100000), " ",IF(INDEX($Q$2:$U$1001,MATCH(ROWS($J$2:J271),$J$2:$J$1001,0),MATCH(COLUMNS($Q$1006:U1006),$Q$1006:$U$1006,0)), HYPERLINK("#",""), HYPERLINK(CONCATENATE("#Metadata!", ADDRESS(INDEX($L$2:$L$1001,MATCH(ROWS($J$2:J271),$J$2:$J$1001,0),0), INDEX($Q$1004:$U$1004,1,MATCH(COLUMNS($Q$1006:U1006),$Q$1006:$U$1006,0)))),"Fix")))</f>
        <v xml:space="preserve"> </v>
      </c>
      <c r="J271">
        <f ca="1"/>
        <v>270</v>
      </c>
      <c r="K271">
        <v>100271</v>
      </c>
      <c r="L271">
        <v>271</v>
      </c>
      <c r="M271" t="b">
        <f t="shared" si="4"/>
        <v>1</v>
      </c>
      <c r="N271" t="b">
        <f>COUNTBLANK(Metadata!B271:F271)=COLUMNS(Metadata!B271:F271)</f>
        <v>1</v>
      </c>
      <c r="O271" t="str">
        <v/>
      </c>
      <c r="Q271" t="b">
        <f ca="1"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R271" t="b">
        <f>IF(Metadata!C271="",FALSE,TRUE)</f>
        <v>0</v>
      </c>
      <c r="S271" t="b">
        <f>OR(AND(IF(Metadata!D271="",FALSE,TRUE),EXACT(Metadata!D271,"missing: not collected")),AND(IF(Metadata!D271="",FALSE,TRUE),OR(EXACT(Metadata!D271,"t"),EXACT(Metadata!D271,"f"))))</f>
        <v>0</v>
      </c>
      <c r="T271" t="b">
        <f>AND(IF(Metadata!E271="",FALSE,TRUE),OR(EXACT(Metadata!E271,"a"),EXACT(Metadata!E271,"b")))</f>
        <v>0</v>
      </c>
      <c r="U271" t="b">
        <f>OR(AND(IF(Metadata!F271="",FALSE,TRUE),OR(EXACT(Metadata!F271,"missing: not collected"),EXACT(Metadata!F271,"missing: not provided"))),AND(IF(Metadata!F271="",FALSE,TRUE),OR(EXACT(Metadata!F271,"lo"),EXACT(Metadata!F271,"med"),EXACT(Metadata!F271,"hi"))))</f>
        <v>0</v>
      </c>
    </row>
    <row r="272" spans="1:21" x14ac:dyDescent="0.2">
      <c r="A272" s="4" t="str">
        <f ca="1">IF(B272=" "," ",HYPERLINK(CONCATENATE("#metadata!",ADDRESS(INDEX($L$2:$L$1001,MATCH(ROWS($J$2:J272),$J$2:$J$1001,0),0),1)),INDEX($O$2:$O$1001,MATCH(ROWS($J$2:J272),$J$2:$J$1001,0),0)))</f>
        <v xml:space="preserve"> </v>
      </c>
      <c r="B272" s="3" t="str">
        <f ca="1">IF(OR(INDEX($K$2:$K$1001,MATCH(ROWS($J$2:J272),$J$2:$J$1001,0),1)&gt;=100000,INDEX($Q$1005:$U$1005,1,MATCH(COLUMNS($Q$1006:Q1006),$Q$1006:$U$1006,0))&gt;=100000), " ",IF(INDEX($Q$2:$U$1001,MATCH(ROWS($J$2:J272),$J$2:$J$1001,0),MATCH(COLUMNS($Q$1006:Q1006),$Q$1006:$U$1006,0)), HYPERLINK("#",""), HYPERLINK(CONCATENATE("#Metadata!", ADDRESS(INDEX($L$2:$L$1001,MATCH(ROWS($J$2:J272),$J$2:$J$1001,0),0), INDEX($Q$1004:$U$1004,1,MATCH(COLUMNS($Q$1006:Q1006),$Q$1006:$U$1006,0)))),"Fix")))</f>
        <v xml:space="preserve"> </v>
      </c>
      <c r="C272" s="3" t="str">
        <f ca="1">IF(OR(INDEX($K$2:$K$1001,MATCH(ROWS($J$2:J272),$J$2:$J$1001,0),1)&gt;=100000,INDEX($Q$1005:$U$1005,1,MATCH(COLUMNS($Q$1006:R1006),$Q$1006:$U$1006,0))&gt;=100000), " ",IF(INDEX($Q$2:$U$1001,MATCH(ROWS($J$2:J272),$J$2:$J$1001,0),MATCH(COLUMNS($Q$1006:R1006),$Q$1006:$U$1006,0)), HYPERLINK("#",""), HYPERLINK(CONCATENATE("#Metadata!", ADDRESS(INDEX($L$2:$L$1001,MATCH(ROWS($J$2:J272),$J$2:$J$1001,0),0), INDEX($Q$1004:$U$1004,1,MATCH(COLUMNS($Q$1006:R1006),$Q$1006:$U$1006,0)))),"Fix")))</f>
        <v xml:space="preserve"> </v>
      </c>
      <c r="D272" s="3" t="str">
        <f ca="1">IF(OR(INDEX($K$2:$K$1001,MATCH(ROWS($J$2:J272),$J$2:$J$1001,0),1)&gt;=100000,INDEX($Q$1005:$U$1005,1,MATCH(COLUMNS($Q$1006:S1006),$Q$1006:$U$1006,0))&gt;=100000), " ",IF(INDEX($Q$2:$U$1001,MATCH(ROWS($J$2:J272),$J$2:$J$1001,0),MATCH(COLUMNS($Q$1006:S1006),$Q$1006:$U$1006,0)), HYPERLINK("#",""), HYPERLINK(CONCATENATE("#Metadata!", ADDRESS(INDEX($L$2:$L$1001,MATCH(ROWS($J$2:J272),$J$2:$J$1001,0),0), INDEX($Q$1004:$U$1004,1,MATCH(COLUMNS($Q$1006:S1006),$Q$1006:$U$1006,0)))),"Fix")))</f>
        <v xml:space="preserve"> </v>
      </c>
      <c r="E272" s="3" t="str">
        <f ca="1">IF(OR(INDEX($K$2:$K$1001,MATCH(ROWS($J$2:J272),$J$2:$J$1001,0),1)&gt;=100000,INDEX($Q$1005:$U$1005,1,MATCH(COLUMNS($Q$1006:T1006),$Q$1006:$U$1006,0))&gt;=100000), " ",IF(INDEX($Q$2:$U$1001,MATCH(ROWS($J$2:J272),$J$2:$J$1001,0),MATCH(COLUMNS($Q$1006:T1006),$Q$1006:$U$1006,0)), HYPERLINK("#",""), HYPERLINK(CONCATENATE("#Metadata!", ADDRESS(INDEX($L$2:$L$1001,MATCH(ROWS($J$2:J272),$J$2:$J$1001,0),0), INDEX($Q$1004:$U$1004,1,MATCH(COLUMNS($Q$1006:T1006),$Q$1006:$U$1006,0)))),"Fix")))</f>
        <v xml:space="preserve"> </v>
      </c>
      <c r="F272" s="3" t="str">
        <f ca="1">IF(OR(INDEX($K$2:$K$1001,MATCH(ROWS($J$2:J272),$J$2:$J$1001,0),1)&gt;=100000,INDEX($Q$1005:$U$1005,1,MATCH(COLUMNS($Q$1006:U1006),$Q$1006:$U$1006,0))&gt;=100000), " ",IF(INDEX($Q$2:$U$1001,MATCH(ROWS($J$2:J272),$J$2:$J$1001,0),MATCH(COLUMNS($Q$1006:U1006),$Q$1006:$U$1006,0)), HYPERLINK("#",""), HYPERLINK(CONCATENATE("#Metadata!", ADDRESS(INDEX($L$2:$L$1001,MATCH(ROWS($J$2:J272),$J$2:$J$1001,0),0), INDEX($Q$1004:$U$1004,1,MATCH(COLUMNS($Q$1006:U1006),$Q$1006:$U$1006,0)))),"Fix")))</f>
        <v xml:space="preserve"> </v>
      </c>
      <c r="J272">
        <f ca="1"/>
        <v>271</v>
      </c>
      <c r="K272">
        <v>100272</v>
      </c>
      <c r="L272">
        <v>272</v>
      </c>
      <c r="M272" t="b">
        <f t="shared" si="4"/>
        <v>1</v>
      </c>
      <c r="N272" t="b">
        <f>COUNTBLANK(Metadata!B272:F272)=COLUMNS(Metadata!B272:F272)</f>
        <v>1</v>
      </c>
      <c r="O272" t="str">
        <v/>
      </c>
      <c r="Q272" t="b">
        <f ca="1"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R272" t="b">
        <f>IF(Metadata!C272="",FALSE,TRUE)</f>
        <v>0</v>
      </c>
      <c r="S272" t="b">
        <f>OR(AND(IF(Metadata!D272="",FALSE,TRUE),EXACT(Metadata!D272,"missing: not collected")),AND(IF(Metadata!D272="",FALSE,TRUE),OR(EXACT(Metadata!D272,"t"),EXACT(Metadata!D272,"f"))))</f>
        <v>0</v>
      </c>
      <c r="T272" t="b">
        <f>AND(IF(Metadata!E272="",FALSE,TRUE),OR(EXACT(Metadata!E272,"a"),EXACT(Metadata!E272,"b")))</f>
        <v>0</v>
      </c>
      <c r="U272" t="b">
        <f>OR(AND(IF(Metadata!F272="",FALSE,TRUE),OR(EXACT(Metadata!F272,"missing: not collected"),EXACT(Metadata!F272,"missing: not provided"))),AND(IF(Metadata!F272="",FALSE,TRUE),OR(EXACT(Metadata!F272,"lo"),EXACT(Metadata!F272,"med"),EXACT(Metadata!F272,"hi"))))</f>
        <v>0</v>
      </c>
    </row>
    <row r="273" spans="1:21" x14ac:dyDescent="0.2">
      <c r="A273" s="4" t="str">
        <f ca="1">IF(B273=" "," ",HYPERLINK(CONCATENATE("#metadata!",ADDRESS(INDEX($L$2:$L$1001,MATCH(ROWS($J$2:J273),$J$2:$J$1001,0),0),1)),INDEX($O$2:$O$1001,MATCH(ROWS($J$2:J273),$J$2:$J$1001,0),0)))</f>
        <v xml:space="preserve"> </v>
      </c>
      <c r="B273" s="3" t="str">
        <f ca="1">IF(OR(INDEX($K$2:$K$1001,MATCH(ROWS($J$2:J273),$J$2:$J$1001,0),1)&gt;=100000,INDEX($Q$1005:$U$1005,1,MATCH(COLUMNS($Q$1006:Q1006),$Q$1006:$U$1006,0))&gt;=100000), " ",IF(INDEX($Q$2:$U$1001,MATCH(ROWS($J$2:J273),$J$2:$J$1001,0),MATCH(COLUMNS($Q$1006:Q1006),$Q$1006:$U$1006,0)), HYPERLINK("#",""), HYPERLINK(CONCATENATE("#Metadata!", ADDRESS(INDEX($L$2:$L$1001,MATCH(ROWS($J$2:J273),$J$2:$J$1001,0),0), INDEX($Q$1004:$U$1004,1,MATCH(COLUMNS($Q$1006:Q1006),$Q$1006:$U$1006,0)))),"Fix")))</f>
        <v xml:space="preserve"> </v>
      </c>
      <c r="C273" s="3" t="str">
        <f ca="1">IF(OR(INDEX($K$2:$K$1001,MATCH(ROWS($J$2:J273),$J$2:$J$1001,0),1)&gt;=100000,INDEX($Q$1005:$U$1005,1,MATCH(COLUMNS($Q$1006:R1006),$Q$1006:$U$1006,0))&gt;=100000), " ",IF(INDEX($Q$2:$U$1001,MATCH(ROWS($J$2:J273),$J$2:$J$1001,0),MATCH(COLUMNS($Q$1006:R1006),$Q$1006:$U$1006,0)), HYPERLINK("#",""), HYPERLINK(CONCATENATE("#Metadata!", ADDRESS(INDEX($L$2:$L$1001,MATCH(ROWS($J$2:J273),$J$2:$J$1001,0),0), INDEX($Q$1004:$U$1004,1,MATCH(COLUMNS($Q$1006:R1006),$Q$1006:$U$1006,0)))),"Fix")))</f>
        <v xml:space="preserve"> </v>
      </c>
      <c r="D273" s="3" t="str">
        <f ca="1">IF(OR(INDEX($K$2:$K$1001,MATCH(ROWS($J$2:J273),$J$2:$J$1001,0),1)&gt;=100000,INDEX($Q$1005:$U$1005,1,MATCH(COLUMNS($Q$1006:S1006),$Q$1006:$U$1006,0))&gt;=100000), " ",IF(INDEX($Q$2:$U$1001,MATCH(ROWS($J$2:J273),$J$2:$J$1001,0),MATCH(COLUMNS($Q$1006:S1006),$Q$1006:$U$1006,0)), HYPERLINK("#",""), HYPERLINK(CONCATENATE("#Metadata!", ADDRESS(INDEX($L$2:$L$1001,MATCH(ROWS($J$2:J273),$J$2:$J$1001,0),0), INDEX($Q$1004:$U$1004,1,MATCH(COLUMNS($Q$1006:S1006),$Q$1006:$U$1006,0)))),"Fix")))</f>
        <v xml:space="preserve"> </v>
      </c>
      <c r="E273" s="3" t="str">
        <f ca="1">IF(OR(INDEX($K$2:$K$1001,MATCH(ROWS($J$2:J273),$J$2:$J$1001,0),1)&gt;=100000,INDEX($Q$1005:$U$1005,1,MATCH(COLUMNS($Q$1006:T1006),$Q$1006:$U$1006,0))&gt;=100000), " ",IF(INDEX($Q$2:$U$1001,MATCH(ROWS($J$2:J273),$J$2:$J$1001,0),MATCH(COLUMNS($Q$1006:T1006),$Q$1006:$U$1006,0)), HYPERLINK("#",""), HYPERLINK(CONCATENATE("#Metadata!", ADDRESS(INDEX($L$2:$L$1001,MATCH(ROWS($J$2:J273),$J$2:$J$1001,0),0), INDEX($Q$1004:$U$1004,1,MATCH(COLUMNS($Q$1006:T1006),$Q$1006:$U$1006,0)))),"Fix")))</f>
        <v xml:space="preserve"> </v>
      </c>
      <c r="F273" s="3" t="str">
        <f ca="1">IF(OR(INDEX($K$2:$K$1001,MATCH(ROWS($J$2:J273),$J$2:$J$1001,0),1)&gt;=100000,INDEX($Q$1005:$U$1005,1,MATCH(COLUMNS($Q$1006:U1006),$Q$1006:$U$1006,0))&gt;=100000), " ",IF(INDEX($Q$2:$U$1001,MATCH(ROWS($J$2:J273),$J$2:$J$1001,0),MATCH(COLUMNS($Q$1006:U1006),$Q$1006:$U$1006,0)), HYPERLINK("#",""), HYPERLINK(CONCATENATE("#Metadata!", ADDRESS(INDEX($L$2:$L$1001,MATCH(ROWS($J$2:J273),$J$2:$J$1001,0),0), INDEX($Q$1004:$U$1004,1,MATCH(COLUMNS($Q$1006:U1006),$Q$1006:$U$1006,0)))),"Fix")))</f>
        <v xml:space="preserve"> </v>
      </c>
      <c r="J273">
        <f ca="1"/>
        <v>272</v>
      </c>
      <c r="K273">
        <v>100273</v>
      </c>
      <c r="L273">
        <v>273</v>
      </c>
      <c r="M273" t="b">
        <f t="shared" si="4"/>
        <v>1</v>
      </c>
      <c r="N273" t="b">
        <f>COUNTBLANK(Metadata!B273:F273)=COLUMNS(Metadata!B273:F273)</f>
        <v>1</v>
      </c>
      <c r="O273" t="str">
        <v/>
      </c>
      <c r="Q273" t="b">
        <f ca="1"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R273" t="b">
        <f>IF(Metadata!C273="",FALSE,TRUE)</f>
        <v>0</v>
      </c>
      <c r="S273" t="b">
        <f>OR(AND(IF(Metadata!D273="",FALSE,TRUE),EXACT(Metadata!D273,"missing: not collected")),AND(IF(Metadata!D273="",FALSE,TRUE),OR(EXACT(Metadata!D273,"t"),EXACT(Metadata!D273,"f"))))</f>
        <v>0</v>
      </c>
      <c r="T273" t="b">
        <f>AND(IF(Metadata!E273="",FALSE,TRUE),OR(EXACT(Metadata!E273,"a"),EXACT(Metadata!E273,"b")))</f>
        <v>0</v>
      </c>
      <c r="U273" t="b">
        <f>OR(AND(IF(Metadata!F273="",FALSE,TRUE),OR(EXACT(Metadata!F273,"missing: not collected"),EXACT(Metadata!F273,"missing: not provided"))),AND(IF(Metadata!F273="",FALSE,TRUE),OR(EXACT(Metadata!F273,"lo"),EXACT(Metadata!F273,"med"),EXACT(Metadata!F273,"hi"))))</f>
        <v>0</v>
      </c>
    </row>
    <row r="274" spans="1:21" x14ac:dyDescent="0.2">
      <c r="A274" s="4" t="str">
        <f ca="1">IF(B274=" "," ",HYPERLINK(CONCATENATE("#metadata!",ADDRESS(INDEX($L$2:$L$1001,MATCH(ROWS($J$2:J274),$J$2:$J$1001,0),0),1)),INDEX($O$2:$O$1001,MATCH(ROWS($J$2:J274),$J$2:$J$1001,0),0)))</f>
        <v xml:space="preserve"> </v>
      </c>
      <c r="B274" s="3" t="str">
        <f ca="1">IF(OR(INDEX($K$2:$K$1001,MATCH(ROWS($J$2:J274),$J$2:$J$1001,0),1)&gt;=100000,INDEX($Q$1005:$U$1005,1,MATCH(COLUMNS($Q$1006:Q1006),$Q$1006:$U$1006,0))&gt;=100000), " ",IF(INDEX($Q$2:$U$1001,MATCH(ROWS($J$2:J274),$J$2:$J$1001,0),MATCH(COLUMNS($Q$1006:Q1006),$Q$1006:$U$1006,0)), HYPERLINK("#",""), HYPERLINK(CONCATENATE("#Metadata!", ADDRESS(INDEX($L$2:$L$1001,MATCH(ROWS($J$2:J274),$J$2:$J$1001,0),0), INDEX($Q$1004:$U$1004,1,MATCH(COLUMNS($Q$1006:Q1006),$Q$1006:$U$1006,0)))),"Fix")))</f>
        <v xml:space="preserve"> </v>
      </c>
      <c r="C274" s="3" t="str">
        <f ca="1">IF(OR(INDEX($K$2:$K$1001,MATCH(ROWS($J$2:J274),$J$2:$J$1001,0),1)&gt;=100000,INDEX($Q$1005:$U$1005,1,MATCH(COLUMNS($Q$1006:R1006),$Q$1006:$U$1006,0))&gt;=100000), " ",IF(INDEX($Q$2:$U$1001,MATCH(ROWS($J$2:J274),$J$2:$J$1001,0),MATCH(COLUMNS($Q$1006:R1006),$Q$1006:$U$1006,0)), HYPERLINK("#",""), HYPERLINK(CONCATENATE("#Metadata!", ADDRESS(INDEX($L$2:$L$1001,MATCH(ROWS($J$2:J274),$J$2:$J$1001,0),0), INDEX($Q$1004:$U$1004,1,MATCH(COLUMNS($Q$1006:R1006),$Q$1006:$U$1006,0)))),"Fix")))</f>
        <v xml:space="preserve"> </v>
      </c>
      <c r="D274" s="3" t="str">
        <f ca="1">IF(OR(INDEX($K$2:$K$1001,MATCH(ROWS($J$2:J274),$J$2:$J$1001,0),1)&gt;=100000,INDEX($Q$1005:$U$1005,1,MATCH(COLUMNS($Q$1006:S1006),$Q$1006:$U$1006,0))&gt;=100000), " ",IF(INDEX($Q$2:$U$1001,MATCH(ROWS($J$2:J274),$J$2:$J$1001,0),MATCH(COLUMNS($Q$1006:S1006),$Q$1006:$U$1006,0)), HYPERLINK("#",""), HYPERLINK(CONCATENATE("#Metadata!", ADDRESS(INDEX($L$2:$L$1001,MATCH(ROWS($J$2:J274),$J$2:$J$1001,0),0), INDEX($Q$1004:$U$1004,1,MATCH(COLUMNS($Q$1006:S1006),$Q$1006:$U$1006,0)))),"Fix")))</f>
        <v xml:space="preserve"> </v>
      </c>
      <c r="E274" s="3" t="str">
        <f ca="1">IF(OR(INDEX($K$2:$K$1001,MATCH(ROWS($J$2:J274),$J$2:$J$1001,0),1)&gt;=100000,INDEX($Q$1005:$U$1005,1,MATCH(COLUMNS($Q$1006:T1006),$Q$1006:$U$1006,0))&gt;=100000), " ",IF(INDEX($Q$2:$U$1001,MATCH(ROWS($J$2:J274),$J$2:$J$1001,0),MATCH(COLUMNS($Q$1006:T1006),$Q$1006:$U$1006,0)), HYPERLINK("#",""), HYPERLINK(CONCATENATE("#Metadata!", ADDRESS(INDEX($L$2:$L$1001,MATCH(ROWS($J$2:J274),$J$2:$J$1001,0),0), INDEX($Q$1004:$U$1004,1,MATCH(COLUMNS($Q$1006:T1006),$Q$1006:$U$1006,0)))),"Fix")))</f>
        <v xml:space="preserve"> </v>
      </c>
      <c r="F274" s="3" t="str">
        <f ca="1">IF(OR(INDEX($K$2:$K$1001,MATCH(ROWS($J$2:J274),$J$2:$J$1001,0),1)&gt;=100000,INDEX($Q$1005:$U$1005,1,MATCH(COLUMNS($Q$1006:U1006),$Q$1006:$U$1006,0))&gt;=100000), " ",IF(INDEX($Q$2:$U$1001,MATCH(ROWS($J$2:J274),$J$2:$J$1001,0),MATCH(COLUMNS($Q$1006:U1006),$Q$1006:$U$1006,0)), HYPERLINK("#",""), HYPERLINK(CONCATENATE("#Metadata!", ADDRESS(INDEX($L$2:$L$1001,MATCH(ROWS($J$2:J274),$J$2:$J$1001,0),0), INDEX($Q$1004:$U$1004,1,MATCH(COLUMNS($Q$1006:U1006),$Q$1006:$U$1006,0)))),"Fix")))</f>
        <v xml:space="preserve"> </v>
      </c>
      <c r="J274">
        <f ca="1"/>
        <v>273</v>
      </c>
      <c r="K274">
        <v>100274</v>
      </c>
      <c r="L274">
        <v>274</v>
      </c>
      <c r="M274" t="b">
        <f t="shared" si="4"/>
        <v>1</v>
      </c>
      <c r="N274" t="b">
        <f>COUNTBLANK(Metadata!B274:F274)=COLUMNS(Metadata!B274:F274)</f>
        <v>1</v>
      </c>
      <c r="O274" t="str">
        <v/>
      </c>
      <c r="Q274" t="b">
        <f ca="1"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R274" t="b">
        <f>IF(Metadata!C274="",FALSE,TRUE)</f>
        <v>0</v>
      </c>
      <c r="S274" t="b">
        <f>OR(AND(IF(Metadata!D274="",FALSE,TRUE),EXACT(Metadata!D274,"missing: not collected")),AND(IF(Metadata!D274="",FALSE,TRUE),OR(EXACT(Metadata!D274,"t"),EXACT(Metadata!D274,"f"))))</f>
        <v>0</v>
      </c>
      <c r="T274" t="b">
        <f>AND(IF(Metadata!E274="",FALSE,TRUE),OR(EXACT(Metadata!E274,"a"),EXACT(Metadata!E274,"b")))</f>
        <v>0</v>
      </c>
      <c r="U274" t="b">
        <f>OR(AND(IF(Metadata!F274="",FALSE,TRUE),OR(EXACT(Metadata!F274,"missing: not collected"),EXACT(Metadata!F274,"missing: not provided"))),AND(IF(Metadata!F274="",FALSE,TRUE),OR(EXACT(Metadata!F274,"lo"),EXACT(Metadata!F274,"med"),EXACT(Metadata!F274,"hi"))))</f>
        <v>0</v>
      </c>
    </row>
    <row r="275" spans="1:21" x14ac:dyDescent="0.2">
      <c r="A275" s="4" t="str">
        <f ca="1">IF(B275=" "," ",HYPERLINK(CONCATENATE("#metadata!",ADDRESS(INDEX($L$2:$L$1001,MATCH(ROWS($J$2:J275),$J$2:$J$1001,0),0),1)),INDEX($O$2:$O$1001,MATCH(ROWS($J$2:J275),$J$2:$J$1001,0),0)))</f>
        <v xml:space="preserve"> </v>
      </c>
      <c r="B275" s="3" t="str">
        <f ca="1">IF(OR(INDEX($K$2:$K$1001,MATCH(ROWS($J$2:J275),$J$2:$J$1001,0),1)&gt;=100000,INDEX($Q$1005:$U$1005,1,MATCH(COLUMNS($Q$1006:Q1006),$Q$1006:$U$1006,0))&gt;=100000), " ",IF(INDEX($Q$2:$U$1001,MATCH(ROWS($J$2:J275),$J$2:$J$1001,0),MATCH(COLUMNS($Q$1006:Q1006),$Q$1006:$U$1006,0)), HYPERLINK("#",""), HYPERLINK(CONCATENATE("#Metadata!", ADDRESS(INDEX($L$2:$L$1001,MATCH(ROWS($J$2:J275),$J$2:$J$1001,0),0), INDEX($Q$1004:$U$1004,1,MATCH(COLUMNS($Q$1006:Q1006),$Q$1006:$U$1006,0)))),"Fix")))</f>
        <v xml:space="preserve"> </v>
      </c>
      <c r="C275" s="3" t="str">
        <f ca="1">IF(OR(INDEX($K$2:$K$1001,MATCH(ROWS($J$2:J275),$J$2:$J$1001,0),1)&gt;=100000,INDEX($Q$1005:$U$1005,1,MATCH(COLUMNS($Q$1006:R1006),$Q$1006:$U$1006,0))&gt;=100000), " ",IF(INDEX($Q$2:$U$1001,MATCH(ROWS($J$2:J275),$J$2:$J$1001,0),MATCH(COLUMNS($Q$1006:R1006),$Q$1006:$U$1006,0)), HYPERLINK("#",""), HYPERLINK(CONCATENATE("#Metadata!", ADDRESS(INDEX($L$2:$L$1001,MATCH(ROWS($J$2:J275),$J$2:$J$1001,0),0), INDEX($Q$1004:$U$1004,1,MATCH(COLUMNS($Q$1006:R1006),$Q$1006:$U$1006,0)))),"Fix")))</f>
        <v xml:space="preserve"> </v>
      </c>
      <c r="D275" s="3" t="str">
        <f ca="1">IF(OR(INDEX($K$2:$K$1001,MATCH(ROWS($J$2:J275),$J$2:$J$1001,0),1)&gt;=100000,INDEX($Q$1005:$U$1005,1,MATCH(COLUMNS($Q$1006:S1006),$Q$1006:$U$1006,0))&gt;=100000), " ",IF(INDEX($Q$2:$U$1001,MATCH(ROWS($J$2:J275),$J$2:$J$1001,0),MATCH(COLUMNS($Q$1006:S1006),$Q$1006:$U$1006,0)), HYPERLINK("#",""), HYPERLINK(CONCATENATE("#Metadata!", ADDRESS(INDEX($L$2:$L$1001,MATCH(ROWS($J$2:J275),$J$2:$J$1001,0),0), INDEX($Q$1004:$U$1004,1,MATCH(COLUMNS($Q$1006:S1006),$Q$1006:$U$1006,0)))),"Fix")))</f>
        <v xml:space="preserve"> </v>
      </c>
      <c r="E275" s="3" t="str">
        <f ca="1">IF(OR(INDEX($K$2:$K$1001,MATCH(ROWS($J$2:J275),$J$2:$J$1001,0),1)&gt;=100000,INDEX($Q$1005:$U$1005,1,MATCH(COLUMNS($Q$1006:T1006),$Q$1006:$U$1006,0))&gt;=100000), " ",IF(INDEX($Q$2:$U$1001,MATCH(ROWS($J$2:J275),$J$2:$J$1001,0),MATCH(COLUMNS($Q$1006:T1006),$Q$1006:$U$1006,0)), HYPERLINK("#",""), HYPERLINK(CONCATENATE("#Metadata!", ADDRESS(INDEX($L$2:$L$1001,MATCH(ROWS($J$2:J275),$J$2:$J$1001,0),0), INDEX($Q$1004:$U$1004,1,MATCH(COLUMNS($Q$1006:T1006),$Q$1006:$U$1006,0)))),"Fix")))</f>
        <v xml:space="preserve"> </v>
      </c>
      <c r="F275" s="3" t="str">
        <f ca="1">IF(OR(INDEX($K$2:$K$1001,MATCH(ROWS($J$2:J275),$J$2:$J$1001,0),1)&gt;=100000,INDEX($Q$1005:$U$1005,1,MATCH(COLUMNS($Q$1006:U1006),$Q$1006:$U$1006,0))&gt;=100000), " ",IF(INDEX($Q$2:$U$1001,MATCH(ROWS($J$2:J275),$J$2:$J$1001,0),MATCH(COLUMNS($Q$1006:U1006),$Q$1006:$U$1006,0)), HYPERLINK("#",""), HYPERLINK(CONCATENATE("#Metadata!", ADDRESS(INDEX($L$2:$L$1001,MATCH(ROWS($J$2:J275),$J$2:$J$1001,0),0), INDEX($Q$1004:$U$1004,1,MATCH(COLUMNS($Q$1006:U1006),$Q$1006:$U$1006,0)))),"Fix")))</f>
        <v xml:space="preserve"> </v>
      </c>
      <c r="J275">
        <f ca="1"/>
        <v>274</v>
      </c>
      <c r="K275">
        <v>100275</v>
      </c>
      <c r="L275">
        <v>275</v>
      </c>
      <c r="M275" t="b">
        <f t="shared" si="4"/>
        <v>1</v>
      </c>
      <c r="N275" t="b">
        <f>COUNTBLANK(Metadata!B275:F275)=COLUMNS(Metadata!B275:F275)</f>
        <v>1</v>
      </c>
      <c r="O275" t="str">
        <v/>
      </c>
      <c r="Q275" t="b">
        <f ca="1"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R275" t="b">
        <f>IF(Metadata!C275="",FALSE,TRUE)</f>
        <v>0</v>
      </c>
      <c r="S275" t="b">
        <f>OR(AND(IF(Metadata!D275="",FALSE,TRUE),EXACT(Metadata!D275,"missing: not collected")),AND(IF(Metadata!D275="",FALSE,TRUE),OR(EXACT(Metadata!D275,"t"),EXACT(Metadata!D275,"f"))))</f>
        <v>0</v>
      </c>
      <c r="T275" t="b">
        <f>AND(IF(Metadata!E275="",FALSE,TRUE),OR(EXACT(Metadata!E275,"a"),EXACT(Metadata!E275,"b")))</f>
        <v>0</v>
      </c>
      <c r="U275" t="b">
        <f>OR(AND(IF(Metadata!F275="",FALSE,TRUE),OR(EXACT(Metadata!F275,"missing: not collected"),EXACT(Metadata!F275,"missing: not provided"))),AND(IF(Metadata!F275="",FALSE,TRUE),OR(EXACT(Metadata!F275,"lo"),EXACT(Metadata!F275,"med"),EXACT(Metadata!F275,"hi"))))</f>
        <v>0</v>
      </c>
    </row>
    <row r="276" spans="1:21" x14ac:dyDescent="0.2">
      <c r="A276" s="4" t="str">
        <f ca="1">IF(B276=" "," ",HYPERLINK(CONCATENATE("#metadata!",ADDRESS(INDEX($L$2:$L$1001,MATCH(ROWS($J$2:J276),$J$2:$J$1001,0),0),1)),INDEX($O$2:$O$1001,MATCH(ROWS($J$2:J276),$J$2:$J$1001,0),0)))</f>
        <v xml:space="preserve"> </v>
      </c>
      <c r="B276" s="3" t="str">
        <f ca="1">IF(OR(INDEX($K$2:$K$1001,MATCH(ROWS($J$2:J276),$J$2:$J$1001,0),1)&gt;=100000,INDEX($Q$1005:$U$1005,1,MATCH(COLUMNS($Q$1006:Q1006),$Q$1006:$U$1006,0))&gt;=100000), " ",IF(INDEX($Q$2:$U$1001,MATCH(ROWS($J$2:J276),$J$2:$J$1001,0),MATCH(COLUMNS($Q$1006:Q1006),$Q$1006:$U$1006,0)), HYPERLINK("#",""), HYPERLINK(CONCATENATE("#Metadata!", ADDRESS(INDEX($L$2:$L$1001,MATCH(ROWS($J$2:J276),$J$2:$J$1001,0),0), INDEX($Q$1004:$U$1004,1,MATCH(COLUMNS($Q$1006:Q1006),$Q$1006:$U$1006,0)))),"Fix")))</f>
        <v xml:space="preserve"> </v>
      </c>
      <c r="C276" s="3" t="str">
        <f ca="1">IF(OR(INDEX($K$2:$K$1001,MATCH(ROWS($J$2:J276),$J$2:$J$1001,0),1)&gt;=100000,INDEX($Q$1005:$U$1005,1,MATCH(COLUMNS($Q$1006:R1006),$Q$1006:$U$1006,0))&gt;=100000), " ",IF(INDEX($Q$2:$U$1001,MATCH(ROWS($J$2:J276),$J$2:$J$1001,0),MATCH(COLUMNS($Q$1006:R1006),$Q$1006:$U$1006,0)), HYPERLINK("#",""), HYPERLINK(CONCATENATE("#Metadata!", ADDRESS(INDEX($L$2:$L$1001,MATCH(ROWS($J$2:J276),$J$2:$J$1001,0),0), INDEX($Q$1004:$U$1004,1,MATCH(COLUMNS($Q$1006:R1006),$Q$1006:$U$1006,0)))),"Fix")))</f>
        <v xml:space="preserve"> </v>
      </c>
      <c r="D276" s="3" t="str">
        <f ca="1">IF(OR(INDEX($K$2:$K$1001,MATCH(ROWS($J$2:J276),$J$2:$J$1001,0),1)&gt;=100000,INDEX($Q$1005:$U$1005,1,MATCH(COLUMNS($Q$1006:S1006),$Q$1006:$U$1006,0))&gt;=100000), " ",IF(INDEX($Q$2:$U$1001,MATCH(ROWS($J$2:J276),$J$2:$J$1001,0),MATCH(COLUMNS($Q$1006:S1006),$Q$1006:$U$1006,0)), HYPERLINK("#",""), HYPERLINK(CONCATENATE("#Metadata!", ADDRESS(INDEX($L$2:$L$1001,MATCH(ROWS($J$2:J276),$J$2:$J$1001,0),0), INDEX($Q$1004:$U$1004,1,MATCH(COLUMNS($Q$1006:S1006),$Q$1006:$U$1006,0)))),"Fix")))</f>
        <v xml:space="preserve"> </v>
      </c>
      <c r="E276" s="3" t="str">
        <f ca="1">IF(OR(INDEX($K$2:$K$1001,MATCH(ROWS($J$2:J276),$J$2:$J$1001,0),1)&gt;=100000,INDEX($Q$1005:$U$1005,1,MATCH(COLUMNS($Q$1006:T1006),$Q$1006:$U$1006,0))&gt;=100000), " ",IF(INDEX($Q$2:$U$1001,MATCH(ROWS($J$2:J276),$J$2:$J$1001,0),MATCH(COLUMNS($Q$1006:T1006),$Q$1006:$U$1006,0)), HYPERLINK("#",""), HYPERLINK(CONCATENATE("#Metadata!", ADDRESS(INDEX($L$2:$L$1001,MATCH(ROWS($J$2:J276),$J$2:$J$1001,0),0), INDEX($Q$1004:$U$1004,1,MATCH(COLUMNS($Q$1006:T1006),$Q$1006:$U$1006,0)))),"Fix")))</f>
        <v xml:space="preserve"> </v>
      </c>
      <c r="F276" s="3" t="str">
        <f ca="1">IF(OR(INDEX($K$2:$K$1001,MATCH(ROWS($J$2:J276),$J$2:$J$1001,0),1)&gt;=100000,INDEX($Q$1005:$U$1005,1,MATCH(COLUMNS($Q$1006:U1006),$Q$1006:$U$1006,0))&gt;=100000), " ",IF(INDEX($Q$2:$U$1001,MATCH(ROWS($J$2:J276),$J$2:$J$1001,0),MATCH(COLUMNS($Q$1006:U1006),$Q$1006:$U$1006,0)), HYPERLINK("#",""), HYPERLINK(CONCATENATE("#Metadata!", ADDRESS(INDEX($L$2:$L$1001,MATCH(ROWS($J$2:J276),$J$2:$J$1001,0),0), INDEX($Q$1004:$U$1004,1,MATCH(COLUMNS($Q$1006:U1006),$Q$1006:$U$1006,0)))),"Fix")))</f>
        <v xml:space="preserve"> </v>
      </c>
      <c r="J276">
        <f ca="1"/>
        <v>275</v>
      </c>
      <c r="K276">
        <v>100276</v>
      </c>
      <c r="L276">
        <v>276</v>
      </c>
      <c r="M276" t="b">
        <f t="shared" si="4"/>
        <v>1</v>
      </c>
      <c r="N276" t="b">
        <f>COUNTBLANK(Metadata!B276:F276)=COLUMNS(Metadata!B276:F276)</f>
        <v>1</v>
      </c>
      <c r="O276" t="str">
        <v/>
      </c>
      <c r="Q276" t="b">
        <f ca="1"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R276" t="b">
        <f>IF(Metadata!C276="",FALSE,TRUE)</f>
        <v>0</v>
      </c>
      <c r="S276" t="b">
        <f>OR(AND(IF(Metadata!D276="",FALSE,TRUE),EXACT(Metadata!D276,"missing: not collected")),AND(IF(Metadata!D276="",FALSE,TRUE),OR(EXACT(Metadata!D276,"t"),EXACT(Metadata!D276,"f"))))</f>
        <v>0</v>
      </c>
      <c r="T276" t="b">
        <f>AND(IF(Metadata!E276="",FALSE,TRUE),OR(EXACT(Metadata!E276,"a"),EXACT(Metadata!E276,"b")))</f>
        <v>0</v>
      </c>
      <c r="U276" t="b">
        <f>OR(AND(IF(Metadata!F276="",FALSE,TRUE),OR(EXACT(Metadata!F276,"missing: not collected"),EXACT(Metadata!F276,"missing: not provided"))),AND(IF(Metadata!F276="",FALSE,TRUE),OR(EXACT(Metadata!F276,"lo"),EXACT(Metadata!F276,"med"),EXACT(Metadata!F276,"hi"))))</f>
        <v>0</v>
      </c>
    </row>
    <row r="277" spans="1:21" x14ac:dyDescent="0.2">
      <c r="A277" s="4" t="str">
        <f ca="1">IF(B277=" "," ",HYPERLINK(CONCATENATE("#metadata!",ADDRESS(INDEX($L$2:$L$1001,MATCH(ROWS($J$2:J277),$J$2:$J$1001,0),0),1)),INDEX($O$2:$O$1001,MATCH(ROWS($J$2:J277),$J$2:$J$1001,0),0)))</f>
        <v xml:space="preserve"> </v>
      </c>
      <c r="B277" s="3" t="str">
        <f ca="1">IF(OR(INDEX($K$2:$K$1001,MATCH(ROWS($J$2:J277),$J$2:$J$1001,0),1)&gt;=100000,INDEX($Q$1005:$U$1005,1,MATCH(COLUMNS($Q$1006:Q1006),$Q$1006:$U$1006,0))&gt;=100000), " ",IF(INDEX($Q$2:$U$1001,MATCH(ROWS($J$2:J277),$J$2:$J$1001,0),MATCH(COLUMNS($Q$1006:Q1006),$Q$1006:$U$1006,0)), HYPERLINK("#",""), HYPERLINK(CONCATENATE("#Metadata!", ADDRESS(INDEX($L$2:$L$1001,MATCH(ROWS($J$2:J277),$J$2:$J$1001,0),0), INDEX($Q$1004:$U$1004,1,MATCH(COLUMNS($Q$1006:Q1006),$Q$1006:$U$1006,0)))),"Fix")))</f>
        <v xml:space="preserve"> </v>
      </c>
      <c r="C277" s="3" t="str">
        <f ca="1">IF(OR(INDEX($K$2:$K$1001,MATCH(ROWS($J$2:J277),$J$2:$J$1001,0),1)&gt;=100000,INDEX($Q$1005:$U$1005,1,MATCH(COLUMNS($Q$1006:R1006),$Q$1006:$U$1006,0))&gt;=100000), " ",IF(INDEX($Q$2:$U$1001,MATCH(ROWS($J$2:J277),$J$2:$J$1001,0),MATCH(COLUMNS($Q$1006:R1006),$Q$1006:$U$1006,0)), HYPERLINK("#",""), HYPERLINK(CONCATENATE("#Metadata!", ADDRESS(INDEX($L$2:$L$1001,MATCH(ROWS($J$2:J277),$J$2:$J$1001,0),0), INDEX($Q$1004:$U$1004,1,MATCH(COLUMNS($Q$1006:R1006),$Q$1006:$U$1006,0)))),"Fix")))</f>
        <v xml:space="preserve"> </v>
      </c>
      <c r="D277" s="3" t="str">
        <f ca="1">IF(OR(INDEX($K$2:$K$1001,MATCH(ROWS($J$2:J277),$J$2:$J$1001,0),1)&gt;=100000,INDEX($Q$1005:$U$1005,1,MATCH(COLUMNS($Q$1006:S1006),$Q$1006:$U$1006,0))&gt;=100000), " ",IF(INDEX($Q$2:$U$1001,MATCH(ROWS($J$2:J277),$J$2:$J$1001,0),MATCH(COLUMNS($Q$1006:S1006),$Q$1006:$U$1006,0)), HYPERLINK("#",""), HYPERLINK(CONCATENATE("#Metadata!", ADDRESS(INDEX($L$2:$L$1001,MATCH(ROWS($J$2:J277),$J$2:$J$1001,0),0), INDEX($Q$1004:$U$1004,1,MATCH(COLUMNS($Q$1006:S1006),$Q$1006:$U$1006,0)))),"Fix")))</f>
        <v xml:space="preserve"> </v>
      </c>
      <c r="E277" s="3" t="str">
        <f ca="1">IF(OR(INDEX($K$2:$K$1001,MATCH(ROWS($J$2:J277),$J$2:$J$1001,0),1)&gt;=100000,INDEX($Q$1005:$U$1005,1,MATCH(COLUMNS($Q$1006:T1006),$Q$1006:$U$1006,0))&gt;=100000), " ",IF(INDEX($Q$2:$U$1001,MATCH(ROWS($J$2:J277),$J$2:$J$1001,0),MATCH(COLUMNS($Q$1006:T1006),$Q$1006:$U$1006,0)), HYPERLINK("#",""), HYPERLINK(CONCATENATE("#Metadata!", ADDRESS(INDEX($L$2:$L$1001,MATCH(ROWS($J$2:J277),$J$2:$J$1001,0),0), INDEX($Q$1004:$U$1004,1,MATCH(COLUMNS($Q$1006:T1006),$Q$1006:$U$1006,0)))),"Fix")))</f>
        <v xml:space="preserve"> </v>
      </c>
      <c r="F277" s="3" t="str">
        <f ca="1">IF(OR(INDEX($K$2:$K$1001,MATCH(ROWS($J$2:J277),$J$2:$J$1001,0),1)&gt;=100000,INDEX($Q$1005:$U$1005,1,MATCH(COLUMNS($Q$1006:U1006),$Q$1006:$U$1006,0))&gt;=100000), " ",IF(INDEX($Q$2:$U$1001,MATCH(ROWS($J$2:J277),$J$2:$J$1001,0),MATCH(COLUMNS($Q$1006:U1006),$Q$1006:$U$1006,0)), HYPERLINK("#",""), HYPERLINK(CONCATENATE("#Metadata!", ADDRESS(INDEX($L$2:$L$1001,MATCH(ROWS($J$2:J277),$J$2:$J$1001,0),0), INDEX($Q$1004:$U$1004,1,MATCH(COLUMNS($Q$1006:U1006),$Q$1006:$U$1006,0)))),"Fix")))</f>
        <v xml:space="preserve"> </v>
      </c>
      <c r="J277">
        <f ca="1"/>
        <v>276</v>
      </c>
      <c r="K277">
        <v>100277</v>
      </c>
      <c r="L277">
        <v>277</v>
      </c>
      <c r="M277" t="b">
        <f t="shared" si="4"/>
        <v>1</v>
      </c>
      <c r="N277" t="b">
        <f>COUNTBLANK(Metadata!B277:F277)=COLUMNS(Metadata!B277:F277)</f>
        <v>1</v>
      </c>
      <c r="O277" t="str">
        <v/>
      </c>
      <c r="Q277" t="b">
        <f ca="1"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R277" t="b">
        <f>IF(Metadata!C277="",FALSE,TRUE)</f>
        <v>0</v>
      </c>
      <c r="S277" t="b">
        <f>OR(AND(IF(Metadata!D277="",FALSE,TRUE),EXACT(Metadata!D277,"missing: not collected")),AND(IF(Metadata!D277="",FALSE,TRUE),OR(EXACT(Metadata!D277,"t"),EXACT(Metadata!D277,"f"))))</f>
        <v>0</v>
      </c>
      <c r="T277" t="b">
        <f>AND(IF(Metadata!E277="",FALSE,TRUE),OR(EXACT(Metadata!E277,"a"),EXACT(Metadata!E277,"b")))</f>
        <v>0</v>
      </c>
      <c r="U277" t="b">
        <f>OR(AND(IF(Metadata!F277="",FALSE,TRUE),OR(EXACT(Metadata!F277,"missing: not collected"),EXACT(Metadata!F277,"missing: not provided"))),AND(IF(Metadata!F277="",FALSE,TRUE),OR(EXACT(Metadata!F277,"lo"),EXACT(Metadata!F277,"med"),EXACT(Metadata!F277,"hi"))))</f>
        <v>0</v>
      </c>
    </row>
    <row r="278" spans="1:21" x14ac:dyDescent="0.2">
      <c r="A278" s="4" t="str">
        <f ca="1">IF(B278=" "," ",HYPERLINK(CONCATENATE("#metadata!",ADDRESS(INDEX($L$2:$L$1001,MATCH(ROWS($J$2:J278),$J$2:$J$1001,0),0),1)),INDEX($O$2:$O$1001,MATCH(ROWS($J$2:J278),$J$2:$J$1001,0),0)))</f>
        <v xml:space="preserve"> </v>
      </c>
      <c r="B278" s="3" t="str">
        <f ca="1">IF(OR(INDEX($K$2:$K$1001,MATCH(ROWS($J$2:J278),$J$2:$J$1001,0),1)&gt;=100000,INDEX($Q$1005:$U$1005,1,MATCH(COLUMNS($Q$1006:Q1006),$Q$1006:$U$1006,0))&gt;=100000), " ",IF(INDEX($Q$2:$U$1001,MATCH(ROWS($J$2:J278),$J$2:$J$1001,0),MATCH(COLUMNS($Q$1006:Q1006),$Q$1006:$U$1006,0)), HYPERLINK("#",""), HYPERLINK(CONCATENATE("#Metadata!", ADDRESS(INDEX($L$2:$L$1001,MATCH(ROWS($J$2:J278),$J$2:$J$1001,0),0), INDEX($Q$1004:$U$1004,1,MATCH(COLUMNS($Q$1006:Q1006),$Q$1006:$U$1006,0)))),"Fix")))</f>
        <v xml:space="preserve"> </v>
      </c>
      <c r="C278" s="3" t="str">
        <f ca="1">IF(OR(INDEX($K$2:$K$1001,MATCH(ROWS($J$2:J278),$J$2:$J$1001,0),1)&gt;=100000,INDEX($Q$1005:$U$1005,1,MATCH(COLUMNS($Q$1006:R1006),$Q$1006:$U$1006,0))&gt;=100000), " ",IF(INDEX($Q$2:$U$1001,MATCH(ROWS($J$2:J278),$J$2:$J$1001,0),MATCH(COLUMNS($Q$1006:R1006),$Q$1006:$U$1006,0)), HYPERLINK("#",""), HYPERLINK(CONCATENATE("#Metadata!", ADDRESS(INDEX($L$2:$L$1001,MATCH(ROWS($J$2:J278),$J$2:$J$1001,0),0), INDEX($Q$1004:$U$1004,1,MATCH(COLUMNS($Q$1006:R1006),$Q$1006:$U$1006,0)))),"Fix")))</f>
        <v xml:space="preserve"> </v>
      </c>
      <c r="D278" s="3" t="str">
        <f ca="1">IF(OR(INDEX($K$2:$K$1001,MATCH(ROWS($J$2:J278),$J$2:$J$1001,0),1)&gt;=100000,INDEX($Q$1005:$U$1005,1,MATCH(COLUMNS($Q$1006:S1006),$Q$1006:$U$1006,0))&gt;=100000), " ",IF(INDEX($Q$2:$U$1001,MATCH(ROWS($J$2:J278),$J$2:$J$1001,0),MATCH(COLUMNS($Q$1006:S1006),$Q$1006:$U$1006,0)), HYPERLINK("#",""), HYPERLINK(CONCATENATE("#Metadata!", ADDRESS(INDEX($L$2:$L$1001,MATCH(ROWS($J$2:J278),$J$2:$J$1001,0),0), INDEX($Q$1004:$U$1004,1,MATCH(COLUMNS($Q$1006:S1006),$Q$1006:$U$1006,0)))),"Fix")))</f>
        <v xml:space="preserve"> </v>
      </c>
      <c r="E278" s="3" t="str">
        <f ca="1">IF(OR(INDEX($K$2:$K$1001,MATCH(ROWS($J$2:J278),$J$2:$J$1001,0),1)&gt;=100000,INDEX($Q$1005:$U$1005,1,MATCH(COLUMNS($Q$1006:T1006),$Q$1006:$U$1006,0))&gt;=100000), " ",IF(INDEX($Q$2:$U$1001,MATCH(ROWS($J$2:J278),$J$2:$J$1001,0),MATCH(COLUMNS($Q$1006:T1006),$Q$1006:$U$1006,0)), HYPERLINK("#",""), HYPERLINK(CONCATENATE("#Metadata!", ADDRESS(INDEX($L$2:$L$1001,MATCH(ROWS($J$2:J278),$J$2:$J$1001,0),0), INDEX($Q$1004:$U$1004,1,MATCH(COLUMNS($Q$1006:T1006),$Q$1006:$U$1006,0)))),"Fix")))</f>
        <v xml:space="preserve"> </v>
      </c>
      <c r="F278" s="3" t="str">
        <f ca="1">IF(OR(INDEX($K$2:$K$1001,MATCH(ROWS($J$2:J278),$J$2:$J$1001,0),1)&gt;=100000,INDEX($Q$1005:$U$1005,1,MATCH(COLUMNS($Q$1006:U1006),$Q$1006:$U$1006,0))&gt;=100000), " ",IF(INDEX($Q$2:$U$1001,MATCH(ROWS($J$2:J278),$J$2:$J$1001,0),MATCH(COLUMNS($Q$1006:U1006),$Q$1006:$U$1006,0)), HYPERLINK("#",""), HYPERLINK(CONCATENATE("#Metadata!", ADDRESS(INDEX($L$2:$L$1001,MATCH(ROWS($J$2:J278),$J$2:$J$1001,0),0), INDEX($Q$1004:$U$1004,1,MATCH(COLUMNS($Q$1006:U1006),$Q$1006:$U$1006,0)))),"Fix")))</f>
        <v xml:space="preserve"> </v>
      </c>
      <c r="J278">
        <f ca="1"/>
        <v>277</v>
      </c>
      <c r="K278">
        <v>100278</v>
      </c>
      <c r="L278">
        <v>278</v>
      </c>
      <c r="M278" t="b">
        <f t="shared" si="4"/>
        <v>1</v>
      </c>
      <c r="N278" t="b">
        <f>COUNTBLANK(Metadata!B278:F278)=COLUMNS(Metadata!B278:F278)</f>
        <v>1</v>
      </c>
      <c r="O278" t="str">
        <v/>
      </c>
      <c r="Q278" t="b">
        <f ca="1"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R278" t="b">
        <f>IF(Metadata!C278="",FALSE,TRUE)</f>
        <v>0</v>
      </c>
      <c r="S278" t="b">
        <f>OR(AND(IF(Metadata!D278="",FALSE,TRUE),EXACT(Metadata!D278,"missing: not collected")),AND(IF(Metadata!D278="",FALSE,TRUE),OR(EXACT(Metadata!D278,"t"),EXACT(Metadata!D278,"f"))))</f>
        <v>0</v>
      </c>
      <c r="T278" t="b">
        <f>AND(IF(Metadata!E278="",FALSE,TRUE),OR(EXACT(Metadata!E278,"a"),EXACT(Metadata!E278,"b")))</f>
        <v>0</v>
      </c>
      <c r="U278" t="b">
        <f>OR(AND(IF(Metadata!F278="",FALSE,TRUE),OR(EXACT(Metadata!F278,"missing: not collected"),EXACT(Metadata!F278,"missing: not provided"))),AND(IF(Metadata!F278="",FALSE,TRUE),OR(EXACT(Metadata!F278,"lo"),EXACT(Metadata!F278,"med"),EXACT(Metadata!F278,"hi"))))</f>
        <v>0</v>
      </c>
    </row>
    <row r="279" spans="1:21" x14ac:dyDescent="0.2">
      <c r="A279" s="4" t="str">
        <f ca="1">IF(B279=" "," ",HYPERLINK(CONCATENATE("#metadata!",ADDRESS(INDEX($L$2:$L$1001,MATCH(ROWS($J$2:J279),$J$2:$J$1001,0),0),1)),INDEX($O$2:$O$1001,MATCH(ROWS($J$2:J279),$J$2:$J$1001,0),0)))</f>
        <v xml:space="preserve"> </v>
      </c>
      <c r="B279" s="3" t="str">
        <f ca="1">IF(OR(INDEX($K$2:$K$1001,MATCH(ROWS($J$2:J279),$J$2:$J$1001,0),1)&gt;=100000,INDEX($Q$1005:$U$1005,1,MATCH(COLUMNS($Q$1006:Q1006),$Q$1006:$U$1006,0))&gt;=100000), " ",IF(INDEX($Q$2:$U$1001,MATCH(ROWS($J$2:J279),$J$2:$J$1001,0),MATCH(COLUMNS($Q$1006:Q1006),$Q$1006:$U$1006,0)), HYPERLINK("#",""), HYPERLINK(CONCATENATE("#Metadata!", ADDRESS(INDEX($L$2:$L$1001,MATCH(ROWS($J$2:J279),$J$2:$J$1001,0),0), INDEX($Q$1004:$U$1004,1,MATCH(COLUMNS($Q$1006:Q1006),$Q$1006:$U$1006,0)))),"Fix")))</f>
        <v xml:space="preserve"> </v>
      </c>
      <c r="C279" s="3" t="str">
        <f ca="1">IF(OR(INDEX($K$2:$K$1001,MATCH(ROWS($J$2:J279),$J$2:$J$1001,0),1)&gt;=100000,INDEX($Q$1005:$U$1005,1,MATCH(COLUMNS($Q$1006:R1006),$Q$1006:$U$1006,0))&gt;=100000), " ",IF(INDEX($Q$2:$U$1001,MATCH(ROWS($J$2:J279),$J$2:$J$1001,0),MATCH(COLUMNS($Q$1006:R1006),$Q$1006:$U$1006,0)), HYPERLINK("#",""), HYPERLINK(CONCATENATE("#Metadata!", ADDRESS(INDEX($L$2:$L$1001,MATCH(ROWS($J$2:J279),$J$2:$J$1001,0),0), INDEX($Q$1004:$U$1004,1,MATCH(COLUMNS($Q$1006:R1006),$Q$1006:$U$1006,0)))),"Fix")))</f>
        <v xml:space="preserve"> </v>
      </c>
      <c r="D279" s="3" t="str">
        <f ca="1">IF(OR(INDEX($K$2:$K$1001,MATCH(ROWS($J$2:J279),$J$2:$J$1001,0),1)&gt;=100000,INDEX($Q$1005:$U$1005,1,MATCH(COLUMNS($Q$1006:S1006),$Q$1006:$U$1006,0))&gt;=100000), " ",IF(INDEX($Q$2:$U$1001,MATCH(ROWS($J$2:J279),$J$2:$J$1001,0),MATCH(COLUMNS($Q$1006:S1006),$Q$1006:$U$1006,0)), HYPERLINK("#",""), HYPERLINK(CONCATENATE("#Metadata!", ADDRESS(INDEX($L$2:$L$1001,MATCH(ROWS($J$2:J279),$J$2:$J$1001,0),0), INDEX($Q$1004:$U$1004,1,MATCH(COLUMNS($Q$1006:S1006),$Q$1006:$U$1006,0)))),"Fix")))</f>
        <v xml:space="preserve"> </v>
      </c>
      <c r="E279" s="3" t="str">
        <f ca="1">IF(OR(INDEX($K$2:$K$1001,MATCH(ROWS($J$2:J279),$J$2:$J$1001,0),1)&gt;=100000,INDEX($Q$1005:$U$1005,1,MATCH(COLUMNS($Q$1006:T1006),$Q$1006:$U$1006,0))&gt;=100000), " ",IF(INDEX($Q$2:$U$1001,MATCH(ROWS($J$2:J279),$J$2:$J$1001,0),MATCH(COLUMNS($Q$1006:T1006),$Q$1006:$U$1006,0)), HYPERLINK("#",""), HYPERLINK(CONCATENATE("#Metadata!", ADDRESS(INDEX($L$2:$L$1001,MATCH(ROWS($J$2:J279),$J$2:$J$1001,0),0), INDEX($Q$1004:$U$1004,1,MATCH(COLUMNS($Q$1006:T1006),$Q$1006:$U$1006,0)))),"Fix")))</f>
        <v xml:space="preserve"> </v>
      </c>
      <c r="F279" s="3" t="str">
        <f ca="1">IF(OR(INDEX($K$2:$K$1001,MATCH(ROWS($J$2:J279),$J$2:$J$1001,0),1)&gt;=100000,INDEX($Q$1005:$U$1005,1,MATCH(COLUMNS($Q$1006:U1006),$Q$1006:$U$1006,0))&gt;=100000), " ",IF(INDEX($Q$2:$U$1001,MATCH(ROWS($J$2:J279),$J$2:$J$1001,0),MATCH(COLUMNS($Q$1006:U1006),$Q$1006:$U$1006,0)), HYPERLINK("#",""), HYPERLINK(CONCATENATE("#Metadata!", ADDRESS(INDEX($L$2:$L$1001,MATCH(ROWS($J$2:J279),$J$2:$J$1001,0),0), INDEX($Q$1004:$U$1004,1,MATCH(COLUMNS($Q$1006:U1006),$Q$1006:$U$1006,0)))),"Fix")))</f>
        <v xml:space="preserve"> </v>
      </c>
      <c r="J279">
        <f ca="1"/>
        <v>278</v>
      </c>
      <c r="K279">
        <v>100279</v>
      </c>
      <c r="L279">
        <v>279</v>
      </c>
      <c r="M279" t="b">
        <f t="shared" si="4"/>
        <v>1</v>
      </c>
      <c r="N279" t="b">
        <f>COUNTBLANK(Metadata!B279:F279)=COLUMNS(Metadata!B279:F279)</f>
        <v>1</v>
      </c>
      <c r="O279" t="str">
        <v/>
      </c>
      <c r="Q279" t="b">
        <f ca="1"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R279" t="b">
        <f>IF(Metadata!C279="",FALSE,TRUE)</f>
        <v>0</v>
      </c>
      <c r="S279" t="b">
        <f>OR(AND(IF(Metadata!D279="",FALSE,TRUE),EXACT(Metadata!D279,"missing: not collected")),AND(IF(Metadata!D279="",FALSE,TRUE),OR(EXACT(Metadata!D279,"t"),EXACT(Metadata!D279,"f"))))</f>
        <v>0</v>
      </c>
      <c r="T279" t="b">
        <f>AND(IF(Metadata!E279="",FALSE,TRUE),OR(EXACT(Metadata!E279,"a"),EXACT(Metadata!E279,"b")))</f>
        <v>0</v>
      </c>
      <c r="U279" t="b">
        <f>OR(AND(IF(Metadata!F279="",FALSE,TRUE),OR(EXACT(Metadata!F279,"missing: not collected"),EXACT(Metadata!F279,"missing: not provided"))),AND(IF(Metadata!F279="",FALSE,TRUE),OR(EXACT(Metadata!F279,"lo"),EXACT(Metadata!F279,"med"),EXACT(Metadata!F279,"hi"))))</f>
        <v>0</v>
      </c>
    </row>
    <row r="280" spans="1:21" x14ac:dyDescent="0.2">
      <c r="A280" s="4" t="str">
        <f ca="1">IF(B280=" "," ",HYPERLINK(CONCATENATE("#metadata!",ADDRESS(INDEX($L$2:$L$1001,MATCH(ROWS($J$2:J280),$J$2:$J$1001,0),0),1)),INDEX($O$2:$O$1001,MATCH(ROWS($J$2:J280),$J$2:$J$1001,0),0)))</f>
        <v xml:space="preserve"> </v>
      </c>
      <c r="B280" s="3" t="str">
        <f ca="1">IF(OR(INDEX($K$2:$K$1001,MATCH(ROWS($J$2:J280),$J$2:$J$1001,0),1)&gt;=100000,INDEX($Q$1005:$U$1005,1,MATCH(COLUMNS($Q$1006:Q1006),$Q$1006:$U$1006,0))&gt;=100000), " ",IF(INDEX($Q$2:$U$1001,MATCH(ROWS($J$2:J280),$J$2:$J$1001,0),MATCH(COLUMNS($Q$1006:Q1006),$Q$1006:$U$1006,0)), HYPERLINK("#",""), HYPERLINK(CONCATENATE("#Metadata!", ADDRESS(INDEX($L$2:$L$1001,MATCH(ROWS($J$2:J280),$J$2:$J$1001,0),0), INDEX($Q$1004:$U$1004,1,MATCH(COLUMNS($Q$1006:Q1006),$Q$1006:$U$1006,0)))),"Fix")))</f>
        <v xml:space="preserve"> </v>
      </c>
      <c r="C280" s="3" t="str">
        <f ca="1">IF(OR(INDEX($K$2:$K$1001,MATCH(ROWS($J$2:J280),$J$2:$J$1001,0),1)&gt;=100000,INDEX($Q$1005:$U$1005,1,MATCH(COLUMNS($Q$1006:R1006),$Q$1006:$U$1006,0))&gt;=100000), " ",IF(INDEX($Q$2:$U$1001,MATCH(ROWS($J$2:J280),$J$2:$J$1001,0),MATCH(COLUMNS($Q$1006:R1006),$Q$1006:$U$1006,0)), HYPERLINK("#",""), HYPERLINK(CONCATENATE("#Metadata!", ADDRESS(INDEX($L$2:$L$1001,MATCH(ROWS($J$2:J280),$J$2:$J$1001,0),0), INDEX($Q$1004:$U$1004,1,MATCH(COLUMNS($Q$1006:R1006),$Q$1006:$U$1006,0)))),"Fix")))</f>
        <v xml:space="preserve"> </v>
      </c>
      <c r="D280" s="3" t="str">
        <f ca="1">IF(OR(INDEX($K$2:$K$1001,MATCH(ROWS($J$2:J280),$J$2:$J$1001,0),1)&gt;=100000,INDEX($Q$1005:$U$1005,1,MATCH(COLUMNS($Q$1006:S1006),$Q$1006:$U$1006,0))&gt;=100000), " ",IF(INDEX($Q$2:$U$1001,MATCH(ROWS($J$2:J280),$J$2:$J$1001,0),MATCH(COLUMNS($Q$1006:S1006),$Q$1006:$U$1006,0)), HYPERLINK("#",""), HYPERLINK(CONCATENATE("#Metadata!", ADDRESS(INDEX($L$2:$L$1001,MATCH(ROWS($J$2:J280),$J$2:$J$1001,0),0), INDEX($Q$1004:$U$1004,1,MATCH(COLUMNS($Q$1006:S1006),$Q$1006:$U$1006,0)))),"Fix")))</f>
        <v xml:space="preserve"> </v>
      </c>
      <c r="E280" s="3" t="str">
        <f ca="1">IF(OR(INDEX($K$2:$K$1001,MATCH(ROWS($J$2:J280),$J$2:$J$1001,0),1)&gt;=100000,INDEX($Q$1005:$U$1005,1,MATCH(COLUMNS($Q$1006:T1006),$Q$1006:$U$1006,0))&gt;=100000), " ",IF(INDEX($Q$2:$U$1001,MATCH(ROWS($J$2:J280),$J$2:$J$1001,0),MATCH(COLUMNS($Q$1006:T1006),$Q$1006:$U$1006,0)), HYPERLINK("#",""), HYPERLINK(CONCATENATE("#Metadata!", ADDRESS(INDEX($L$2:$L$1001,MATCH(ROWS($J$2:J280),$J$2:$J$1001,0),0), INDEX($Q$1004:$U$1004,1,MATCH(COLUMNS($Q$1006:T1006),$Q$1006:$U$1006,0)))),"Fix")))</f>
        <v xml:space="preserve"> </v>
      </c>
      <c r="F280" s="3" t="str">
        <f ca="1">IF(OR(INDEX($K$2:$K$1001,MATCH(ROWS($J$2:J280),$J$2:$J$1001,0),1)&gt;=100000,INDEX($Q$1005:$U$1005,1,MATCH(COLUMNS($Q$1006:U1006),$Q$1006:$U$1006,0))&gt;=100000), " ",IF(INDEX($Q$2:$U$1001,MATCH(ROWS($J$2:J280),$J$2:$J$1001,0),MATCH(COLUMNS($Q$1006:U1006),$Q$1006:$U$1006,0)), HYPERLINK("#",""), HYPERLINK(CONCATENATE("#Metadata!", ADDRESS(INDEX($L$2:$L$1001,MATCH(ROWS($J$2:J280),$J$2:$J$1001,0),0), INDEX($Q$1004:$U$1004,1,MATCH(COLUMNS($Q$1006:U1006),$Q$1006:$U$1006,0)))),"Fix")))</f>
        <v xml:space="preserve"> </v>
      </c>
      <c r="J280">
        <f ca="1"/>
        <v>279</v>
      </c>
      <c r="K280">
        <v>100280</v>
      </c>
      <c r="L280">
        <v>280</v>
      </c>
      <c r="M280" t="b">
        <f t="shared" si="4"/>
        <v>1</v>
      </c>
      <c r="N280" t="b">
        <f>COUNTBLANK(Metadata!B280:F280)=COLUMNS(Metadata!B280:F280)</f>
        <v>1</v>
      </c>
      <c r="O280" t="str">
        <v/>
      </c>
      <c r="Q280" t="b">
        <f ca="1"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R280" t="b">
        <f>IF(Metadata!C280="",FALSE,TRUE)</f>
        <v>0</v>
      </c>
      <c r="S280" t="b">
        <f>OR(AND(IF(Metadata!D280="",FALSE,TRUE),EXACT(Metadata!D280,"missing: not collected")),AND(IF(Metadata!D280="",FALSE,TRUE),OR(EXACT(Metadata!D280,"t"),EXACT(Metadata!D280,"f"))))</f>
        <v>0</v>
      </c>
      <c r="T280" t="b">
        <f>AND(IF(Metadata!E280="",FALSE,TRUE),OR(EXACT(Metadata!E280,"a"),EXACT(Metadata!E280,"b")))</f>
        <v>0</v>
      </c>
      <c r="U280" t="b">
        <f>OR(AND(IF(Metadata!F280="",FALSE,TRUE),OR(EXACT(Metadata!F280,"missing: not collected"),EXACT(Metadata!F280,"missing: not provided"))),AND(IF(Metadata!F280="",FALSE,TRUE),OR(EXACT(Metadata!F280,"lo"),EXACT(Metadata!F280,"med"),EXACT(Metadata!F280,"hi"))))</f>
        <v>0</v>
      </c>
    </row>
    <row r="281" spans="1:21" x14ac:dyDescent="0.2">
      <c r="A281" s="4" t="str">
        <f ca="1">IF(B281=" "," ",HYPERLINK(CONCATENATE("#metadata!",ADDRESS(INDEX($L$2:$L$1001,MATCH(ROWS($J$2:J281),$J$2:$J$1001,0),0),1)),INDEX($O$2:$O$1001,MATCH(ROWS($J$2:J281),$J$2:$J$1001,0),0)))</f>
        <v xml:space="preserve"> </v>
      </c>
      <c r="B281" s="3" t="str">
        <f ca="1">IF(OR(INDEX($K$2:$K$1001,MATCH(ROWS($J$2:J281),$J$2:$J$1001,0),1)&gt;=100000,INDEX($Q$1005:$U$1005,1,MATCH(COLUMNS($Q$1006:Q1006),$Q$1006:$U$1006,0))&gt;=100000), " ",IF(INDEX($Q$2:$U$1001,MATCH(ROWS($J$2:J281),$J$2:$J$1001,0),MATCH(COLUMNS($Q$1006:Q1006),$Q$1006:$U$1006,0)), HYPERLINK("#",""), HYPERLINK(CONCATENATE("#Metadata!", ADDRESS(INDEX($L$2:$L$1001,MATCH(ROWS($J$2:J281),$J$2:$J$1001,0),0), INDEX($Q$1004:$U$1004,1,MATCH(COLUMNS($Q$1006:Q1006),$Q$1006:$U$1006,0)))),"Fix")))</f>
        <v xml:space="preserve"> </v>
      </c>
      <c r="C281" s="3" t="str">
        <f ca="1">IF(OR(INDEX($K$2:$K$1001,MATCH(ROWS($J$2:J281),$J$2:$J$1001,0),1)&gt;=100000,INDEX($Q$1005:$U$1005,1,MATCH(COLUMNS($Q$1006:R1006),$Q$1006:$U$1006,0))&gt;=100000), " ",IF(INDEX($Q$2:$U$1001,MATCH(ROWS($J$2:J281),$J$2:$J$1001,0),MATCH(COLUMNS($Q$1006:R1006),$Q$1006:$U$1006,0)), HYPERLINK("#",""), HYPERLINK(CONCATENATE("#Metadata!", ADDRESS(INDEX($L$2:$L$1001,MATCH(ROWS($J$2:J281),$J$2:$J$1001,0),0), INDEX($Q$1004:$U$1004,1,MATCH(COLUMNS($Q$1006:R1006),$Q$1006:$U$1006,0)))),"Fix")))</f>
        <v xml:space="preserve"> </v>
      </c>
      <c r="D281" s="3" t="str">
        <f ca="1">IF(OR(INDEX($K$2:$K$1001,MATCH(ROWS($J$2:J281),$J$2:$J$1001,0),1)&gt;=100000,INDEX($Q$1005:$U$1005,1,MATCH(COLUMNS($Q$1006:S1006),$Q$1006:$U$1006,0))&gt;=100000), " ",IF(INDEX($Q$2:$U$1001,MATCH(ROWS($J$2:J281),$J$2:$J$1001,0),MATCH(COLUMNS($Q$1006:S1006),$Q$1006:$U$1006,0)), HYPERLINK("#",""), HYPERLINK(CONCATENATE("#Metadata!", ADDRESS(INDEX($L$2:$L$1001,MATCH(ROWS($J$2:J281),$J$2:$J$1001,0),0), INDEX($Q$1004:$U$1004,1,MATCH(COLUMNS($Q$1006:S1006),$Q$1006:$U$1006,0)))),"Fix")))</f>
        <v xml:space="preserve"> </v>
      </c>
      <c r="E281" s="3" t="str">
        <f ca="1">IF(OR(INDEX($K$2:$K$1001,MATCH(ROWS($J$2:J281),$J$2:$J$1001,0),1)&gt;=100000,INDEX($Q$1005:$U$1005,1,MATCH(COLUMNS($Q$1006:T1006),$Q$1006:$U$1006,0))&gt;=100000), " ",IF(INDEX($Q$2:$U$1001,MATCH(ROWS($J$2:J281),$J$2:$J$1001,0),MATCH(COLUMNS($Q$1006:T1006),$Q$1006:$U$1006,0)), HYPERLINK("#",""), HYPERLINK(CONCATENATE("#Metadata!", ADDRESS(INDEX($L$2:$L$1001,MATCH(ROWS($J$2:J281),$J$2:$J$1001,0),0), INDEX($Q$1004:$U$1004,1,MATCH(COLUMNS($Q$1006:T1006),$Q$1006:$U$1006,0)))),"Fix")))</f>
        <v xml:space="preserve"> </v>
      </c>
      <c r="F281" s="3" t="str">
        <f ca="1">IF(OR(INDEX($K$2:$K$1001,MATCH(ROWS($J$2:J281),$J$2:$J$1001,0),1)&gt;=100000,INDEX($Q$1005:$U$1005,1,MATCH(COLUMNS($Q$1006:U1006),$Q$1006:$U$1006,0))&gt;=100000), " ",IF(INDEX($Q$2:$U$1001,MATCH(ROWS($J$2:J281),$J$2:$J$1001,0),MATCH(COLUMNS($Q$1006:U1006),$Q$1006:$U$1006,0)), HYPERLINK("#",""), HYPERLINK(CONCATENATE("#Metadata!", ADDRESS(INDEX($L$2:$L$1001,MATCH(ROWS($J$2:J281),$J$2:$J$1001,0),0), INDEX($Q$1004:$U$1004,1,MATCH(COLUMNS($Q$1006:U1006),$Q$1006:$U$1006,0)))),"Fix")))</f>
        <v xml:space="preserve"> </v>
      </c>
      <c r="J281">
        <f ca="1"/>
        <v>280</v>
      </c>
      <c r="K281">
        <v>100281</v>
      </c>
      <c r="L281">
        <v>281</v>
      </c>
      <c r="M281" t="b">
        <f t="shared" si="4"/>
        <v>1</v>
      </c>
      <c r="N281" t="b">
        <f>COUNTBLANK(Metadata!B281:F281)=COLUMNS(Metadata!B281:F281)</f>
        <v>1</v>
      </c>
      <c r="O281" t="str">
        <v/>
      </c>
      <c r="Q281" t="b">
        <f ca="1"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R281" t="b">
        <f>IF(Metadata!C281="",FALSE,TRUE)</f>
        <v>0</v>
      </c>
      <c r="S281" t="b">
        <f>OR(AND(IF(Metadata!D281="",FALSE,TRUE),EXACT(Metadata!D281,"missing: not collected")),AND(IF(Metadata!D281="",FALSE,TRUE),OR(EXACT(Metadata!D281,"t"),EXACT(Metadata!D281,"f"))))</f>
        <v>0</v>
      </c>
      <c r="T281" t="b">
        <f>AND(IF(Metadata!E281="",FALSE,TRUE),OR(EXACT(Metadata!E281,"a"),EXACT(Metadata!E281,"b")))</f>
        <v>0</v>
      </c>
      <c r="U281" t="b">
        <f>OR(AND(IF(Metadata!F281="",FALSE,TRUE),OR(EXACT(Metadata!F281,"missing: not collected"),EXACT(Metadata!F281,"missing: not provided"))),AND(IF(Metadata!F281="",FALSE,TRUE),OR(EXACT(Metadata!F281,"lo"),EXACT(Metadata!F281,"med"),EXACT(Metadata!F281,"hi"))))</f>
        <v>0</v>
      </c>
    </row>
    <row r="282" spans="1:21" x14ac:dyDescent="0.2">
      <c r="A282" s="4" t="str">
        <f ca="1">IF(B282=" "," ",HYPERLINK(CONCATENATE("#metadata!",ADDRESS(INDEX($L$2:$L$1001,MATCH(ROWS($J$2:J282),$J$2:$J$1001,0),0),1)),INDEX($O$2:$O$1001,MATCH(ROWS($J$2:J282),$J$2:$J$1001,0),0)))</f>
        <v xml:space="preserve"> </v>
      </c>
      <c r="B282" s="3" t="str">
        <f ca="1">IF(OR(INDEX($K$2:$K$1001,MATCH(ROWS($J$2:J282),$J$2:$J$1001,0),1)&gt;=100000,INDEX($Q$1005:$U$1005,1,MATCH(COLUMNS($Q$1006:Q1006),$Q$1006:$U$1006,0))&gt;=100000), " ",IF(INDEX($Q$2:$U$1001,MATCH(ROWS($J$2:J282),$J$2:$J$1001,0),MATCH(COLUMNS($Q$1006:Q1006),$Q$1006:$U$1006,0)), HYPERLINK("#",""), HYPERLINK(CONCATENATE("#Metadata!", ADDRESS(INDEX($L$2:$L$1001,MATCH(ROWS($J$2:J282),$J$2:$J$1001,0),0), INDEX($Q$1004:$U$1004,1,MATCH(COLUMNS($Q$1006:Q1006),$Q$1006:$U$1006,0)))),"Fix")))</f>
        <v xml:space="preserve"> </v>
      </c>
      <c r="C282" s="3" t="str">
        <f ca="1">IF(OR(INDEX($K$2:$K$1001,MATCH(ROWS($J$2:J282),$J$2:$J$1001,0),1)&gt;=100000,INDEX($Q$1005:$U$1005,1,MATCH(COLUMNS($Q$1006:R1006),$Q$1006:$U$1006,0))&gt;=100000), " ",IF(INDEX($Q$2:$U$1001,MATCH(ROWS($J$2:J282),$J$2:$J$1001,0),MATCH(COLUMNS($Q$1006:R1006),$Q$1006:$U$1006,0)), HYPERLINK("#",""), HYPERLINK(CONCATENATE("#Metadata!", ADDRESS(INDEX($L$2:$L$1001,MATCH(ROWS($J$2:J282),$J$2:$J$1001,0),0), INDEX($Q$1004:$U$1004,1,MATCH(COLUMNS($Q$1006:R1006),$Q$1006:$U$1006,0)))),"Fix")))</f>
        <v xml:space="preserve"> </v>
      </c>
      <c r="D282" s="3" t="str">
        <f ca="1">IF(OR(INDEX($K$2:$K$1001,MATCH(ROWS($J$2:J282),$J$2:$J$1001,0),1)&gt;=100000,INDEX($Q$1005:$U$1005,1,MATCH(COLUMNS($Q$1006:S1006),$Q$1006:$U$1006,0))&gt;=100000), " ",IF(INDEX($Q$2:$U$1001,MATCH(ROWS($J$2:J282),$J$2:$J$1001,0),MATCH(COLUMNS($Q$1006:S1006),$Q$1006:$U$1006,0)), HYPERLINK("#",""), HYPERLINK(CONCATENATE("#Metadata!", ADDRESS(INDEX($L$2:$L$1001,MATCH(ROWS($J$2:J282),$J$2:$J$1001,0),0), INDEX($Q$1004:$U$1004,1,MATCH(COLUMNS($Q$1006:S1006),$Q$1006:$U$1006,0)))),"Fix")))</f>
        <v xml:space="preserve"> </v>
      </c>
      <c r="E282" s="3" t="str">
        <f ca="1">IF(OR(INDEX($K$2:$K$1001,MATCH(ROWS($J$2:J282),$J$2:$J$1001,0),1)&gt;=100000,INDEX($Q$1005:$U$1005,1,MATCH(COLUMNS($Q$1006:T1006),$Q$1006:$U$1006,0))&gt;=100000), " ",IF(INDEX($Q$2:$U$1001,MATCH(ROWS($J$2:J282),$J$2:$J$1001,0),MATCH(COLUMNS($Q$1006:T1006),$Q$1006:$U$1006,0)), HYPERLINK("#",""), HYPERLINK(CONCATENATE("#Metadata!", ADDRESS(INDEX($L$2:$L$1001,MATCH(ROWS($J$2:J282),$J$2:$J$1001,0),0), INDEX($Q$1004:$U$1004,1,MATCH(COLUMNS($Q$1006:T1006),$Q$1006:$U$1006,0)))),"Fix")))</f>
        <v xml:space="preserve"> </v>
      </c>
      <c r="F282" s="3" t="str">
        <f ca="1">IF(OR(INDEX($K$2:$K$1001,MATCH(ROWS($J$2:J282),$J$2:$J$1001,0),1)&gt;=100000,INDEX($Q$1005:$U$1005,1,MATCH(COLUMNS($Q$1006:U1006),$Q$1006:$U$1006,0))&gt;=100000), " ",IF(INDEX($Q$2:$U$1001,MATCH(ROWS($J$2:J282),$J$2:$J$1001,0),MATCH(COLUMNS($Q$1006:U1006),$Q$1006:$U$1006,0)), HYPERLINK("#",""), HYPERLINK(CONCATENATE("#Metadata!", ADDRESS(INDEX($L$2:$L$1001,MATCH(ROWS($J$2:J282),$J$2:$J$1001,0),0), INDEX($Q$1004:$U$1004,1,MATCH(COLUMNS($Q$1006:U1006),$Q$1006:$U$1006,0)))),"Fix")))</f>
        <v xml:space="preserve"> </v>
      </c>
      <c r="J282">
        <f ca="1"/>
        <v>281</v>
      </c>
      <c r="K282">
        <v>100282</v>
      </c>
      <c r="L282">
        <v>282</v>
      </c>
      <c r="M282" t="b">
        <f t="shared" si="4"/>
        <v>1</v>
      </c>
      <c r="N282" t="b">
        <f>COUNTBLANK(Metadata!B282:F282)=COLUMNS(Metadata!B282:F282)</f>
        <v>1</v>
      </c>
      <c r="O282" t="str">
        <v/>
      </c>
      <c r="Q282" t="b">
        <f ca="1"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R282" t="b">
        <f>IF(Metadata!C282="",FALSE,TRUE)</f>
        <v>0</v>
      </c>
      <c r="S282" t="b">
        <f>OR(AND(IF(Metadata!D282="",FALSE,TRUE),EXACT(Metadata!D282,"missing: not collected")),AND(IF(Metadata!D282="",FALSE,TRUE),OR(EXACT(Metadata!D282,"t"),EXACT(Metadata!D282,"f"))))</f>
        <v>0</v>
      </c>
      <c r="T282" t="b">
        <f>AND(IF(Metadata!E282="",FALSE,TRUE),OR(EXACT(Metadata!E282,"a"),EXACT(Metadata!E282,"b")))</f>
        <v>0</v>
      </c>
      <c r="U282" t="b">
        <f>OR(AND(IF(Metadata!F282="",FALSE,TRUE),OR(EXACT(Metadata!F282,"missing: not collected"),EXACT(Metadata!F282,"missing: not provided"))),AND(IF(Metadata!F282="",FALSE,TRUE),OR(EXACT(Metadata!F282,"lo"),EXACT(Metadata!F282,"med"),EXACT(Metadata!F282,"hi"))))</f>
        <v>0</v>
      </c>
    </row>
    <row r="283" spans="1:21" x14ac:dyDescent="0.2">
      <c r="A283" s="4" t="str">
        <f ca="1">IF(B283=" "," ",HYPERLINK(CONCATENATE("#metadata!",ADDRESS(INDEX($L$2:$L$1001,MATCH(ROWS($J$2:J283),$J$2:$J$1001,0),0),1)),INDEX($O$2:$O$1001,MATCH(ROWS($J$2:J283),$J$2:$J$1001,0),0)))</f>
        <v xml:space="preserve"> </v>
      </c>
      <c r="B283" s="3" t="str">
        <f ca="1">IF(OR(INDEX($K$2:$K$1001,MATCH(ROWS($J$2:J283),$J$2:$J$1001,0),1)&gt;=100000,INDEX($Q$1005:$U$1005,1,MATCH(COLUMNS($Q$1006:Q1006),$Q$1006:$U$1006,0))&gt;=100000), " ",IF(INDEX($Q$2:$U$1001,MATCH(ROWS($J$2:J283),$J$2:$J$1001,0),MATCH(COLUMNS($Q$1006:Q1006),$Q$1006:$U$1006,0)), HYPERLINK("#",""), HYPERLINK(CONCATENATE("#Metadata!", ADDRESS(INDEX($L$2:$L$1001,MATCH(ROWS($J$2:J283),$J$2:$J$1001,0),0), INDEX($Q$1004:$U$1004,1,MATCH(COLUMNS($Q$1006:Q1006),$Q$1006:$U$1006,0)))),"Fix")))</f>
        <v xml:space="preserve"> </v>
      </c>
      <c r="C283" s="3" t="str">
        <f ca="1">IF(OR(INDEX($K$2:$K$1001,MATCH(ROWS($J$2:J283),$J$2:$J$1001,0),1)&gt;=100000,INDEX($Q$1005:$U$1005,1,MATCH(COLUMNS($Q$1006:R1006),$Q$1006:$U$1006,0))&gt;=100000), " ",IF(INDEX($Q$2:$U$1001,MATCH(ROWS($J$2:J283),$J$2:$J$1001,0),MATCH(COLUMNS($Q$1006:R1006),$Q$1006:$U$1006,0)), HYPERLINK("#",""), HYPERLINK(CONCATENATE("#Metadata!", ADDRESS(INDEX($L$2:$L$1001,MATCH(ROWS($J$2:J283),$J$2:$J$1001,0),0), INDEX($Q$1004:$U$1004,1,MATCH(COLUMNS($Q$1006:R1006),$Q$1006:$U$1006,0)))),"Fix")))</f>
        <v xml:space="preserve"> </v>
      </c>
      <c r="D283" s="3" t="str">
        <f ca="1">IF(OR(INDEX($K$2:$K$1001,MATCH(ROWS($J$2:J283),$J$2:$J$1001,0),1)&gt;=100000,INDEX($Q$1005:$U$1005,1,MATCH(COLUMNS($Q$1006:S1006),$Q$1006:$U$1006,0))&gt;=100000), " ",IF(INDEX($Q$2:$U$1001,MATCH(ROWS($J$2:J283),$J$2:$J$1001,0),MATCH(COLUMNS($Q$1006:S1006),$Q$1006:$U$1006,0)), HYPERLINK("#",""), HYPERLINK(CONCATENATE("#Metadata!", ADDRESS(INDEX($L$2:$L$1001,MATCH(ROWS($J$2:J283),$J$2:$J$1001,0),0), INDEX($Q$1004:$U$1004,1,MATCH(COLUMNS($Q$1006:S1006),$Q$1006:$U$1006,0)))),"Fix")))</f>
        <v xml:space="preserve"> </v>
      </c>
      <c r="E283" s="3" t="str">
        <f ca="1">IF(OR(INDEX($K$2:$K$1001,MATCH(ROWS($J$2:J283),$J$2:$J$1001,0),1)&gt;=100000,INDEX($Q$1005:$U$1005,1,MATCH(COLUMNS($Q$1006:T1006),$Q$1006:$U$1006,0))&gt;=100000), " ",IF(INDEX($Q$2:$U$1001,MATCH(ROWS($J$2:J283),$J$2:$J$1001,0),MATCH(COLUMNS($Q$1006:T1006),$Q$1006:$U$1006,0)), HYPERLINK("#",""), HYPERLINK(CONCATENATE("#Metadata!", ADDRESS(INDEX($L$2:$L$1001,MATCH(ROWS($J$2:J283),$J$2:$J$1001,0),0), INDEX($Q$1004:$U$1004,1,MATCH(COLUMNS($Q$1006:T1006),$Q$1006:$U$1006,0)))),"Fix")))</f>
        <v xml:space="preserve"> </v>
      </c>
      <c r="F283" s="3" t="str">
        <f ca="1">IF(OR(INDEX($K$2:$K$1001,MATCH(ROWS($J$2:J283),$J$2:$J$1001,0),1)&gt;=100000,INDEX($Q$1005:$U$1005,1,MATCH(COLUMNS($Q$1006:U1006),$Q$1006:$U$1006,0))&gt;=100000), " ",IF(INDEX($Q$2:$U$1001,MATCH(ROWS($J$2:J283),$J$2:$J$1001,0),MATCH(COLUMNS($Q$1006:U1006),$Q$1006:$U$1006,0)), HYPERLINK("#",""), HYPERLINK(CONCATENATE("#Metadata!", ADDRESS(INDEX($L$2:$L$1001,MATCH(ROWS($J$2:J283),$J$2:$J$1001,0),0), INDEX($Q$1004:$U$1004,1,MATCH(COLUMNS($Q$1006:U1006),$Q$1006:$U$1006,0)))),"Fix")))</f>
        <v xml:space="preserve"> </v>
      </c>
      <c r="J283">
        <f ca="1"/>
        <v>282</v>
      </c>
      <c r="K283">
        <v>100283</v>
      </c>
      <c r="L283">
        <v>283</v>
      </c>
      <c r="M283" t="b">
        <f t="shared" si="4"/>
        <v>1</v>
      </c>
      <c r="N283" t="b">
        <f>COUNTBLANK(Metadata!B283:F283)=COLUMNS(Metadata!B283:F283)</f>
        <v>1</v>
      </c>
      <c r="O283" t="str">
        <v/>
      </c>
      <c r="Q283" t="b">
        <f ca="1"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R283" t="b">
        <f>IF(Metadata!C283="",FALSE,TRUE)</f>
        <v>0</v>
      </c>
      <c r="S283" t="b">
        <f>OR(AND(IF(Metadata!D283="",FALSE,TRUE),EXACT(Metadata!D283,"missing: not collected")),AND(IF(Metadata!D283="",FALSE,TRUE),OR(EXACT(Metadata!D283,"t"),EXACT(Metadata!D283,"f"))))</f>
        <v>0</v>
      </c>
      <c r="T283" t="b">
        <f>AND(IF(Metadata!E283="",FALSE,TRUE),OR(EXACT(Metadata!E283,"a"),EXACT(Metadata!E283,"b")))</f>
        <v>0</v>
      </c>
      <c r="U283" t="b">
        <f>OR(AND(IF(Metadata!F283="",FALSE,TRUE),OR(EXACT(Metadata!F283,"missing: not collected"),EXACT(Metadata!F283,"missing: not provided"))),AND(IF(Metadata!F283="",FALSE,TRUE),OR(EXACT(Metadata!F283,"lo"),EXACT(Metadata!F283,"med"),EXACT(Metadata!F283,"hi"))))</f>
        <v>0</v>
      </c>
    </row>
    <row r="284" spans="1:21" x14ac:dyDescent="0.2">
      <c r="A284" s="4" t="str">
        <f ca="1">IF(B284=" "," ",HYPERLINK(CONCATENATE("#metadata!",ADDRESS(INDEX($L$2:$L$1001,MATCH(ROWS($J$2:J284),$J$2:$J$1001,0),0),1)),INDEX($O$2:$O$1001,MATCH(ROWS($J$2:J284),$J$2:$J$1001,0),0)))</f>
        <v xml:space="preserve"> </v>
      </c>
      <c r="B284" s="3" t="str">
        <f ca="1">IF(OR(INDEX($K$2:$K$1001,MATCH(ROWS($J$2:J284),$J$2:$J$1001,0),1)&gt;=100000,INDEX($Q$1005:$U$1005,1,MATCH(COLUMNS($Q$1006:Q1006),$Q$1006:$U$1006,0))&gt;=100000), " ",IF(INDEX($Q$2:$U$1001,MATCH(ROWS($J$2:J284),$J$2:$J$1001,0),MATCH(COLUMNS($Q$1006:Q1006),$Q$1006:$U$1006,0)), HYPERLINK("#",""), HYPERLINK(CONCATENATE("#Metadata!", ADDRESS(INDEX($L$2:$L$1001,MATCH(ROWS($J$2:J284),$J$2:$J$1001,0),0), INDEX($Q$1004:$U$1004,1,MATCH(COLUMNS($Q$1006:Q1006),$Q$1006:$U$1006,0)))),"Fix")))</f>
        <v xml:space="preserve"> </v>
      </c>
      <c r="C284" s="3" t="str">
        <f ca="1">IF(OR(INDEX($K$2:$K$1001,MATCH(ROWS($J$2:J284),$J$2:$J$1001,0),1)&gt;=100000,INDEX($Q$1005:$U$1005,1,MATCH(COLUMNS($Q$1006:R1006),$Q$1006:$U$1006,0))&gt;=100000), " ",IF(INDEX($Q$2:$U$1001,MATCH(ROWS($J$2:J284),$J$2:$J$1001,0),MATCH(COLUMNS($Q$1006:R1006),$Q$1006:$U$1006,0)), HYPERLINK("#",""), HYPERLINK(CONCATENATE("#Metadata!", ADDRESS(INDEX($L$2:$L$1001,MATCH(ROWS($J$2:J284),$J$2:$J$1001,0),0), INDEX($Q$1004:$U$1004,1,MATCH(COLUMNS($Q$1006:R1006),$Q$1006:$U$1006,0)))),"Fix")))</f>
        <v xml:space="preserve"> </v>
      </c>
      <c r="D284" s="3" t="str">
        <f ca="1">IF(OR(INDEX($K$2:$K$1001,MATCH(ROWS($J$2:J284),$J$2:$J$1001,0),1)&gt;=100000,INDEX($Q$1005:$U$1005,1,MATCH(COLUMNS($Q$1006:S1006),$Q$1006:$U$1006,0))&gt;=100000), " ",IF(INDEX($Q$2:$U$1001,MATCH(ROWS($J$2:J284),$J$2:$J$1001,0),MATCH(COLUMNS($Q$1006:S1006),$Q$1006:$U$1006,0)), HYPERLINK("#",""), HYPERLINK(CONCATENATE("#Metadata!", ADDRESS(INDEX($L$2:$L$1001,MATCH(ROWS($J$2:J284),$J$2:$J$1001,0),0), INDEX($Q$1004:$U$1004,1,MATCH(COLUMNS($Q$1006:S1006),$Q$1006:$U$1006,0)))),"Fix")))</f>
        <v xml:space="preserve"> </v>
      </c>
      <c r="E284" s="3" t="str">
        <f ca="1">IF(OR(INDEX($K$2:$K$1001,MATCH(ROWS($J$2:J284),$J$2:$J$1001,0),1)&gt;=100000,INDEX($Q$1005:$U$1005,1,MATCH(COLUMNS($Q$1006:T1006),$Q$1006:$U$1006,0))&gt;=100000), " ",IF(INDEX($Q$2:$U$1001,MATCH(ROWS($J$2:J284),$J$2:$J$1001,0),MATCH(COLUMNS($Q$1006:T1006),$Q$1006:$U$1006,0)), HYPERLINK("#",""), HYPERLINK(CONCATENATE("#Metadata!", ADDRESS(INDEX($L$2:$L$1001,MATCH(ROWS($J$2:J284),$J$2:$J$1001,0),0), INDEX($Q$1004:$U$1004,1,MATCH(COLUMNS($Q$1006:T1006),$Q$1006:$U$1006,0)))),"Fix")))</f>
        <v xml:space="preserve"> </v>
      </c>
      <c r="F284" s="3" t="str">
        <f ca="1">IF(OR(INDEX($K$2:$K$1001,MATCH(ROWS($J$2:J284),$J$2:$J$1001,0),1)&gt;=100000,INDEX($Q$1005:$U$1005,1,MATCH(COLUMNS($Q$1006:U1006),$Q$1006:$U$1006,0))&gt;=100000), " ",IF(INDEX($Q$2:$U$1001,MATCH(ROWS($J$2:J284),$J$2:$J$1001,0),MATCH(COLUMNS($Q$1006:U1006),$Q$1006:$U$1006,0)), HYPERLINK("#",""), HYPERLINK(CONCATENATE("#Metadata!", ADDRESS(INDEX($L$2:$L$1001,MATCH(ROWS($J$2:J284),$J$2:$J$1001,0),0), INDEX($Q$1004:$U$1004,1,MATCH(COLUMNS($Q$1006:U1006),$Q$1006:$U$1006,0)))),"Fix")))</f>
        <v xml:space="preserve"> </v>
      </c>
      <c r="J284">
        <f ca="1"/>
        <v>283</v>
      </c>
      <c r="K284">
        <v>100284</v>
      </c>
      <c r="L284">
        <v>284</v>
      </c>
      <c r="M284" t="b">
        <f t="shared" si="4"/>
        <v>1</v>
      </c>
      <c r="N284" t="b">
        <f>COUNTBLANK(Metadata!B284:F284)=COLUMNS(Metadata!B284:F284)</f>
        <v>1</v>
      </c>
      <c r="O284" t="str">
        <v/>
      </c>
      <c r="Q284" t="b">
        <f ca="1"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R284" t="b">
        <f>IF(Metadata!C284="",FALSE,TRUE)</f>
        <v>0</v>
      </c>
      <c r="S284" t="b">
        <f>OR(AND(IF(Metadata!D284="",FALSE,TRUE),EXACT(Metadata!D284,"missing: not collected")),AND(IF(Metadata!D284="",FALSE,TRUE),OR(EXACT(Metadata!D284,"t"),EXACT(Metadata!D284,"f"))))</f>
        <v>0</v>
      </c>
      <c r="T284" t="b">
        <f>AND(IF(Metadata!E284="",FALSE,TRUE),OR(EXACT(Metadata!E284,"a"),EXACT(Metadata!E284,"b")))</f>
        <v>0</v>
      </c>
      <c r="U284" t="b">
        <f>OR(AND(IF(Metadata!F284="",FALSE,TRUE),OR(EXACT(Metadata!F284,"missing: not collected"),EXACT(Metadata!F284,"missing: not provided"))),AND(IF(Metadata!F284="",FALSE,TRUE),OR(EXACT(Metadata!F284,"lo"),EXACT(Metadata!F284,"med"),EXACT(Metadata!F284,"hi"))))</f>
        <v>0</v>
      </c>
    </row>
    <row r="285" spans="1:21" x14ac:dyDescent="0.2">
      <c r="A285" s="4" t="str">
        <f ca="1">IF(B285=" "," ",HYPERLINK(CONCATENATE("#metadata!",ADDRESS(INDEX($L$2:$L$1001,MATCH(ROWS($J$2:J285),$J$2:$J$1001,0),0),1)),INDEX($O$2:$O$1001,MATCH(ROWS($J$2:J285),$J$2:$J$1001,0),0)))</f>
        <v xml:space="preserve"> </v>
      </c>
      <c r="B285" s="3" t="str">
        <f ca="1">IF(OR(INDEX($K$2:$K$1001,MATCH(ROWS($J$2:J285),$J$2:$J$1001,0),1)&gt;=100000,INDEX($Q$1005:$U$1005,1,MATCH(COLUMNS($Q$1006:Q1006),$Q$1006:$U$1006,0))&gt;=100000), " ",IF(INDEX($Q$2:$U$1001,MATCH(ROWS($J$2:J285),$J$2:$J$1001,0),MATCH(COLUMNS($Q$1006:Q1006),$Q$1006:$U$1006,0)), HYPERLINK("#",""), HYPERLINK(CONCATENATE("#Metadata!", ADDRESS(INDEX($L$2:$L$1001,MATCH(ROWS($J$2:J285),$J$2:$J$1001,0),0), INDEX($Q$1004:$U$1004,1,MATCH(COLUMNS($Q$1006:Q1006),$Q$1006:$U$1006,0)))),"Fix")))</f>
        <v xml:space="preserve"> </v>
      </c>
      <c r="C285" s="3" t="str">
        <f ca="1">IF(OR(INDEX($K$2:$K$1001,MATCH(ROWS($J$2:J285),$J$2:$J$1001,0),1)&gt;=100000,INDEX($Q$1005:$U$1005,1,MATCH(COLUMNS($Q$1006:R1006),$Q$1006:$U$1006,0))&gt;=100000), " ",IF(INDEX($Q$2:$U$1001,MATCH(ROWS($J$2:J285),$J$2:$J$1001,0),MATCH(COLUMNS($Q$1006:R1006),$Q$1006:$U$1006,0)), HYPERLINK("#",""), HYPERLINK(CONCATENATE("#Metadata!", ADDRESS(INDEX($L$2:$L$1001,MATCH(ROWS($J$2:J285),$J$2:$J$1001,0),0), INDEX($Q$1004:$U$1004,1,MATCH(COLUMNS($Q$1006:R1006),$Q$1006:$U$1006,0)))),"Fix")))</f>
        <v xml:space="preserve"> </v>
      </c>
      <c r="D285" s="3" t="str">
        <f ca="1">IF(OR(INDEX($K$2:$K$1001,MATCH(ROWS($J$2:J285),$J$2:$J$1001,0),1)&gt;=100000,INDEX($Q$1005:$U$1005,1,MATCH(COLUMNS($Q$1006:S1006),$Q$1006:$U$1006,0))&gt;=100000), " ",IF(INDEX($Q$2:$U$1001,MATCH(ROWS($J$2:J285),$J$2:$J$1001,0),MATCH(COLUMNS($Q$1006:S1006),$Q$1006:$U$1006,0)), HYPERLINK("#",""), HYPERLINK(CONCATENATE("#Metadata!", ADDRESS(INDEX($L$2:$L$1001,MATCH(ROWS($J$2:J285),$J$2:$J$1001,0),0), INDEX($Q$1004:$U$1004,1,MATCH(COLUMNS($Q$1006:S1006),$Q$1006:$U$1006,0)))),"Fix")))</f>
        <v xml:space="preserve"> </v>
      </c>
      <c r="E285" s="3" t="str">
        <f ca="1">IF(OR(INDEX($K$2:$K$1001,MATCH(ROWS($J$2:J285),$J$2:$J$1001,0),1)&gt;=100000,INDEX($Q$1005:$U$1005,1,MATCH(COLUMNS($Q$1006:T1006),$Q$1006:$U$1006,0))&gt;=100000), " ",IF(INDEX($Q$2:$U$1001,MATCH(ROWS($J$2:J285),$J$2:$J$1001,0),MATCH(COLUMNS($Q$1006:T1006),$Q$1006:$U$1006,0)), HYPERLINK("#",""), HYPERLINK(CONCATENATE("#Metadata!", ADDRESS(INDEX($L$2:$L$1001,MATCH(ROWS($J$2:J285),$J$2:$J$1001,0),0), INDEX($Q$1004:$U$1004,1,MATCH(COLUMNS($Q$1006:T1006),$Q$1006:$U$1006,0)))),"Fix")))</f>
        <v xml:space="preserve"> </v>
      </c>
      <c r="F285" s="3" t="str">
        <f ca="1">IF(OR(INDEX($K$2:$K$1001,MATCH(ROWS($J$2:J285),$J$2:$J$1001,0),1)&gt;=100000,INDEX($Q$1005:$U$1005,1,MATCH(COLUMNS($Q$1006:U1006),$Q$1006:$U$1006,0))&gt;=100000), " ",IF(INDEX($Q$2:$U$1001,MATCH(ROWS($J$2:J285),$J$2:$J$1001,0),MATCH(COLUMNS($Q$1006:U1006),$Q$1006:$U$1006,0)), HYPERLINK("#",""), HYPERLINK(CONCATENATE("#Metadata!", ADDRESS(INDEX($L$2:$L$1001,MATCH(ROWS($J$2:J285),$J$2:$J$1001,0),0), INDEX($Q$1004:$U$1004,1,MATCH(COLUMNS($Q$1006:U1006),$Q$1006:$U$1006,0)))),"Fix")))</f>
        <v xml:space="preserve"> </v>
      </c>
      <c r="J285">
        <f ca="1"/>
        <v>284</v>
      </c>
      <c r="K285">
        <v>100285</v>
      </c>
      <c r="L285">
        <v>285</v>
      </c>
      <c r="M285" t="b">
        <f t="shared" si="4"/>
        <v>1</v>
      </c>
      <c r="N285" t="b">
        <f>COUNTBLANK(Metadata!B285:F285)=COLUMNS(Metadata!B285:F285)</f>
        <v>1</v>
      </c>
      <c r="O285" t="str">
        <v/>
      </c>
      <c r="Q285" t="b">
        <f ca="1"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R285" t="b">
        <f>IF(Metadata!C285="",FALSE,TRUE)</f>
        <v>0</v>
      </c>
      <c r="S285" t="b">
        <f>OR(AND(IF(Metadata!D285="",FALSE,TRUE),EXACT(Metadata!D285,"missing: not collected")),AND(IF(Metadata!D285="",FALSE,TRUE),OR(EXACT(Metadata!D285,"t"),EXACT(Metadata!D285,"f"))))</f>
        <v>0</v>
      </c>
      <c r="T285" t="b">
        <f>AND(IF(Metadata!E285="",FALSE,TRUE),OR(EXACT(Metadata!E285,"a"),EXACT(Metadata!E285,"b")))</f>
        <v>0</v>
      </c>
      <c r="U285" t="b">
        <f>OR(AND(IF(Metadata!F285="",FALSE,TRUE),OR(EXACT(Metadata!F285,"missing: not collected"),EXACT(Metadata!F285,"missing: not provided"))),AND(IF(Metadata!F285="",FALSE,TRUE),OR(EXACT(Metadata!F285,"lo"),EXACT(Metadata!F285,"med"),EXACT(Metadata!F285,"hi"))))</f>
        <v>0</v>
      </c>
    </row>
    <row r="286" spans="1:21" x14ac:dyDescent="0.2">
      <c r="A286" s="4" t="str">
        <f ca="1">IF(B286=" "," ",HYPERLINK(CONCATENATE("#metadata!",ADDRESS(INDEX($L$2:$L$1001,MATCH(ROWS($J$2:J286),$J$2:$J$1001,0),0),1)),INDEX($O$2:$O$1001,MATCH(ROWS($J$2:J286),$J$2:$J$1001,0),0)))</f>
        <v xml:space="preserve"> </v>
      </c>
      <c r="B286" s="3" t="str">
        <f ca="1">IF(OR(INDEX($K$2:$K$1001,MATCH(ROWS($J$2:J286),$J$2:$J$1001,0),1)&gt;=100000,INDEX($Q$1005:$U$1005,1,MATCH(COLUMNS($Q$1006:Q1006),$Q$1006:$U$1006,0))&gt;=100000), " ",IF(INDEX($Q$2:$U$1001,MATCH(ROWS($J$2:J286),$J$2:$J$1001,0),MATCH(COLUMNS($Q$1006:Q1006),$Q$1006:$U$1006,0)), HYPERLINK("#",""), HYPERLINK(CONCATENATE("#Metadata!", ADDRESS(INDEX($L$2:$L$1001,MATCH(ROWS($J$2:J286),$J$2:$J$1001,0),0), INDEX($Q$1004:$U$1004,1,MATCH(COLUMNS($Q$1006:Q1006),$Q$1006:$U$1006,0)))),"Fix")))</f>
        <v xml:space="preserve"> </v>
      </c>
      <c r="C286" s="3" t="str">
        <f ca="1">IF(OR(INDEX($K$2:$K$1001,MATCH(ROWS($J$2:J286),$J$2:$J$1001,0),1)&gt;=100000,INDEX($Q$1005:$U$1005,1,MATCH(COLUMNS($Q$1006:R1006),$Q$1006:$U$1006,0))&gt;=100000), " ",IF(INDEX($Q$2:$U$1001,MATCH(ROWS($J$2:J286),$J$2:$J$1001,0),MATCH(COLUMNS($Q$1006:R1006),$Q$1006:$U$1006,0)), HYPERLINK("#",""), HYPERLINK(CONCATENATE("#Metadata!", ADDRESS(INDEX($L$2:$L$1001,MATCH(ROWS($J$2:J286),$J$2:$J$1001,0),0), INDEX($Q$1004:$U$1004,1,MATCH(COLUMNS($Q$1006:R1006),$Q$1006:$U$1006,0)))),"Fix")))</f>
        <v xml:space="preserve"> </v>
      </c>
      <c r="D286" s="3" t="str">
        <f ca="1">IF(OR(INDEX($K$2:$K$1001,MATCH(ROWS($J$2:J286),$J$2:$J$1001,0),1)&gt;=100000,INDEX($Q$1005:$U$1005,1,MATCH(COLUMNS($Q$1006:S1006),$Q$1006:$U$1006,0))&gt;=100000), " ",IF(INDEX($Q$2:$U$1001,MATCH(ROWS($J$2:J286),$J$2:$J$1001,0),MATCH(COLUMNS($Q$1006:S1006),$Q$1006:$U$1006,0)), HYPERLINK("#",""), HYPERLINK(CONCATENATE("#Metadata!", ADDRESS(INDEX($L$2:$L$1001,MATCH(ROWS($J$2:J286),$J$2:$J$1001,0),0), INDEX($Q$1004:$U$1004,1,MATCH(COLUMNS($Q$1006:S1006),$Q$1006:$U$1006,0)))),"Fix")))</f>
        <v xml:space="preserve"> </v>
      </c>
      <c r="E286" s="3" t="str">
        <f ca="1">IF(OR(INDEX($K$2:$K$1001,MATCH(ROWS($J$2:J286),$J$2:$J$1001,0),1)&gt;=100000,INDEX($Q$1005:$U$1005,1,MATCH(COLUMNS($Q$1006:T1006),$Q$1006:$U$1006,0))&gt;=100000), " ",IF(INDEX($Q$2:$U$1001,MATCH(ROWS($J$2:J286),$J$2:$J$1001,0),MATCH(COLUMNS($Q$1006:T1006),$Q$1006:$U$1006,0)), HYPERLINK("#",""), HYPERLINK(CONCATENATE("#Metadata!", ADDRESS(INDEX($L$2:$L$1001,MATCH(ROWS($J$2:J286),$J$2:$J$1001,0),0), INDEX($Q$1004:$U$1004,1,MATCH(COLUMNS($Q$1006:T1006),$Q$1006:$U$1006,0)))),"Fix")))</f>
        <v xml:space="preserve"> </v>
      </c>
      <c r="F286" s="3" t="str">
        <f ca="1">IF(OR(INDEX($K$2:$K$1001,MATCH(ROWS($J$2:J286),$J$2:$J$1001,0),1)&gt;=100000,INDEX($Q$1005:$U$1005,1,MATCH(COLUMNS($Q$1006:U1006),$Q$1006:$U$1006,0))&gt;=100000), " ",IF(INDEX($Q$2:$U$1001,MATCH(ROWS($J$2:J286),$J$2:$J$1001,0),MATCH(COLUMNS($Q$1006:U1006),$Q$1006:$U$1006,0)), HYPERLINK("#",""), HYPERLINK(CONCATENATE("#Metadata!", ADDRESS(INDEX($L$2:$L$1001,MATCH(ROWS($J$2:J286),$J$2:$J$1001,0),0), INDEX($Q$1004:$U$1004,1,MATCH(COLUMNS($Q$1006:U1006),$Q$1006:$U$1006,0)))),"Fix")))</f>
        <v xml:space="preserve"> </v>
      </c>
      <c r="J286">
        <f ca="1"/>
        <v>285</v>
      </c>
      <c r="K286">
        <v>100286</v>
      </c>
      <c r="L286">
        <v>286</v>
      </c>
      <c r="M286" t="b">
        <f t="shared" si="4"/>
        <v>1</v>
      </c>
      <c r="N286" t="b">
        <f>COUNTBLANK(Metadata!B286:F286)=COLUMNS(Metadata!B286:F286)</f>
        <v>1</v>
      </c>
      <c r="O286" t="str">
        <v/>
      </c>
      <c r="Q286" t="b">
        <f ca="1"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R286" t="b">
        <f>IF(Metadata!C286="",FALSE,TRUE)</f>
        <v>0</v>
      </c>
      <c r="S286" t="b">
        <f>OR(AND(IF(Metadata!D286="",FALSE,TRUE),EXACT(Metadata!D286,"missing: not collected")),AND(IF(Metadata!D286="",FALSE,TRUE),OR(EXACT(Metadata!D286,"t"),EXACT(Metadata!D286,"f"))))</f>
        <v>0</v>
      </c>
      <c r="T286" t="b">
        <f>AND(IF(Metadata!E286="",FALSE,TRUE),OR(EXACT(Metadata!E286,"a"),EXACT(Metadata!E286,"b")))</f>
        <v>0</v>
      </c>
      <c r="U286" t="b">
        <f>OR(AND(IF(Metadata!F286="",FALSE,TRUE),OR(EXACT(Metadata!F286,"missing: not collected"),EXACT(Metadata!F286,"missing: not provided"))),AND(IF(Metadata!F286="",FALSE,TRUE),OR(EXACT(Metadata!F286,"lo"),EXACT(Metadata!F286,"med"),EXACT(Metadata!F286,"hi"))))</f>
        <v>0</v>
      </c>
    </row>
    <row r="287" spans="1:21" x14ac:dyDescent="0.2">
      <c r="A287" s="4" t="str">
        <f ca="1">IF(B287=" "," ",HYPERLINK(CONCATENATE("#metadata!",ADDRESS(INDEX($L$2:$L$1001,MATCH(ROWS($J$2:J287),$J$2:$J$1001,0),0),1)),INDEX($O$2:$O$1001,MATCH(ROWS($J$2:J287),$J$2:$J$1001,0),0)))</f>
        <v xml:space="preserve"> </v>
      </c>
      <c r="B287" s="3" t="str">
        <f ca="1">IF(OR(INDEX($K$2:$K$1001,MATCH(ROWS($J$2:J287),$J$2:$J$1001,0),1)&gt;=100000,INDEX($Q$1005:$U$1005,1,MATCH(COLUMNS($Q$1006:Q1006),$Q$1006:$U$1006,0))&gt;=100000), " ",IF(INDEX($Q$2:$U$1001,MATCH(ROWS($J$2:J287),$J$2:$J$1001,0),MATCH(COLUMNS($Q$1006:Q1006),$Q$1006:$U$1006,0)), HYPERLINK("#",""), HYPERLINK(CONCATENATE("#Metadata!", ADDRESS(INDEX($L$2:$L$1001,MATCH(ROWS($J$2:J287),$J$2:$J$1001,0),0), INDEX($Q$1004:$U$1004,1,MATCH(COLUMNS($Q$1006:Q1006),$Q$1006:$U$1006,0)))),"Fix")))</f>
        <v xml:space="preserve"> </v>
      </c>
      <c r="C287" s="3" t="str">
        <f ca="1">IF(OR(INDEX($K$2:$K$1001,MATCH(ROWS($J$2:J287),$J$2:$J$1001,0),1)&gt;=100000,INDEX($Q$1005:$U$1005,1,MATCH(COLUMNS($Q$1006:R1006),$Q$1006:$U$1006,0))&gt;=100000), " ",IF(INDEX($Q$2:$U$1001,MATCH(ROWS($J$2:J287),$J$2:$J$1001,0),MATCH(COLUMNS($Q$1006:R1006),$Q$1006:$U$1006,0)), HYPERLINK("#",""), HYPERLINK(CONCATENATE("#Metadata!", ADDRESS(INDEX($L$2:$L$1001,MATCH(ROWS($J$2:J287),$J$2:$J$1001,0),0), INDEX($Q$1004:$U$1004,1,MATCH(COLUMNS($Q$1006:R1006),$Q$1006:$U$1006,0)))),"Fix")))</f>
        <v xml:space="preserve"> </v>
      </c>
      <c r="D287" s="3" t="str">
        <f ca="1">IF(OR(INDEX($K$2:$K$1001,MATCH(ROWS($J$2:J287),$J$2:$J$1001,0),1)&gt;=100000,INDEX($Q$1005:$U$1005,1,MATCH(COLUMNS($Q$1006:S1006),$Q$1006:$U$1006,0))&gt;=100000), " ",IF(INDEX($Q$2:$U$1001,MATCH(ROWS($J$2:J287),$J$2:$J$1001,0),MATCH(COLUMNS($Q$1006:S1006),$Q$1006:$U$1006,0)), HYPERLINK("#",""), HYPERLINK(CONCATENATE("#Metadata!", ADDRESS(INDEX($L$2:$L$1001,MATCH(ROWS($J$2:J287),$J$2:$J$1001,0),0), INDEX($Q$1004:$U$1004,1,MATCH(COLUMNS($Q$1006:S1006),$Q$1006:$U$1006,0)))),"Fix")))</f>
        <v xml:space="preserve"> </v>
      </c>
      <c r="E287" s="3" t="str">
        <f ca="1">IF(OR(INDEX($K$2:$K$1001,MATCH(ROWS($J$2:J287),$J$2:$J$1001,0),1)&gt;=100000,INDEX($Q$1005:$U$1005,1,MATCH(COLUMNS($Q$1006:T1006),$Q$1006:$U$1006,0))&gt;=100000), " ",IF(INDEX($Q$2:$U$1001,MATCH(ROWS($J$2:J287),$J$2:$J$1001,0),MATCH(COLUMNS($Q$1006:T1006),$Q$1006:$U$1006,0)), HYPERLINK("#",""), HYPERLINK(CONCATENATE("#Metadata!", ADDRESS(INDEX($L$2:$L$1001,MATCH(ROWS($J$2:J287),$J$2:$J$1001,0),0), INDEX($Q$1004:$U$1004,1,MATCH(COLUMNS($Q$1006:T1006),$Q$1006:$U$1006,0)))),"Fix")))</f>
        <v xml:space="preserve"> </v>
      </c>
      <c r="F287" s="3" t="str">
        <f ca="1">IF(OR(INDEX($K$2:$K$1001,MATCH(ROWS($J$2:J287),$J$2:$J$1001,0),1)&gt;=100000,INDEX($Q$1005:$U$1005,1,MATCH(COLUMNS($Q$1006:U1006),$Q$1006:$U$1006,0))&gt;=100000), " ",IF(INDEX($Q$2:$U$1001,MATCH(ROWS($J$2:J287),$J$2:$J$1001,0),MATCH(COLUMNS($Q$1006:U1006),$Q$1006:$U$1006,0)), HYPERLINK("#",""), HYPERLINK(CONCATENATE("#Metadata!", ADDRESS(INDEX($L$2:$L$1001,MATCH(ROWS($J$2:J287),$J$2:$J$1001,0),0), INDEX($Q$1004:$U$1004,1,MATCH(COLUMNS($Q$1006:U1006),$Q$1006:$U$1006,0)))),"Fix")))</f>
        <v xml:space="preserve"> </v>
      </c>
      <c r="J287">
        <f ca="1"/>
        <v>286</v>
      </c>
      <c r="K287">
        <v>100287</v>
      </c>
      <c r="L287">
        <v>287</v>
      </c>
      <c r="M287" t="b">
        <f t="shared" si="4"/>
        <v>1</v>
      </c>
      <c r="N287" t="b">
        <f>COUNTBLANK(Metadata!B287:F287)=COLUMNS(Metadata!B287:F287)</f>
        <v>1</v>
      </c>
      <c r="O287" t="str">
        <v/>
      </c>
      <c r="Q287" t="b">
        <f ca="1"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R287" t="b">
        <f>IF(Metadata!C287="",FALSE,TRUE)</f>
        <v>0</v>
      </c>
      <c r="S287" t="b">
        <f>OR(AND(IF(Metadata!D287="",FALSE,TRUE),EXACT(Metadata!D287,"missing: not collected")),AND(IF(Metadata!D287="",FALSE,TRUE),OR(EXACT(Metadata!D287,"t"),EXACT(Metadata!D287,"f"))))</f>
        <v>0</v>
      </c>
      <c r="T287" t="b">
        <f>AND(IF(Metadata!E287="",FALSE,TRUE),OR(EXACT(Metadata!E287,"a"),EXACT(Metadata!E287,"b")))</f>
        <v>0</v>
      </c>
      <c r="U287" t="b">
        <f>OR(AND(IF(Metadata!F287="",FALSE,TRUE),OR(EXACT(Metadata!F287,"missing: not collected"),EXACT(Metadata!F287,"missing: not provided"))),AND(IF(Metadata!F287="",FALSE,TRUE),OR(EXACT(Metadata!F287,"lo"),EXACT(Metadata!F287,"med"),EXACT(Metadata!F287,"hi"))))</f>
        <v>0</v>
      </c>
    </row>
    <row r="288" spans="1:21" x14ac:dyDescent="0.2">
      <c r="A288" s="4" t="str">
        <f ca="1">IF(B288=" "," ",HYPERLINK(CONCATENATE("#metadata!",ADDRESS(INDEX($L$2:$L$1001,MATCH(ROWS($J$2:J288),$J$2:$J$1001,0),0),1)),INDEX($O$2:$O$1001,MATCH(ROWS($J$2:J288),$J$2:$J$1001,0),0)))</f>
        <v xml:space="preserve"> </v>
      </c>
      <c r="B288" s="3" t="str">
        <f ca="1">IF(OR(INDEX($K$2:$K$1001,MATCH(ROWS($J$2:J288),$J$2:$J$1001,0),1)&gt;=100000,INDEX($Q$1005:$U$1005,1,MATCH(COLUMNS($Q$1006:Q1006),$Q$1006:$U$1006,0))&gt;=100000), " ",IF(INDEX($Q$2:$U$1001,MATCH(ROWS($J$2:J288),$J$2:$J$1001,0),MATCH(COLUMNS($Q$1006:Q1006),$Q$1006:$U$1006,0)), HYPERLINK("#",""), HYPERLINK(CONCATENATE("#Metadata!", ADDRESS(INDEX($L$2:$L$1001,MATCH(ROWS($J$2:J288),$J$2:$J$1001,0),0), INDEX($Q$1004:$U$1004,1,MATCH(COLUMNS($Q$1006:Q1006),$Q$1006:$U$1006,0)))),"Fix")))</f>
        <v xml:space="preserve"> </v>
      </c>
      <c r="C288" s="3" t="str">
        <f ca="1">IF(OR(INDEX($K$2:$K$1001,MATCH(ROWS($J$2:J288),$J$2:$J$1001,0),1)&gt;=100000,INDEX($Q$1005:$U$1005,1,MATCH(COLUMNS($Q$1006:R1006),$Q$1006:$U$1006,0))&gt;=100000), " ",IF(INDEX($Q$2:$U$1001,MATCH(ROWS($J$2:J288),$J$2:$J$1001,0),MATCH(COLUMNS($Q$1006:R1006),$Q$1006:$U$1006,0)), HYPERLINK("#",""), HYPERLINK(CONCATENATE("#Metadata!", ADDRESS(INDEX($L$2:$L$1001,MATCH(ROWS($J$2:J288),$J$2:$J$1001,0),0), INDEX($Q$1004:$U$1004,1,MATCH(COLUMNS($Q$1006:R1006),$Q$1006:$U$1006,0)))),"Fix")))</f>
        <v xml:space="preserve"> </v>
      </c>
      <c r="D288" s="3" t="str">
        <f ca="1">IF(OR(INDEX($K$2:$K$1001,MATCH(ROWS($J$2:J288),$J$2:$J$1001,0),1)&gt;=100000,INDEX($Q$1005:$U$1005,1,MATCH(COLUMNS($Q$1006:S1006),$Q$1006:$U$1006,0))&gt;=100000), " ",IF(INDEX($Q$2:$U$1001,MATCH(ROWS($J$2:J288),$J$2:$J$1001,0),MATCH(COLUMNS($Q$1006:S1006),$Q$1006:$U$1006,0)), HYPERLINK("#",""), HYPERLINK(CONCATENATE("#Metadata!", ADDRESS(INDEX($L$2:$L$1001,MATCH(ROWS($J$2:J288),$J$2:$J$1001,0),0), INDEX($Q$1004:$U$1004,1,MATCH(COLUMNS($Q$1006:S1006),$Q$1006:$U$1006,0)))),"Fix")))</f>
        <v xml:space="preserve"> </v>
      </c>
      <c r="E288" s="3" t="str">
        <f ca="1">IF(OR(INDEX($K$2:$K$1001,MATCH(ROWS($J$2:J288),$J$2:$J$1001,0),1)&gt;=100000,INDEX($Q$1005:$U$1005,1,MATCH(COLUMNS($Q$1006:T1006),$Q$1006:$U$1006,0))&gt;=100000), " ",IF(INDEX($Q$2:$U$1001,MATCH(ROWS($J$2:J288),$J$2:$J$1001,0),MATCH(COLUMNS($Q$1006:T1006),$Q$1006:$U$1006,0)), HYPERLINK("#",""), HYPERLINK(CONCATENATE("#Metadata!", ADDRESS(INDEX($L$2:$L$1001,MATCH(ROWS($J$2:J288),$J$2:$J$1001,0),0), INDEX($Q$1004:$U$1004,1,MATCH(COLUMNS($Q$1006:T1006),$Q$1006:$U$1006,0)))),"Fix")))</f>
        <v xml:space="preserve"> </v>
      </c>
      <c r="F288" s="3" t="str">
        <f ca="1">IF(OR(INDEX($K$2:$K$1001,MATCH(ROWS($J$2:J288),$J$2:$J$1001,0),1)&gt;=100000,INDEX($Q$1005:$U$1005,1,MATCH(COLUMNS($Q$1006:U1006),$Q$1006:$U$1006,0))&gt;=100000), " ",IF(INDEX($Q$2:$U$1001,MATCH(ROWS($J$2:J288),$J$2:$J$1001,0),MATCH(COLUMNS($Q$1006:U1006),$Q$1006:$U$1006,0)), HYPERLINK("#",""), HYPERLINK(CONCATENATE("#Metadata!", ADDRESS(INDEX($L$2:$L$1001,MATCH(ROWS($J$2:J288),$J$2:$J$1001,0),0), INDEX($Q$1004:$U$1004,1,MATCH(COLUMNS($Q$1006:U1006),$Q$1006:$U$1006,0)))),"Fix")))</f>
        <v xml:space="preserve"> </v>
      </c>
      <c r="J288">
        <f ca="1"/>
        <v>287</v>
      </c>
      <c r="K288">
        <v>100288</v>
      </c>
      <c r="L288">
        <v>288</v>
      </c>
      <c r="M288" t="b">
        <f t="shared" si="4"/>
        <v>1</v>
      </c>
      <c r="N288" t="b">
        <f>COUNTBLANK(Metadata!B288:F288)=COLUMNS(Metadata!B288:F288)</f>
        <v>1</v>
      </c>
      <c r="O288" t="str">
        <v/>
      </c>
      <c r="Q288" t="b">
        <f ca="1"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R288" t="b">
        <f>IF(Metadata!C288="",FALSE,TRUE)</f>
        <v>0</v>
      </c>
      <c r="S288" t="b">
        <f>OR(AND(IF(Metadata!D288="",FALSE,TRUE),EXACT(Metadata!D288,"missing: not collected")),AND(IF(Metadata!D288="",FALSE,TRUE),OR(EXACT(Metadata!D288,"t"),EXACT(Metadata!D288,"f"))))</f>
        <v>0</v>
      </c>
      <c r="T288" t="b">
        <f>AND(IF(Metadata!E288="",FALSE,TRUE),OR(EXACT(Metadata!E288,"a"),EXACT(Metadata!E288,"b")))</f>
        <v>0</v>
      </c>
      <c r="U288" t="b">
        <f>OR(AND(IF(Metadata!F288="",FALSE,TRUE),OR(EXACT(Metadata!F288,"missing: not collected"),EXACT(Metadata!F288,"missing: not provided"))),AND(IF(Metadata!F288="",FALSE,TRUE),OR(EXACT(Metadata!F288,"lo"),EXACT(Metadata!F288,"med"),EXACT(Metadata!F288,"hi"))))</f>
        <v>0</v>
      </c>
    </row>
    <row r="289" spans="1:21" x14ac:dyDescent="0.2">
      <c r="A289" s="4" t="str">
        <f ca="1">IF(B289=" "," ",HYPERLINK(CONCATENATE("#metadata!",ADDRESS(INDEX($L$2:$L$1001,MATCH(ROWS($J$2:J289),$J$2:$J$1001,0),0),1)),INDEX($O$2:$O$1001,MATCH(ROWS($J$2:J289),$J$2:$J$1001,0),0)))</f>
        <v xml:space="preserve"> </v>
      </c>
      <c r="B289" s="3" t="str">
        <f ca="1">IF(OR(INDEX($K$2:$K$1001,MATCH(ROWS($J$2:J289),$J$2:$J$1001,0),1)&gt;=100000,INDEX($Q$1005:$U$1005,1,MATCH(COLUMNS($Q$1006:Q1006),$Q$1006:$U$1006,0))&gt;=100000), " ",IF(INDEX($Q$2:$U$1001,MATCH(ROWS($J$2:J289),$J$2:$J$1001,0),MATCH(COLUMNS($Q$1006:Q1006),$Q$1006:$U$1006,0)), HYPERLINK("#",""), HYPERLINK(CONCATENATE("#Metadata!", ADDRESS(INDEX($L$2:$L$1001,MATCH(ROWS($J$2:J289),$J$2:$J$1001,0),0), INDEX($Q$1004:$U$1004,1,MATCH(COLUMNS($Q$1006:Q1006),$Q$1006:$U$1006,0)))),"Fix")))</f>
        <v xml:space="preserve"> </v>
      </c>
      <c r="C289" s="3" t="str">
        <f ca="1">IF(OR(INDEX($K$2:$K$1001,MATCH(ROWS($J$2:J289),$J$2:$J$1001,0),1)&gt;=100000,INDEX($Q$1005:$U$1005,1,MATCH(COLUMNS($Q$1006:R1006),$Q$1006:$U$1006,0))&gt;=100000), " ",IF(INDEX($Q$2:$U$1001,MATCH(ROWS($J$2:J289),$J$2:$J$1001,0),MATCH(COLUMNS($Q$1006:R1006),$Q$1006:$U$1006,0)), HYPERLINK("#",""), HYPERLINK(CONCATENATE("#Metadata!", ADDRESS(INDEX($L$2:$L$1001,MATCH(ROWS($J$2:J289),$J$2:$J$1001,0),0), INDEX($Q$1004:$U$1004,1,MATCH(COLUMNS($Q$1006:R1006),$Q$1006:$U$1006,0)))),"Fix")))</f>
        <v xml:space="preserve"> </v>
      </c>
      <c r="D289" s="3" t="str">
        <f ca="1">IF(OR(INDEX($K$2:$K$1001,MATCH(ROWS($J$2:J289),$J$2:$J$1001,0),1)&gt;=100000,INDEX($Q$1005:$U$1005,1,MATCH(COLUMNS($Q$1006:S1006),$Q$1006:$U$1006,0))&gt;=100000), " ",IF(INDEX($Q$2:$U$1001,MATCH(ROWS($J$2:J289),$J$2:$J$1001,0),MATCH(COLUMNS($Q$1006:S1006),$Q$1006:$U$1006,0)), HYPERLINK("#",""), HYPERLINK(CONCATENATE("#Metadata!", ADDRESS(INDEX($L$2:$L$1001,MATCH(ROWS($J$2:J289),$J$2:$J$1001,0),0), INDEX($Q$1004:$U$1004,1,MATCH(COLUMNS($Q$1006:S1006),$Q$1006:$U$1006,0)))),"Fix")))</f>
        <v xml:space="preserve"> </v>
      </c>
      <c r="E289" s="3" t="str">
        <f ca="1">IF(OR(INDEX($K$2:$K$1001,MATCH(ROWS($J$2:J289),$J$2:$J$1001,0),1)&gt;=100000,INDEX($Q$1005:$U$1005,1,MATCH(COLUMNS($Q$1006:T1006),$Q$1006:$U$1006,0))&gt;=100000), " ",IF(INDEX($Q$2:$U$1001,MATCH(ROWS($J$2:J289),$J$2:$J$1001,0),MATCH(COLUMNS($Q$1006:T1006),$Q$1006:$U$1006,0)), HYPERLINK("#",""), HYPERLINK(CONCATENATE("#Metadata!", ADDRESS(INDEX($L$2:$L$1001,MATCH(ROWS($J$2:J289),$J$2:$J$1001,0),0), INDEX($Q$1004:$U$1004,1,MATCH(COLUMNS($Q$1006:T1006),$Q$1006:$U$1006,0)))),"Fix")))</f>
        <v xml:space="preserve"> </v>
      </c>
      <c r="F289" s="3" t="str">
        <f ca="1">IF(OR(INDEX($K$2:$K$1001,MATCH(ROWS($J$2:J289),$J$2:$J$1001,0),1)&gt;=100000,INDEX($Q$1005:$U$1005,1,MATCH(COLUMNS($Q$1006:U1006),$Q$1006:$U$1006,0))&gt;=100000), " ",IF(INDEX($Q$2:$U$1001,MATCH(ROWS($J$2:J289),$J$2:$J$1001,0),MATCH(COLUMNS($Q$1006:U1006),$Q$1006:$U$1006,0)), HYPERLINK("#",""), HYPERLINK(CONCATENATE("#Metadata!", ADDRESS(INDEX($L$2:$L$1001,MATCH(ROWS($J$2:J289),$J$2:$J$1001,0),0), INDEX($Q$1004:$U$1004,1,MATCH(COLUMNS($Q$1006:U1006),$Q$1006:$U$1006,0)))),"Fix")))</f>
        <v xml:space="preserve"> </v>
      </c>
      <c r="J289">
        <f ca="1"/>
        <v>288</v>
      </c>
      <c r="K289">
        <v>100289</v>
      </c>
      <c r="L289">
        <v>289</v>
      </c>
      <c r="M289" t="b">
        <f t="shared" si="4"/>
        <v>1</v>
      </c>
      <c r="N289" t="b">
        <f>COUNTBLANK(Metadata!B289:F289)=COLUMNS(Metadata!B289:F289)</f>
        <v>1</v>
      </c>
      <c r="O289" t="str">
        <v/>
      </c>
      <c r="Q289" t="b">
        <f ca="1"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R289" t="b">
        <f>IF(Metadata!C289="",FALSE,TRUE)</f>
        <v>0</v>
      </c>
      <c r="S289" t="b">
        <f>OR(AND(IF(Metadata!D289="",FALSE,TRUE),EXACT(Metadata!D289,"missing: not collected")),AND(IF(Metadata!D289="",FALSE,TRUE),OR(EXACT(Metadata!D289,"t"),EXACT(Metadata!D289,"f"))))</f>
        <v>0</v>
      </c>
      <c r="T289" t="b">
        <f>AND(IF(Metadata!E289="",FALSE,TRUE),OR(EXACT(Metadata!E289,"a"),EXACT(Metadata!E289,"b")))</f>
        <v>0</v>
      </c>
      <c r="U289" t="b">
        <f>OR(AND(IF(Metadata!F289="",FALSE,TRUE),OR(EXACT(Metadata!F289,"missing: not collected"),EXACT(Metadata!F289,"missing: not provided"))),AND(IF(Metadata!F289="",FALSE,TRUE),OR(EXACT(Metadata!F289,"lo"),EXACT(Metadata!F289,"med"),EXACT(Metadata!F289,"hi"))))</f>
        <v>0</v>
      </c>
    </row>
    <row r="290" spans="1:21" x14ac:dyDescent="0.2">
      <c r="A290" s="4" t="str">
        <f ca="1">IF(B290=" "," ",HYPERLINK(CONCATENATE("#metadata!",ADDRESS(INDEX($L$2:$L$1001,MATCH(ROWS($J$2:J290),$J$2:$J$1001,0),0),1)),INDEX($O$2:$O$1001,MATCH(ROWS($J$2:J290),$J$2:$J$1001,0),0)))</f>
        <v xml:space="preserve"> </v>
      </c>
      <c r="B290" s="3" t="str">
        <f ca="1">IF(OR(INDEX($K$2:$K$1001,MATCH(ROWS($J$2:J290),$J$2:$J$1001,0),1)&gt;=100000,INDEX($Q$1005:$U$1005,1,MATCH(COLUMNS($Q$1006:Q1006),$Q$1006:$U$1006,0))&gt;=100000), " ",IF(INDEX($Q$2:$U$1001,MATCH(ROWS($J$2:J290),$J$2:$J$1001,0),MATCH(COLUMNS($Q$1006:Q1006),$Q$1006:$U$1006,0)), HYPERLINK("#",""), HYPERLINK(CONCATENATE("#Metadata!", ADDRESS(INDEX($L$2:$L$1001,MATCH(ROWS($J$2:J290),$J$2:$J$1001,0),0), INDEX($Q$1004:$U$1004,1,MATCH(COLUMNS($Q$1006:Q1006),$Q$1006:$U$1006,0)))),"Fix")))</f>
        <v xml:space="preserve"> </v>
      </c>
      <c r="C290" s="3" t="str">
        <f ca="1">IF(OR(INDEX($K$2:$K$1001,MATCH(ROWS($J$2:J290),$J$2:$J$1001,0),1)&gt;=100000,INDEX($Q$1005:$U$1005,1,MATCH(COLUMNS($Q$1006:R1006),$Q$1006:$U$1006,0))&gt;=100000), " ",IF(INDEX($Q$2:$U$1001,MATCH(ROWS($J$2:J290),$J$2:$J$1001,0),MATCH(COLUMNS($Q$1006:R1006),$Q$1006:$U$1006,0)), HYPERLINK("#",""), HYPERLINK(CONCATENATE("#Metadata!", ADDRESS(INDEX($L$2:$L$1001,MATCH(ROWS($J$2:J290),$J$2:$J$1001,0),0), INDEX($Q$1004:$U$1004,1,MATCH(COLUMNS($Q$1006:R1006),$Q$1006:$U$1006,0)))),"Fix")))</f>
        <v xml:space="preserve"> </v>
      </c>
      <c r="D290" s="3" t="str">
        <f ca="1">IF(OR(INDEX($K$2:$K$1001,MATCH(ROWS($J$2:J290),$J$2:$J$1001,0),1)&gt;=100000,INDEX($Q$1005:$U$1005,1,MATCH(COLUMNS($Q$1006:S1006),$Q$1006:$U$1006,0))&gt;=100000), " ",IF(INDEX($Q$2:$U$1001,MATCH(ROWS($J$2:J290),$J$2:$J$1001,0),MATCH(COLUMNS($Q$1006:S1006),$Q$1006:$U$1006,0)), HYPERLINK("#",""), HYPERLINK(CONCATENATE("#Metadata!", ADDRESS(INDEX($L$2:$L$1001,MATCH(ROWS($J$2:J290),$J$2:$J$1001,0),0), INDEX($Q$1004:$U$1004,1,MATCH(COLUMNS($Q$1006:S1006),$Q$1006:$U$1006,0)))),"Fix")))</f>
        <v xml:space="preserve"> </v>
      </c>
      <c r="E290" s="3" t="str">
        <f ca="1">IF(OR(INDEX($K$2:$K$1001,MATCH(ROWS($J$2:J290),$J$2:$J$1001,0),1)&gt;=100000,INDEX($Q$1005:$U$1005,1,MATCH(COLUMNS($Q$1006:T1006),$Q$1006:$U$1006,0))&gt;=100000), " ",IF(INDEX($Q$2:$U$1001,MATCH(ROWS($J$2:J290),$J$2:$J$1001,0),MATCH(COLUMNS($Q$1006:T1006),$Q$1006:$U$1006,0)), HYPERLINK("#",""), HYPERLINK(CONCATENATE("#Metadata!", ADDRESS(INDEX($L$2:$L$1001,MATCH(ROWS($J$2:J290),$J$2:$J$1001,0),0), INDEX($Q$1004:$U$1004,1,MATCH(COLUMNS($Q$1006:T1006),$Q$1006:$U$1006,0)))),"Fix")))</f>
        <v xml:space="preserve"> </v>
      </c>
      <c r="F290" s="3" t="str">
        <f ca="1">IF(OR(INDEX($K$2:$K$1001,MATCH(ROWS($J$2:J290),$J$2:$J$1001,0),1)&gt;=100000,INDEX($Q$1005:$U$1005,1,MATCH(COLUMNS($Q$1006:U1006),$Q$1006:$U$1006,0))&gt;=100000), " ",IF(INDEX($Q$2:$U$1001,MATCH(ROWS($J$2:J290),$J$2:$J$1001,0),MATCH(COLUMNS($Q$1006:U1006),$Q$1006:$U$1006,0)), HYPERLINK("#",""), HYPERLINK(CONCATENATE("#Metadata!", ADDRESS(INDEX($L$2:$L$1001,MATCH(ROWS($J$2:J290),$J$2:$J$1001,0),0), INDEX($Q$1004:$U$1004,1,MATCH(COLUMNS($Q$1006:U1006),$Q$1006:$U$1006,0)))),"Fix")))</f>
        <v xml:space="preserve"> </v>
      </c>
      <c r="J290">
        <f ca="1"/>
        <v>289</v>
      </c>
      <c r="K290">
        <v>100290</v>
      </c>
      <c r="L290">
        <v>290</v>
      </c>
      <c r="M290" t="b">
        <f t="shared" si="4"/>
        <v>1</v>
      </c>
      <c r="N290" t="b">
        <f>COUNTBLANK(Metadata!B290:F290)=COLUMNS(Metadata!B290:F290)</f>
        <v>1</v>
      </c>
      <c r="O290" t="str">
        <v/>
      </c>
      <c r="Q290" t="b">
        <f ca="1"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R290" t="b">
        <f>IF(Metadata!C290="",FALSE,TRUE)</f>
        <v>0</v>
      </c>
      <c r="S290" t="b">
        <f>OR(AND(IF(Metadata!D290="",FALSE,TRUE),EXACT(Metadata!D290,"missing: not collected")),AND(IF(Metadata!D290="",FALSE,TRUE),OR(EXACT(Metadata!D290,"t"),EXACT(Metadata!D290,"f"))))</f>
        <v>0</v>
      </c>
      <c r="T290" t="b">
        <f>AND(IF(Metadata!E290="",FALSE,TRUE),OR(EXACT(Metadata!E290,"a"),EXACT(Metadata!E290,"b")))</f>
        <v>0</v>
      </c>
      <c r="U290" t="b">
        <f>OR(AND(IF(Metadata!F290="",FALSE,TRUE),OR(EXACT(Metadata!F290,"missing: not collected"),EXACT(Metadata!F290,"missing: not provided"))),AND(IF(Metadata!F290="",FALSE,TRUE),OR(EXACT(Metadata!F290,"lo"),EXACT(Metadata!F290,"med"),EXACT(Metadata!F290,"hi"))))</f>
        <v>0</v>
      </c>
    </row>
    <row r="291" spans="1:21" x14ac:dyDescent="0.2">
      <c r="A291" s="4" t="str">
        <f ca="1">IF(B291=" "," ",HYPERLINK(CONCATENATE("#metadata!",ADDRESS(INDEX($L$2:$L$1001,MATCH(ROWS($J$2:J291),$J$2:$J$1001,0),0),1)),INDEX($O$2:$O$1001,MATCH(ROWS($J$2:J291),$J$2:$J$1001,0),0)))</f>
        <v xml:space="preserve"> </v>
      </c>
      <c r="B291" s="3" t="str">
        <f ca="1">IF(OR(INDEX($K$2:$K$1001,MATCH(ROWS($J$2:J291),$J$2:$J$1001,0),1)&gt;=100000,INDEX($Q$1005:$U$1005,1,MATCH(COLUMNS($Q$1006:Q1006),$Q$1006:$U$1006,0))&gt;=100000), " ",IF(INDEX($Q$2:$U$1001,MATCH(ROWS($J$2:J291),$J$2:$J$1001,0),MATCH(COLUMNS($Q$1006:Q1006),$Q$1006:$U$1006,0)), HYPERLINK("#",""), HYPERLINK(CONCATENATE("#Metadata!", ADDRESS(INDEX($L$2:$L$1001,MATCH(ROWS($J$2:J291),$J$2:$J$1001,0),0), INDEX($Q$1004:$U$1004,1,MATCH(COLUMNS($Q$1006:Q1006),$Q$1006:$U$1006,0)))),"Fix")))</f>
        <v xml:space="preserve"> </v>
      </c>
      <c r="C291" s="3" t="str">
        <f ca="1">IF(OR(INDEX($K$2:$K$1001,MATCH(ROWS($J$2:J291),$J$2:$J$1001,0),1)&gt;=100000,INDEX($Q$1005:$U$1005,1,MATCH(COLUMNS($Q$1006:R1006),$Q$1006:$U$1006,0))&gt;=100000), " ",IF(INDEX($Q$2:$U$1001,MATCH(ROWS($J$2:J291),$J$2:$J$1001,0),MATCH(COLUMNS($Q$1006:R1006),$Q$1006:$U$1006,0)), HYPERLINK("#",""), HYPERLINK(CONCATENATE("#Metadata!", ADDRESS(INDEX($L$2:$L$1001,MATCH(ROWS($J$2:J291),$J$2:$J$1001,0),0), INDEX($Q$1004:$U$1004,1,MATCH(COLUMNS($Q$1006:R1006),$Q$1006:$U$1006,0)))),"Fix")))</f>
        <v xml:space="preserve"> </v>
      </c>
      <c r="D291" s="3" t="str">
        <f ca="1">IF(OR(INDEX($K$2:$K$1001,MATCH(ROWS($J$2:J291),$J$2:$J$1001,0),1)&gt;=100000,INDEX($Q$1005:$U$1005,1,MATCH(COLUMNS($Q$1006:S1006),$Q$1006:$U$1006,0))&gt;=100000), " ",IF(INDEX($Q$2:$U$1001,MATCH(ROWS($J$2:J291),$J$2:$J$1001,0),MATCH(COLUMNS($Q$1006:S1006),$Q$1006:$U$1006,0)), HYPERLINK("#",""), HYPERLINK(CONCATENATE("#Metadata!", ADDRESS(INDEX($L$2:$L$1001,MATCH(ROWS($J$2:J291),$J$2:$J$1001,0),0), INDEX($Q$1004:$U$1004,1,MATCH(COLUMNS($Q$1006:S1006),$Q$1006:$U$1006,0)))),"Fix")))</f>
        <v xml:space="preserve"> </v>
      </c>
      <c r="E291" s="3" t="str">
        <f ca="1">IF(OR(INDEX($K$2:$K$1001,MATCH(ROWS($J$2:J291),$J$2:$J$1001,0),1)&gt;=100000,INDEX($Q$1005:$U$1005,1,MATCH(COLUMNS($Q$1006:T1006),$Q$1006:$U$1006,0))&gt;=100000), " ",IF(INDEX($Q$2:$U$1001,MATCH(ROWS($J$2:J291),$J$2:$J$1001,0),MATCH(COLUMNS($Q$1006:T1006),$Q$1006:$U$1006,0)), HYPERLINK("#",""), HYPERLINK(CONCATENATE("#Metadata!", ADDRESS(INDEX($L$2:$L$1001,MATCH(ROWS($J$2:J291),$J$2:$J$1001,0),0), INDEX($Q$1004:$U$1004,1,MATCH(COLUMNS($Q$1006:T1006),$Q$1006:$U$1006,0)))),"Fix")))</f>
        <v xml:space="preserve"> </v>
      </c>
      <c r="F291" s="3" t="str">
        <f ca="1">IF(OR(INDEX($K$2:$K$1001,MATCH(ROWS($J$2:J291),$J$2:$J$1001,0),1)&gt;=100000,INDEX($Q$1005:$U$1005,1,MATCH(COLUMNS($Q$1006:U1006),$Q$1006:$U$1006,0))&gt;=100000), " ",IF(INDEX($Q$2:$U$1001,MATCH(ROWS($J$2:J291),$J$2:$J$1001,0),MATCH(COLUMNS($Q$1006:U1006),$Q$1006:$U$1006,0)), HYPERLINK("#",""), HYPERLINK(CONCATENATE("#Metadata!", ADDRESS(INDEX($L$2:$L$1001,MATCH(ROWS($J$2:J291),$J$2:$J$1001,0),0), INDEX($Q$1004:$U$1004,1,MATCH(COLUMNS($Q$1006:U1006),$Q$1006:$U$1006,0)))),"Fix")))</f>
        <v xml:space="preserve"> </v>
      </c>
      <c r="J291">
        <f ca="1"/>
        <v>290</v>
      </c>
      <c r="K291">
        <v>100291</v>
      </c>
      <c r="L291">
        <v>291</v>
      </c>
      <c r="M291" t="b">
        <f t="shared" si="4"/>
        <v>1</v>
      </c>
      <c r="N291" t="b">
        <f>COUNTBLANK(Metadata!B291:F291)=COLUMNS(Metadata!B291:F291)</f>
        <v>1</v>
      </c>
      <c r="O291" t="str">
        <v/>
      </c>
      <c r="Q291" t="b">
        <f ca="1"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R291" t="b">
        <f>IF(Metadata!C291="",FALSE,TRUE)</f>
        <v>0</v>
      </c>
      <c r="S291" t="b">
        <f>OR(AND(IF(Metadata!D291="",FALSE,TRUE),EXACT(Metadata!D291,"missing: not collected")),AND(IF(Metadata!D291="",FALSE,TRUE),OR(EXACT(Metadata!D291,"t"),EXACT(Metadata!D291,"f"))))</f>
        <v>0</v>
      </c>
      <c r="T291" t="b">
        <f>AND(IF(Metadata!E291="",FALSE,TRUE),OR(EXACT(Metadata!E291,"a"),EXACT(Metadata!E291,"b")))</f>
        <v>0</v>
      </c>
      <c r="U291" t="b">
        <f>OR(AND(IF(Metadata!F291="",FALSE,TRUE),OR(EXACT(Metadata!F291,"missing: not collected"),EXACT(Metadata!F291,"missing: not provided"))),AND(IF(Metadata!F291="",FALSE,TRUE),OR(EXACT(Metadata!F291,"lo"),EXACT(Metadata!F291,"med"),EXACT(Metadata!F291,"hi"))))</f>
        <v>0</v>
      </c>
    </row>
    <row r="292" spans="1:21" x14ac:dyDescent="0.2">
      <c r="A292" s="4" t="str">
        <f ca="1">IF(B292=" "," ",HYPERLINK(CONCATENATE("#metadata!",ADDRESS(INDEX($L$2:$L$1001,MATCH(ROWS($J$2:J292),$J$2:$J$1001,0),0),1)),INDEX($O$2:$O$1001,MATCH(ROWS($J$2:J292),$J$2:$J$1001,0),0)))</f>
        <v xml:space="preserve"> </v>
      </c>
      <c r="B292" s="3" t="str">
        <f ca="1">IF(OR(INDEX($K$2:$K$1001,MATCH(ROWS($J$2:J292),$J$2:$J$1001,0),1)&gt;=100000,INDEX($Q$1005:$U$1005,1,MATCH(COLUMNS($Q$1006:Q1006),$Q$1006:$U$1006,0))&gt;=100000), " ",IF(INDEX($Q$2:$U$1001,MATCH(ROWS($J$2:J292),$J$2:$J$1001,0),MATCH(COLUMNS($Q$1006:Q1006),$Q$1006:$U$1006,0)), HYPERLINK("#",""), HYPERLINK(CONCATENATE("#Metadata!", ADDRESS(INDEX($L$2:$L$1001,MATCH(ROWS($J$2:J292),$J$2:$J$1001,0),0), INDEX($Q$1004:$U$1004,1,MATCH(COLUMNS($Q$1006:Q1006),$Q$1006:$U$1006,0)))),"Fix")))</f>
        <v xml:space="preserve"> </v>
      </c>
      <c r="C292" s="3" t="str">
        <f ca="1">IF(OR(INDEX($K$2:$K$1001,MATCH(ROWS($J$2:J292),$J$2:$J$1001,0),1)&gt;=100000,INDEX($Q$1005:$U$1005,1,MATCH(COLUMNS($Q$1006:R1006),$Q$1006:$U$1006,0))&gt;=100000), " ",IF(INDEX($Q$2:$U$1001,MATCH(ROWS($J$2:J292),$J$2:$J$1001,0),MATCH(COLUMNS($Q$1006:R1006),$Q$1006:$U$1006,0)), HYPERLINK("#",""), HYPERLINK(CONCATENATE("#Metadata!", ADDRESS(INDEX($L$2:$L$1001,MATCH(ROWS($J$2:J292),$J$2:$J$1001,0),0), INDEX($Q$1004:$U$1004,1,MATCH(COLUMNS($Q$1006:R1006),$Q$1006:$U$1006,0)))),"Fix")))</f>
        <v xml:space="preserve"> </v>
      </c>
      <c r="D292" s="3" t="str">
        <f ca="1">IF(OR(INDEX($K$2:$K$1001,MATCH(ROWS($J$2:J292),$J$2:$J$1001,0),1)&gt;=100000,INDEX($Q$1005:$U$1005,1,MATCH(COLUMNS($Q$1006:S1006),$Q$1006:$U$1006,0))&gt;=100000), " ",IF(INDEX($Q$2:$U$1001,MATCH(ROWS($J$2:J292),$J$2:$J$1001,0),MATCH(COLUMNS($Q$1006:S1006),$Q$1006:$U$1006,0)), HYPERLINK("#",""), HYPERLINK(CONCATENATE("#Metadata!", ADDRESS(INDEX($L$2:$L$1001,MATCH(ROWS($J$2:J292),$J$2:$J$1001,0),0), INDEX($Q$1004:$U$1004,1,MATCH(COLUMNS($Q$1006:S1006),$Q$1006:$U$1006,0)))),"Fix")))</f>
        <v xml:space="preserve"> </v>
      </c>
      <c r="E292" s="3" t="str">
        <f ca="1">IF(OR(INDEX($K$2:$K$1001,MATCH(ROWS($J$2:J292),$J$2:$J$1001,0),1)&gt;=100000,INDEX($Q$1005:$U$1005,1,MATCH(COLUMNS($Q$1006:T1006),$Q$1006:$U$1006,0))&gt;=100000), " ",IF(INDEX($Q$2:$U$1001,MATCH(ROWS($J$2:J292),$J$2:$J$1001,0),MATCH(COLUMNS($Q$1006:T1006),$Q$1006:$U$1006,0)), HYPERLINK("#",""), HYPERLINK(CONCATENATE("#Metadata!", ADDRESS(INDEX($L$2:$L$1001,MATCH(ROWS($J$2:J292),$J$2:$J$1001,0),0), INDEX($Q$1004:$U$1004,1,MATCH(COLUMNS($Q$1006:T1006),$Q$1006:$U$1006,0)))),"Fix")))</f>
        <v xml:space="preserve"> </v>
      </c>
      <c r="F292" s="3" t="str">
        <f ca="1">IF(OR(INDEX($K$2:$K$1001,MATCH(ROWS($J$2:J292),$J$2:$J$1001,0),1)&gt;=100000,INDEX($Q$1005:$U$1005,1,MATCH(COLUMNS($Q$1006:U1006),$Q$1006:$U$1006,0))&gt;=100000), " ",IF(INDEX($Q$2:$U$1001,MATCH(ROWS($J$2:J292),$J$2:$J$1001,0),MATCH(COLUMNS($Q$1006:U1006),$Q$1006:$U$1006,0)), HYPERLINK("#",""), HYPERLINK(CONCATENATE("#Metadata!", ADDRESS(INDEX($L$2:$L$1001,MATCH(ROWS($J$2:J292),$J$2:$J$1001,0),0), INDEX($Q$1004:$U$1004,1,MATCH(COLUMNS($Q$1006:U1006),$Q$1006:$U$1006,0)))),"Fix")))</f>
        <v xml:space="preserve"> </v>
      </c>
      <c r="J292">
        <f ca="1"/>
        <v>291</v>
      </c>
      <c r="K292">
        <v>100292</v>
      </c>
      <c r="L292">
        <v>292</v>
      </c>
      <c r="M292" t="b">
        <f t="shared" si="4"/>
        <v>1</v>
      </c>
      <c r="N292" t="b">
        <f>COUNTBLANK(Metadata!B292:F292)=COLUMNS(Metadata!B292:F292)</f>
        <v>1</v>
      </c>
      <c r="O292" t="str">
        <v/>
      </c>
      <c r="Q292" t="b">
        <f ca="1"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R292" t="b">
        <f>IF(Metadata!C292="",FALSE,TRUE)</f>
        <v>0</v>
      </c>
      <c r="S292" t="b">
        <f>OR(AND(IF(Metadata!D292="",FALSE,TRUE),EXACT(Metadata!D292,"missing: not collected")),AND(IF(Metadata!D292="",FALSE,TRUE),OR(EXACT(Metadata!D292,"t"),EXACT(Metadata!D292,"f"))))</f>
        <v>0</v>
      </c>
      <c r="T292" t="b">
        <f>AND(IF(Metadata!E292="",FALSE,TRUE),OR(EXACT(Metadata!E292,"a"),EXACT(Metadata!E292,"b")))</f>
        <v>0</v>
      </c>
      <c r="U292" t="b">
        <f>OR(AND(IF(Metadata!F292="",FALSE,TRUE),OR(EXACT(Metadata!F292,"missing: not collected"),EXACT(Metadata!F292,"missing: not provided"))),AND(IF(Metadata!F292="",FALSE,TRUE),OR(EXACT(Metadata!F292,"lo"),EXACT(Metadata!F292,"med"),EXACT(Metadata!F292,"hi"))))</f>
        <v>0</v>
      </c>
    </row>
    <row r="293" spans="1:21" x14ac:dyDescent="0.2">
      <c r="A293" s="4" t="str">
        <f ca="1">IF(B293=" "," ",HYPERLINK(CONCATENATE("#metadata!",ADDRESS(INDEX($L$2:$L$1001,MATCH(ROWS($J$2:J293),$J$2:$J$1001,0),0),1)),INDEX($O$2:$O$1001,MATCH(ROWS($J$2:J293),$J$2:$J$1001,0),0)))</f>
        <v xml:space="preserve"> </v>
      </c>
      <c r="B293" s="3" t="str">
        <f ca="1">IF(OR(INDEX($K$2:$K$1001,MATCH(ROWS($J$2:J293),$J$2:$J$1001,0),1)&gt;=100000,INDEX($Q$1005:$U$1005,1,MATCH(COLUMNS($Q$1006:Q1006),$Q$1006:$U$1006,0))&gt;=100000), " ",IF(INDEX($Q$2:$U$1001,MATCH(ROWS($J$2:J293),$J$2:$J$1001,0),MATCH(COLUMNS($Q$1006:Q1006),$Q$1006:$U$1006,0)), HYPERLINK("#",""), HYPERLINK(CONCATENATE("#Metadata!", ADDRESS(INDEX($L$2:$L$1001,MATCH(ROWS($J$2:J293),$J$2:$J$1001,0),0), INDEX($Q$1004:$U$1004,1,MATCH(COLUMNS($Q$1006:Q1006),$Q$1006:$U$1006,0)))),"Fix")))</f>
        <v xml:space="preserve"> </v>
      </c>
      <c r="C293" s="3" t="str">
        <f ca="1">IF(OR(INDEX($K$2:$K$1001,MATCH(ROWS($J$2:J293),$J$2:$J$1001,0),1)&gt;=100000,INDEX($Q$1005:$U$1005,1,MATCH(COLUMNS($Q$1006:R1006),$Q$1006:$U$1006,0))&gt;=100000), " ",IF(INDEX($Q$2:$U$1001,MATCH(ROWS($J$2:J293),$J$2:$J$1001,0),MATCH(COLUMNS($Q$1006:R1006),$Q$1006:$U$1006,0)), HYPERLINK("#",""), HYPERLINK(CONCATENATE("#Metadata!", ADDRESS(INDEX($L$2:$L$1001,MATCH(ROWS($J$2:J293),$J$2:$J$1001,0),0), INDEX($Q$1004:$U$1004,1,MATCH(COLUMNS($Q$1006:R1006),$Q$1006:$U$1006,0)))),"Fix")))</f>
        <v xml:space="preserve"> </v>
      </c>
      <c r="D293" s="3" t="str">
        <f ca="1">IF(OR(INDEX($K$2:$K$1001,MATCH(ROWS($J$2:J293),$J$2:$J$1001,0),1)&gt;=100000,INDEX($Q$1005:$U$1005,1,MATCH(COLUMNS($Q$1006:S1006),$Q$1006:$U$1006,0))&gt;=100000), " ",IF(INDEX($Q$2:$U$1001,MATCH(ROWS($J$2:J293),$J$2:$J$1001,0),MATCH(COLUMNS($Q$1006:S1006),$Q$1006:$U$1006,0)), HYPERLINK("#",""), HYPERLINK(CONCATENATE("#Metadata!", ADDRESS(INDEX($L$2:$L$1001,MATCH(ROWS($J$2:J293),$J$2:$J$1001,0),0), INDEX($Q$1004:$U$1004,1,MATCH(COLUMNS($Q$1006:S1006),$Q$1006:$U$1006,0)))),"Fix")))</f>
        <v xml:space="preserve"> </v>
      </c>
      <c r="E293" s="3" t="str">
        <f ca="1">IF(OR(INDEX($K$2:$K$1001,MATCH(ROWS($J$2:J293),$J$2:$J$1001,0),1)&gt;=100000,INDEX($Q$1005:$U$1005,1,MATCH(COLUMNS($Q$1006:T1006),$Q$1006:$U$1006,0))&gt;=100000), " ",IF(INDEX($Q$2:$U$1001,MATCH(ROWS($J$2:J293),$J$2:$J$1001,0),MATCH(COLUMNS($Q$1006:T1006),$Q$1006:$U$1006,0)), HYPERLINK("#",""), HYPERLINK(CONCATENATE("#Metadata!", ADDRESS(INDEX($L$2:$L$1001,MATCH(ROWS($J$2:J293),$J$2:$J$1001,0),0), INDEX($Q$1004:$U$1004,1,MATCH(COLUMNS($Q$1006:T1006),$Q$1006:$U$1006,0)))),"Fix")))</f>
        <v xml:space="preserve"> </v>
      </c>
      <c r="F293" s="3" t="str">
        <f ca="1">IF(OR(INDEX($K$2:$K$1001,MATCH(ROWS($J$2:J293),$J$2:$J$1001,0),1)&gt;=100000,INDEX($Q$1005:$U$1005,1,MATCH(COLUMNS($Q$1006:U1006),$Q$1006:$U$1006,0))&gt;=100000), " ",IF(INDEX($Q$2:$U$1001,MATCH(ROWS($J$2:J293),$J$2:$J$1001,0),MATCH(COLUMNS($Q$1006:U1006),$Q$1006:$U$1006,0)), HYPERLINK("#",""), HYPERLINK(CONCATENATE("#Metadata!", ADDRESS(INDEX($L$2:$L$1001,MATCH(ROWS($J$2:J293),$J$2:$J$1001,0),0), INDEX($Q$1004:$U$1004,1,MATCH(COLUMNS($Q$1006:U1006),$Q$1006:$U$1006,0)))),"Fix")))</f>
        <v xml:space="preserve"> </v>
      </c>
      <c r="J293">
        <f ca="1"/>
        <v>292</v>
      </c>
      <c r="K293">
        <v>100293</v>
      </c>
      <c r="L293">
        <v>293</v>
      </c>
      <c r="M293" t="b">
        <f t="shared" si="4"/>
        <v>1</v>
      </c>
      <c r="N293" t="b">
        <f>COUNTBLANK(Metadata!B293:F293)=COLUMNS(Metadata!B293:F293)</f>
        <v>1</v>
      </c>
      <c r="O293" t="str">
        <v/>
      </c>
      <c r="Q293" t="b">
        <f ca="1"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R293" t="b">
        <f>IF(Metadata!C293="",FALSE,TRUE)</f>
        <v>0</v>
      </c>
      <c r="S293" t="b">
        <f>OR(AND(IF(Metadata!D293="",FALSE,TRUE),EXACT(Metadata!D293,"missing: not collected")),AND(IF(Metadata!D293="",FALSE,TRUE),OR(EXACT(Metadata!D293,"t"),EXACT(Metadata!D293,"f"))))</f>
        <v>0</v>
      </c>
      <c r="T293" t="b">
        <f>AND(IF(Metadata!E293="",FALSE,TRUE),OR(EXACT(Metadata!E293,"a"),EXACT(Metadata!E293,"b")))</f>
        <v>0</v>
      </c>
      <c r="U293" t="b">
        <f>OR(AND(IF(Metadata!F293="",FALSE,TRUE),OR(EXACT(Metadata!F293,"missing: not collected"),EXACT(Metadata!F293,"missing: not provided"))),AND(IF(Metadata!F293="",FALSE,TRUE),OR(EXACT(Metadata!F293,"lo"),EXACT(Metadata!F293,"med"),EXACT(Metadata!F293,"hi"))))</f>
        <v>0</v>
      </c>
    </row>
    <row r="294" spans="1:21" x14ac:dyDescent="0.2">
      <c r="A294" s="4" t="str">
        <f ca="1">IF(B294=" "," ",HYPERLINK(CONCATENATE("#metadata!",ADDRESS(INDEX($L$2:$L$1001,MATCH(ROWS($J$2:J294),$J$2:$J$1001,0),0),1)),INDEX($O$2:$O$1001,MATCH(ROWS($J$2:J294),$J$2:$J$1001,0),0)))</f>
        <v xml:space="preserve"> </v>
      </c>
      <c r="B294" s="3" t="str">
        <f ca="1">IF(OR(INDEX($K$2:$K$1001,MATCH(ROWS($J$2:J294),$J$2:$J$1001,0),1)&gt;=100000,INDEX($Q$1005:$U$1005,1,MATCH(COLUMNS($Q$1006:Q1006),$Q$1006:$U$1006,0))&gt;=100000), " ",IF(INDEX($Q$2:$U$1001,MATCH(ROWS($J$2:J294),$J$2:$J$1001,0),MATCH(COLUMNS($Q$1006:Q1006),$Q$1006:$U$1006,0)), HYPERLINK("#",""), HYPERLINK(CONCATENATE("#Metadata!", ADDRESS(INDEX($L$2:$L$1001,MATCH(ROWS($J$2:J294),$J$2:$J$1001,0),0), INDEX($Q$1004:$U$1004,1,MATCH(COLUMNS($Q$1006:Q1006),$Q$1006:$U$1006,0)))),"Fix")))</f>
        <v xml:space="preserve"> </v>
      </c>
      <c r="C294" s="3" t="str">
        <f ca="1">IF(OR(INDEX($K$2:$K$1001,MATCH(ROWS($J$2:J294),$J$2:$J$1001,0),1)&gt;=100000,INDEX($Q$1005:$U$1005,1,MATCH(COLUMNS($Q$1006:R1006),$Q$1006:$U$1006,0))&gt;=100000), " ",IF(INDEX($Q$2:$U$1001,MATCH(ROWS($J$2:J294),$J$2:$J$1001,0),MATCH(COLUMNS($Q$1006:R1006),$Q$1006:$U$1006,0)), HYPERLINK("#",""), HYPERLINK(CONCATENATE("#Metadata!", ADDRESS(INDEX($L$2:$L$1001,MATCH(ROWS($J$2:J294),$J$2:$J$1001,0),0), INDEX($Q$1004:$U$1004,1,MATCH(COLUMNS($Q$1006:R1006),$Q$1006:$U$1006,0)))),"Fix")))</f>
        <v xml:space="preserve"> </v>
      </c>
      <c r="D294" s="3" t="str">
        <f ca="1">IF(OR(INDEX($K$2:$K$1001,MATCH(ROWS($J$2:J294),$J$2:$J$1001,0),1)&gt;=100000,INDEX($Q$1005:$U$1005,1,MATCH(COLUMNS($Q$1006:S1006),$Q$1006:$U$1006,0))&gt;=100000), " ",IF(INDEX($Q$2:$U$1001,MATCH(ROWS($J$2:J294),$J$2:$J$1001,0),MATCH(COLUMNS($Q$1006:S1006),$Q$1006:$U$1006,0)), HYPERLINK("#",""), HYPERLINK(CONCATENATE("#Metadata!", ADDRESS(INDEX($L$2:$L$1001,MATCH(ROWS($J$2:J294),$J$2:$J$1001,0),0), INDEX($Q$1004:$U$1004,1,MATCH(COLUMNS($Q$1006:S1006),$Q$1006:$U$1006,0)))),"Fix")))</f>
        <v xml:space="preserve"> </v>
      </c>
      <c r="E294" s="3" t="str">
        <f ca="1">IF(OR(INDEX($K$2:$K$1001,MATCH(ROWS($J$2:J294),$J$2:$J$1001,0),1)&gt;=100000,INDEX($Q$1005:$U$1005,1,MATCH(COLUMNS($Q$1006:T1006),$Q$1006:$U$1006,0))&gt;=100000), " ",IF(INDEX($Q$2:$U$1001,MATCH(ROWS($J$2:J294),$J$2:$J$1001,0),MATCH(COLUMNS($Q$1006:T1006),$Q$1006:$U$1006,0)), HYPERLINK("#",""), HYPERLINK(CONCATENATE("#Metadata!", ADDRESS(INDEX($L$2:$L$1001,MATCH(ROWS($J$2:J294),$J$2:$J$1001,0),0), INDEX($Q$1004:$U$1004,1,MATCH(COLUMNS($Q$1006:T1006),$Q$1006:$U$1006,0)))),"Fix")))</f>
        <v xml:space="preserve"> </v>
      </c>
      <c r="F294" s="3" t="str">
        <f ca="1">IF(OR(INDEX($K$2:$K$1001,MATCH(ROWS($J$2:J294),$J$2:$J$1001,0),1)&gt;=100000,INDEX($Q$1005:$U$1005,1,MATCH(COLUMNS($Q$1006:U1006),$Q$1006:$U$1006,0))&gt;=100000), " ",IF(INDEX($Q$2:$U$1001,MATCH(ROWS($J$2:J294),$J$2:$J$1001,0),MATCH(COLUMNS($Q$1006:U1006),$Q$1006:$U$1006,0)), HYPERLINK("#",""), HYPERLINK(CONCATENATE("#Metadata!", ADDRESS(INDEX($L$2:$L$1001,MATCH(ROWS($J$2:J294),$J$2:$J$1001,0),0), INDEX($Q$1004:$U$1004,1,MATCH(COLUMNS($Q$1006:U1006),$Q$1006:$U$1006,0)))),"Fix")))</f>
        <v xml:space="preserve"> </v>
      </c>
      <c r="J294">
        <f ca="1"/>
        <v>293</v>
      </c>
      <c r="K294">
        <v>100294</v>
      </c>
      <c r="L294">
        <v>294</v>
      </c>
      <c r="M294" t="b">
        <f t="shared" si="4"/>
        <v>1</v>
      </c>
      <c r="N294" t="b">
        <f>COUNTBLANK(Metadata!B294:F294)=COLUMNS(Metadata!B294:F294)</f>
        <v>1</v>
      </c>
      <c r="O294" t="str">
        <v/>
      </c>
      <c r="Q294" t="b">
        <f ca="1"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R294" t="b">
        <f>IF(Metadata!C294="",FALSE,TRUE)</f>
        <v>0</v>
      </c>
      <c r="S294" t="b">
        <f>OR(AND(IF(Metadata!D294="",FALSE,TRUE),EXACT(Metadata!D294,"missing: not collected")),AND(IF(Metadata!D294="",FALSE,TRUE),OR(EXACT(Metadata!D294,"t"),EXACT(Metadata!D294,"f"))))</f>
        <v>0</v>
      </c>
      <c r="T294" t="b">
        <f>AND(IF(Metadata!E294="",FALSE,TRUE),OR(EXACT(Metadata!E294,"a"),EXACT(Metadata!E294,"b")))</f>
        <v>0</v>
      </c>
      <c r="U294" t="b">
        <f>OR(AND(IF(Metadata!F294="",FALSE,TRUE),OR(EXACT(Metadata!F294,"missing: not collected"),EXACT(Metadata!F294,"missing: not provided"))),AND(IF(Metadata!F294="",FALSE,TRUE),OR(EXACT(Metadata!F294,"lo"),EXACT(Metadata!F294,"med"),EXACT(Metadata!F294,"hi"))))</f>
        <v>0</v>
      </c>
    </row>
    <row r="295" spans="1:21" x14ac:dyDescent="0.2">
      <c r="A295" s="4" t="str">
        <f ca="1">IF(B295=" "," ",HYPERLINK(CONCATENATE("#metadata!",ADDRESS(INDEX($L$2:$L$1001,MATCH(ROWS($J$2:J295),$J$2:$J$1001,0),0),1)),INDEX($O$2:$O$1001,MATCH(ROWS($J$2:J295),$J$2:$J$1001,0),0)))</f>
        <v xml:space="preserve"> </v>
      </c>
      <c r="B295" s="3" t="str">
        <f ca="1">IF(OR(INDEX($K$2:$K$1001,MATCH(ROWS($J$2:J295),$J$2:$J$1001,0),1)&gt;=100000,INDEX($Q$1005:$U$1005,1,MATCH(COLUMNS($Q$1006:Q1006),$Q$1006:$U$1006,0))&gt;=100000), " ",IF(INDEX($Q$2:$U$1001,MATCH(ROWS($J$2:J295),$J$2:$J$1001,0),MATCH(COLUMNS($Q$1006:Q1006),$Q$1006:$U$1006,0)), HYPERLINK("#",""), HYPERLINK(CONCATENATE("#Metadata!", ADDRESS(INDEX($L$2:$L$1001,MATCH(ROWS($J$2:J295),$J$2:$J$1001,0),0), INDEX($Q$1004:$U$1004,1,MATCH(COLUMNS($Q$1006:Q1006),$Q$1006:$U$1006,0)))),"Fix")))</f>
        <v xml:space="preserve"> </v>
      </c>
      <c r="C295" s="3" t="str">
        <f ca="1">IF(OR(INDEX($K$2:$K$1001,MATCH(ROWS($J$2:J295),$J$2:$J$1001,0),1)&gt;=100000,INDEX($Q$1005:$U$1005,1,MATCH(COLUMNS($Q$1006:R1006),$Q$1006:$U$1006,0))&gt;=100000), " ",IF(INDEX($Q$2:$U$1001,MATCH(ROWS($J$2:J295),$J$2:$J$1001,0),MATCH(COLUMNS($Q$1006:R1006),$Q$1006:$U$1006,0)), HYPERLINK("#",""), HYPERLINK(CONCATENATE("#Metadata!", ADDRESS(INDEX($L$2:$L$1001,MATCH(ROWS($J$2:J295),$J$2:$J$1001,0),0), INDEX($Q$1004:$U$1004,1,MATCH(COLUMNS($Q$1006:R1006),$Q$1006:$U$1006,0)))),"Fix")))</f>
        <v xml:space="preserve"> </v>
      </c>
      <c r="D295" s="3" t="str">
        <f ca="1">IF(OR(INDEX($K$2:$K$1001,MATCH(ROWS($J$2:J295),$J$2:$J$1001,0),1)&gt;=100000,INDEX($Q$1005:$U$1005,1,MATCH(COLUMNS($Q$1006:S1006),$Q$1006:$U$1006,0))&gt;=100000), " ",IF(INDEX($Q$2:$U$1001,MATCH(ROWS($J$2:J295),$J$2:$J$1001,0),MATCH(COLUMNS($Q$1006:S1006),$Q$1006:$U$1006,0)), HYPERLINK("#",""), HYPERLINK(CONCATENATE("#Metadata!", ADDRESS(INDEX($L$2:$L$1001,MATCH(ROWS($J$2:J295),$J$2:$J$1001,0),0), INDEX($Q$1004:$U$1004,1,MATCH(COLUMNS($Q$1006:S1006),$Q$1006:$U$1006,0)))),"Fix")))</f>
        <v xml:space="preserve"> </v>
      </c>
      <c r="E295" s="3" t="str">
        <f ca="1">IF(OR(INDEX($K$2:$K$1001,MATCH(ROWS($J$2:J295),$J$2:$J$1001,0),1)&gt;=100000,INDEX($Q$1005:$U$1005,1,MATCH(COLUMNS($Q$1006:T1006),$Q$1006:$U$1006,0))&gt;=100000), " ",IF(INDEX($Q$2:$U$1001,MATCH(ROWS($J$2:J295),$J$2:$J$1001,0),MATCH(COLUMNS($Q$1006:T1006),$Q$1006:$U$1006,0)), HYPERLINK("#",""), HYPERLINK(CONCATENATE("#Metadata!", ADDRESS(INDEX($L$2:$L$1001,MATCH(ROWS($J$2:J295),$J$2:$J$1001,0),0), INDEX($Q$1004:$U$1004,1,MATCH(COLUMNS($Q$1006:T1006),$Q$1006:$U$1006,0)))),"Fix")))</f>
        <v xml:space="preserve"> </v>
      </c>
      <c r="F295" s="3" t="str">
        <f ca="1">IF(OR(INDEX($K$2:$K$1001,MATCH(ROWS($J$2:J295),$J$2:$J$1001,0),1)&gt;=100000,INDEX($Q$1005:$U$1005,1,MATCH(COLUMNS($Q$1006:U1006),$Q$1006:$U$1006,0))&gt;=100000), " ",IF(INDEX($Q$2:$U$1001,MATCH(ROWS($J$2:J295),$J$2:$J$1001,0),MATCH(COLUMNS($Q$1006:U1006),$Q$1006:$U$1006,0)), HYPERLINK("#",""), HYPERLINK(CONCATENATE("#Metadata!", ADDRESS(INDEX($L$2:$L$1001,MATCH(ROWS($J$2:J295),$J$2:$J$1001,0),0), INDEX($Q$1004:$U$1004,1,MATCH(COLUMNS($Q$1006:U1006),$Q$1006:$U$1006,0)))),"Fix")))</f>
        <v xml:space="preserve"> </v>
      </c>
      <c r="J295">
        <f ca="1"/>
        <v>294</v>
      </c>
      <c r="K295">
        <v>100295</v>
      </c>
      <c r="L295">
        <v>295</v>
      </c>
      <c r="M295" t="b">
        <f t="shared" si="4"/>
        <v>1</v>
      </c>
      <c r="N295" t="b">
        <f>COUNTBLANK(Metadata!B295:F295)=COLUMNS(Metadata!B295:F295)</f>
        <v>1</v>
      </c>
      <c r="O295" t="str">
        <v/>
      </c>
      <c r="Q295" t="b">
        <f ca="1"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R295" t="b">
        <f>IF(Metadata!C295="",FALSE,TRUE)</f>
        <v>0</v>
      </c>
      <c r="S295" t="b">
        <f>OR(AND(IF(Metadata!D295="",FALSE,TRUE),EXACT(Metadata!D295,"missing: not collected")),AND(IF(Metadata!D295="",FALSE,TRUE),OR(EXACT(Metadata!D295,"t"),EXACT(Metadata!D295,"f"))))</f>
        <v>0</v>
      </c>
      <c r="T295" t="b">
        <f>AND(IF(Metadata!E295="",FALSE,TRUE),OR(EXACT(Metadata!E295,"a"),EXACT(Metadata!E295,"b")))</f>
        <v>0</v>
      </c>
      <c r="U295" t="b">
        <f>OR(AND(IF(Metadata!F295="",FALSE,TRUE),OR(EXACT(Metadata!F295,"missing: not collected"),EXACT(Metadata!F295,"missing: not provided"))),AND(IF(Metadata!F295="",FALSE,TRUE),OR(EXACT(Metadata!F295,"lo"),EXACT(Metadata!F295,"med"),EXACT(Metadata!F295,"hi"))))</f>
        <v>0</v>
      </c>
    </row>
    <row r="296" spans="1:21" x14ac:dyDescent="0.2">
      <c r="A296" s="4" t="str">
        <f ca="1">IF(B296=" "," ",HYPERLINK(CONCATENATE("#metadata!",ADDRESS(INDEX($L$2:$L$1001,MATCH(ROWS($J$2:J296),$J$2:$J$1001,0),0),1)),INDEX($O$2:$O$1001,MATCH(ROWS($J$2:J296),$J$2:$J$1001,0),0)))</f>
        <v xml:space="preserve"> </v>
      </c>
      <c r="B296" s="3" t="str">
        <f ca="1">IF(OR(INDEX($K$2:$K$1001,MATCH(ROWS($J$2:J296),$J$2:$J$1001,0),1)&gt;=100000,INDEX($Q$1005:$U$1005,1,MATCH(COLUMNS($Q$1006:Q1006),$Q$1006:$U$1006,0))&gt;=100000), " ",IF(INDEX($Q$2:$U$1001,MATCH(ROWS($J$2:J296),$J$2:$J$1001,0),MATCH(COLUMNS($Q$1006:Q1006),$Q$1006:$U$1006,0)), HYPERLINK("#",""), HYPERLINK(CONCATENATE("#Metadata!", ADDRESS(INDEX($L$2:$L$1001,MATCH(ROWS($J$2:J296),$J$2:$J$1001,0),0), INDEX($Q$1004:$U$1004,1,MATCH(COLUMNS($Q$1006:Q1006),$Q$1006:$U$1006,0)))),"Fix")))</f>
        <v xml:space="preserve"> </v>
      </c>
      <c r="C296" s="3" t="str">
        <f ca="1">IF(OR(INDEX($K$2:$K$1001,MATCH(ROWS($J$2:J296),$J$2:$J$1001,0),1)&gt;=100000,INDEX($Q$1005:$U$1005,1,MATCH(COLUMNS($Q$1006:R1006),$Q$1006:$U$1006,0))&gt;=100000), " ",IF(INDEX($Q$2:$U$1001,MATCH(ROWS($J$2:J296),$J$2:$J$1001,0),MATCH(COLUMNS($Q$1006:R1006),$Q$1006:$U$1006,0)), HYPERLINK("#",""), HYPERLINK(CONCATENATE("#Metadata!", ADDRESS(INDEX($L$2:$L$1001,MATCH(ROWS($J$2:J296),$J$2:$J$1001,0),0), INDEX($Q$1004:$U$1004,1,MATCH(COLUMNS($Q$1006:R1006),$Q$1006:$U$1006,0)))),"Fix")))</f>
        <v xml:space="preserve"> </v>
      </c>
      <c r="D296" s="3" t="str">
        <f ca="1">IF(OR(INDEX($K$2:$K$1001,MATCH(ROWS($J$2:J296),$J$2:$J$1001,0),1)&gt;=100000,INDEX($Q$1005:$U$1005,1,MATCH(COLUMNS($Q$1006:S1006),$Q$1006:$U$1006,0))&gt;=100000), " ",IF(INDEX($Q$2:$U$1001,MATCH(ROWS($J$2:J296),$J$2:$J$1001,0),MATCH(COLUMNS($Q$1006:S1006),$Q$1006:$U$1006,0)), HYPERLINK("#",""), HYPERLINK(CONCATENATE("#Metadata!", ADDRESS(INDEX($L$2:$L$1001,MATCH(ROWS($J$2:J296),$J$2:$J$1001,0),0), INDEX($Q$1004:$U$1004,1,MATCH(COLUMNS($Q$1006:S1006),$Q$1006:$U$1006,0)))),"Fix")))</f>
        <v xml:space="preserve"> </v>
      </c>
      <c r="E296" s="3" t="str">
        <f ca="1">IF(OR(INDEX($K$2:$K$1001,MATCH(ROWS($J$2:J296),$J$2:$J$1001,0),1)&gt;=100000,INDEX($Q$1005:$U$1005,1,MATCH(COLUMNS($Q$1006:T1006),$Q$1006:$U$1006,0))&gt;=100000), " ",IF(INDEX($Q$2:$U$1001,MATCH(ROWS($J$2:J296),$J$2:$J$1001,0),MATCH(COLUMNS($Q$1006:T1006),$Q$1006:$U$1006,0)), HYPERLINK("#",""), HYPERLINK(CONCATENATE("#Metadata!", ADDRESS(INDEX($L$2:$L$1001,MATCH(ROWS($J$2:J296),$J$2:$J$1001,0),0), INDEX($Q$1004:$U$1004,1,MATCH(COLUMNS($Q$1006:T1006),$Q$1006:$U$1006,0)))),"Fix")))</f>
        <v xml:space="preserve"> </v>
      </c>
      <c r="F296" s="3" t="str">
        <f ca="1">IF(OR(INDEX($K$2:$K$1001,MATCH(ROWS($J$2:J296),$J$2:$J$1001,0),1)&gt;=100000,INDEX($Q$1005:$U$1005,1,MATCH(COLUMNS($Q$1006:U1006),$Q$1006:$U$1006,0))&gt;=100000), " ",IF(INDEX($Q$2:$U$1001,MATCH(ROWS($J$2:J296),$J$2:$J$1001,0),MATCH(COLUMNS($Q$1006:U1006),$Q$1006:$U$1006,0)), HYPERLINK("#",""), HYPERLINK(CONCATENATE("#Metadata!", ADDRESS(INDEX($L$2:$L$1001,MATCH(ROWS($J$2:J296),$J$2:$J$1001,0),0), INDEX($Q$1004:$U$1004,1,MATCH(COLUMNS($Q$1006:U1006),$Q$1006:$U$1006,0)))),"Fix")))</f>
        <v xml:space="preserve"> </v>
      </c>
      <c r="J296">
        <f ca="1"/>
        <v>295</v>
      </c>
      <c r="K296">
        <v>100296</v>
      </c>
      <c r="L296">
        <v>296</v>
      </c>
      <c r="M296" t="b">
        <f t="shared" si="4"/>
        <v>1</v>
      </c>
      <c r="N296" t="b">
        <f>COUNTBLANK(Metadata!B296:F296)=COLUMNS(Metadata!B296:F296)</f>
        <v>1</v>
      </c>
      <c r="O296" t="str">
        <v/>
      </c>
      <c r="Q296" t="b">
        <f ca="1"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R296" t="b">
        <f>IF(Metadata!C296="",FALSE,TRUE)</f>
        <v>0</v>
      </c>
      <c r="S296" t="b">
        <f>OR(AND(IF(Metadata!D296="",FALSE,TRUE),EXACT(Metadata!D296,"missing: not collected")),AND(IF(Metadata!D296="",FALSE,TRUE),OR(EXACT(Metadata!D296,"t"),EXACT(Metadata!D296,"f"))))</f>
        <v>0</v>
      </c>
      <c r="T296" t="b">
        <f>AND(IF(Metadata!E296="",FALSE,TRUE),OR(EXACT(Metadata!E296,"a"),EXACT(Metadata!E296,"b")))</f>
        <v>0</v>
      </c>
      <c r="U296" t="b">
        <f>OR(AND(IF(Metadata!F296="",FALSE,TRUE),OR(EXACT(Metadata!F296,"missing: not collected"),EXACT(Metadata!F296,"missing: not provided"))),AND(IF(Metadata!F296="",FALSE,TRUE),OR(EXACT(Metadata!F296,"lo"),EXACT(Metadata!F296,"med"),EXACT(Metadata!F296,"hi"))))</f>
        <v>0</v>
      </c>
    </row>
    <row r="297" spans="1:21" x14ac:dyDescent="0.2">
      <c r="A297" s="4" t="str">
        <f ca="1">IF(B297=" "," ",HYPERLINK(CONCATENATE("#metadata!",ADDRESS(INDEX($L$2:$L$1001,MATCH(ROWS($J$2:J297),$J$2:$J$1001,0),0),1)),INDEX($O$2:$O$1001,MATCH(ROWS($J$2:J297),$J$2:$J$1001,0),0)))</f>
        <v xml:space="preserve"> </v>
      </c>
      <c r="B297" s="3" t="str">
        <f ca="1">IF(OR(INDEX($K$2:$K$1001,MATCH(ROWS($J$2:J297),$J$2:$J$1001,0),1)&gt;=100000,INDEX($Q$1005:$U$1005,1,MATCH(COLUMNS($Q$1006:Q1006),$Q$1006:$U$1006,0))&gt;=100000), " ",IF(INDEX($Q$2:$U$1001,MATCH(ROWS($J$2:J297),$J$2:$J$1001,0),MATCH(COLUMNS($Q$1006:Q1006),$Q$1006:$U$1006,0)), HYPERLINK("#",""), HYPERLINK(CONCATENATE("#Metadata!", ADDRESS(INDEX($L$2:$L$1001,MATCH(ROWS($J$2:J297),$J$2:$J$1001,0),0), INDEX($Q$1004:$U$1004,1,MATCH(COLUMNS($Q$1006:Q1006),$Q$1006:$U$1006,0)))),"Fix")))</f>
        <v xml:space="preserve"> </v>
      </c>
      <c r="C297" s="3" t="str">
        <f ca="1">IF(OR(INDEX($K$2:$K$1001,MATCH(ROWS($J$2:J297),$J$2:$J$1001,0),1)&gt;=100000,INDEX($Q$1005:$U$1005,1,MATCH(COLUMNS($Q$1006:R1006),$Q$1006:$U$1006,0))&gt;=100000), " ",IF(INDEX($Q$2:$U$1001,MATCH(ROWS($J$2:J297),$J$2:$J$1001,0),MATCH(COLUMNS($Q$1006:R1006),$Q$1006:$U$1006,0)), HYPERLINK("#",""), HYPERLINK(CONCATENATE("#Metadata!", ADDRESS(INDEX($L$2:$L$1001,MATCH(ROWS($J$2:J297),$J$2:$J$1001,0),0), INDEX($Q$1004:$U$1004,1,MATCH(COLUMNS($Q$1006:R1006),$Q$1006:$U$1006,0)))),"Fix")))</f>
        <v xml:space="preserve"> </v>
      </c>
      <c r="D297" s="3" t="str">
        <f ca="1">IF(OR(INDEX($K$2:$K$1001,MATCH(ROWS($J$2:J297),$J$2:$J$1001,0),1)&gt;=100000,INDEX($Q$1005:$U$1005,1,MATCH(COLUMNS($Q$1006:S1006),$Q$1006:$U$1006,0))&gt;=100000), " ",IF(INDEX($Q$2:$U$1001,MATCH(ROWS($J$2:J297),$J$2:$J$1001,0),MATCH(COLUMNS($Q$1006:S1006),$Q$1006:$U$1006,0)), HYPERLINK("#",""), HYPERLINK(CONCATENATE("#Metadata!", ADDRESS(INDEX($L$2:$L$1001,MATCH(ROWS($J$2:J297),$J$2:$J$1001,0),0), INDEX($Q$1004:$U$1004,1,MATCH(COLUMNS($Q$1006:S1006),$Q$1006:$U$1006,0)))),"Fix")))</f>
        <v xml:space="preserve"> </v>
      </c>
      <c r="E297" s="3" t="str">
        <f ca="1">IF(OR(INDEX($K$2:$K$1001,MATCH(ROWS($J$2:J297),$J$2:$J$1001,0),1)&gt;=100000,INDEX($Q$1005:$U$1005,1,MATCH(COLUMNS($Q$1006:T1006),$Q$1006:$U$1006,0))&gt;=100000), " ",IF(INDEX($Q$2:$U$1001,MATCH(ROWS($J$2:J297),$J$2:$J$1001,0),MATCH(COLUMNS($Q$1006:T1006),$Q$1006:$U$1006,0)), HYPERLINK("#",""), HYPERLINK(CONCATENATE("#Metadata!", ADDRESS(INDEX($L$2:$L$1001,MATCH(ROWS($J$2:J297),$J$2:$J$1001,0),0), INDEX($Q$1004:$U$1004,1,MATCH(COLUMNS($Q$1006:T1006),$Q$1006:$U$1006,0)))),"Fix")))</f>
        <v xml:space="preserve"> </v>
      </c>
      <c r="F297" s="3" t="str">
        <f ca="1">IF(OR(INDEX($K$2:$K$1001,MATCH(ROWS($J$2:J297),$J$2:$J$1001,0),1)&gt;=100000,INDEX($Q$1005:$U$1005,1,MATCH(COLUMNS($Q$1006:U1006),$Q$1006:$U$1006,0))&gt;=100000), " ",IF(INDEX($Q$2:$U$1001,MATCH(ROWS($J$2:J297),$J$2:$J$1001,0),MATCH(COLUMNS($Q$1006:U1006),$Q$1006:$U$1006,0)), HYPERLINK("#",""), HYPERLINK(CONCATENATE("#Metadata!", ADDRESS(INDEX($L$2:$L$1001,MATCH(ROWS($J$2:J297),$J$2:$J$1001,0),0), INDEX($Q$1004:$U$1004,1,MATCH(COLUMNS($Q$1006:U1006),$Q$1006:$U$1006,0)))),"Fix")))</f>
        <v xml:space="preserve"> </v>
      </c>
      <c r="J297">
        <f ca="1"/>
        <v>296</v>
      </c>
      <c r="K297">
        <v>100297</v>
      </c>
      <c r="L297">
        <v>297</v>
      </c>
      <c r="M297" t="b">
        <f t="shared" si="4"/>
        <v>1</v>
      </c>
      <c r="N297" t="b">
        <f>COUNTBLANK(Metadata!B297:F297)=COLUMNS(Metadata!B297:F297)</f>
        <v>1</v>
      </c>
      <c r="O297" t="str">
        <v/>
      </c>
      <c r="Q297" t="b">
        <f ca="1"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R297" t="b">
        <f>IF(Metadata!C297="",FALSE,TRUE)</f>
        <v>0</v>
      </c>
      <c r="S297" t="b">
        <f>OR(AND(IF(Metadata!D297="",FALSE,TRUE),EXACT(Metadata!D297,"missing: not collected")),AND(IF(Metadata!D297="",FALSE,TRUE),OR(EXACT(Metadata!D297,"t"),EXACT(Metadata!D297,"f"))))</f>
        <v>0</v>
      </c>
      <c r="T297" t="b">
        <f>AND(IF(Metadata!E297="",FALSE,TRUE),OR(EXACT(Metadata!E297,"a"),EXACT(Metadata!E297,"b")))</f>
        <v>0</v>
      </c>
      <c r="U297" t="b">
        <f>OR(AND(IF(Metadata!F297="",FALSE,TRUE),OR(EXACT(Metadata!F297,"missing: not collected"),EXACT(Metadata!F297,"missing: not provided"))),AND(IF(Metadata!F297="",FALSE,TRUE),OR(EXACT(Metadata!F297,"lo"),EXACT(Metadata!F297,"med"),EXACT(Metadata!F297,"hi"))))</f>
        <v>0</v>
      </c>
    </row>
    <row r="298" spans="1:21" x14ac:dyDescent="0.2">
      <c r="A298" s="4" t="str">
        <f ca="1">IF(B298=" "," ",HYPERLINK(CONCATENATE("#metadata!",ADDRESS(INDEX($L$2:$L$1001,MATCH(ROWS($J$2:J298),$J$2:$J$1001,0),0),1)),INDEX($O$2:$O$1001,MATCH(ROWS($J$2:J298),$J$2:$J$1001,0),0)))</f>
        <v xml:space="preserve"> </v>
      </c>
      <c r="B298" s="3" t="str">
        <f ca="1">IF(OR(INDEX($K$2:$K$1001,MATCH(ROWS($J$2:J298),$J$2:$J$1001,0),1)&gt;=100000,INDEX($Q$1005:$U$1005,1,MATCH(COLUMNS($Q$1006:Q1006),$Q$1006:$U$1006,0))&gt;=100000), " ",IF(INDEX($Q$2:$U$1001,MATCH(ROWS($J$2:J298),$J$2:$J$1001,0),MATCH(COLUMNS($Q$1006:Q1006),$Q$1006:$U$1006,0)), HYPERLINK("#",""), HYPERLINK(CONCATENATE("#Metadata!", ADDRESS(INDEX($L$2:$L$1001,MATCH(ROWS($J$2:J298),$J$2:$J$1001,0),0), INDEX($Q$1004:$U$1004,1,MATCH(COLUMNS($Q$1006:Q1006),$Q$1006:$U$1006,0)))),"Fix")))</f>
        <v xml:space="preserve"> </v>
      </c>
      <c r="C298" s="3" t="str">
        <f ca="1">IF(OR(INDEX($K$2:$K$1001,MATCH(ROWS($J$2:J298),$J$2:$J$1001,0),1)&gt;=100000,INDEX($Q$1005:$U$1005,1,MATCH(COLUMNS($Q$1006:R1006),$Q$1006:$U$1006,0))&gt;=100000), " ",IF(INDEX($Q$2:$U$1001,MATCH(ROWS($J$2:J298),$J$2:$J$1001,0),MATCH(COLUMNS($Q$1006:R1006),$Q$1006:$U$1006,0)), HYPERLINK("#",""), HYPERLINK(CONCATENATE("#Metadata!", ADDRESS(INDEX($L$2:$L$1001,MATCH(ROWS($J$2:J298),$J$2:$J$1001,0),0), INDEX($Q$1004:$U$1004,1,MATCH(COLUMNS($Q$1006:R1006),$Q$1006:$U$1006,0)))),"Fix")))</f>
        <v xml:space="preserve"> </v>
      </c>
      <c r="D298" s="3" t="str">
        <f ca="1">IF(OR(INDEX($K$2:$K$1001,MATCH(ROWS($J$2:J298),$J$2:$J$1001,0),1)&gt;=100000,INDEX($Q$1005:$U$1005,1,MATCH(COLUMNS($Q$1006:S1006),$Q$1006:$U$1006,0))&gt;=100000), " ",IF(INDEX($Q$2:$U$1001,MATCH(ROWS($J$2:J298),$J$2:$J$1001,0),MATCH(COLUMNS($Q$1006:S1006),$Q$1006:$U$1006,0)), HYPERLINK("#",""), HYPERLINK(CONCATENATE("#Metadata!", ADDRESS(INDEX($L$2:$L$1001,MATCH(ROWS($J$2:J298),$J$2:$J$1001,0),0), INDEX($Q$1004:$U$1004,1,MATCH(COLUMNS($Q$1006:S1006),$Q$1006:$U$1006,0)))),"Fix")))</f>
        <v xml:space="preserve"> </v>
      </c>
      <c r="E298" s="3" t="str">
        <f ca="1">IF(OR(INDEX($K$2:$K$1001,MATCH(ROWS($J$2:J298),$J$2:$J$1001,0),1)&gt;=100000,INDEX($Q$1005:$U$1005,1,MATCH(COLUMNS($Q$1006:T1006),$Q$1006:$U$1006,0))&gt;=100000), " ",IF(INDEX($Q$2:$U$1001,MATCH(ROWS($J$2:J298),$J$2:$J$1001,0),MATCH(COLUMNS($Q$1006:T1006),$Q$1006:$U$1006,0)), HYPERLINK("#",""), HYPERLINK(CONCATENATE("#Metadata!", ADDRESS(INDEX($L$2:$L$1001,MATCH(ROWS($J$2:J298),$J$2:$J$1001,0),0), INDEX($Q$1004:$U$1004,1,MATCH(COLUMNS($Q$1006:T1006),$Q$1006:$U$1006,0)))),"Fix")))</f>
        <v xml:space="preserve"> </v>
      </c>
      <c r="F298" s="3" t="str">
        <f ca="1">IF(OR(INDEX($K$2:$K$1001,MATCH(ROWS($J$2:J298),$J$2:$J$1001,0),1)&gt;=100000,INDEX($Q$1005:$U$1005,1,MATCH(COLUMNS($Q$1006:U1006),$Q$1006:$U$1006,0))&gt;=100000), " ",IF(INDEX($Q$2:$U$1001,MATCH(ROWS($J$2:J298),$J$2:$J$1001,0),MATCH(COLUMNS($Q$1006:U1006),$Q$1006:$U$1006,0)), HYPERLINK("#",""), HYPERLINK(CONCATENATE("#Metadata!", ADDRESS(INDEX($L$2:$L$1001,MATCH(ROWS($J$2:J298),$J$2:$J$1001,0),0), INDEX($Q$1004:$U$1004,1,MATCH(COLUMNS($Q$1006:U1006),$Q$1006:$U$1006,0)))),"Fix")))</f>
        <v xml:space="preserve"> </v>
      </c>
      <c r="J298">
        <f ca="1"/>
        <v>297</v>
      </c>
      <c r="K298">
        <v>100298</v>
      </c>
      <c r="L298">
        <v>298</v>
      </c>
      <c r="M298" t="b">
        <f t="shared" si="4"/>
        <v>1</v>
      </c>
      <c r="N298" t="b">
        <f>COUNTBLANK(Metadata!B298:F298)=COLUMNS(Metadata!B298:F298)</f>
        <v>1</v>
      </c>
      <c r="O298" t="str">
        <v/>
      </c>
      <c r="Q298" t="b">
        <f ca="1"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R298" t="b">
        <f>IF(Metadata!C298="",FALSE,TRUE)</f>
        <v>0</v>
      </c>
      <c r="S298" t="b">
        <f>OR(AND(IF(Metadata!D298="",FALSE,TRUE),EXACT(Metadata!D298,"missing: not collected")),AND(IF(Metadata!D298="",FALSE,TRUE),OR(EXACT(Metadata!D298,"t"),EXACT(Metadata!D298,"f"))))</f>
        <v>0</v>
      </c>
      <c r="T298" t="b">
        <f>AND(IF(Metadata!E298="",FALSE,TRUE),OR(EXACT(Metadata!E298,"a"),EXACT(Metadata!E298,"b")))</f>
        <v>0</v>
      </c>
      <c r="U298" t="b">
        <f>OR(AND(IF(Metadata!F298="",FALSE,TRUE),OR(EXACT(Metadata!F298,"missing: not collected"),EXACT(Metadata!F298,"missing: not provided"))),AND(IF(Metadata!F298="",FALSE,TRUE),OR(EXACT(Metadata!F298,"lo"),EXACT(Metadata!F298,"med"),EXACT(Metadata!F298,"hi"))))</f>
        <v>0</v>
      </c>
    </row>
    <row r="299" spans="1:21" x14ac:dyDescent="0.2">
      <c r="A299" s="4" t="str">
        <f ca="1">IF(B299=" "," ",HYPERLINK(CONCATENATE("#metadata!",ADDRESS(INDEX($L$2:$L$1001,MATCH(ROWS($J$2:J299),$J$2:$J$1001,0),0),1)),INDEX($O$2:$O$1001,MATCH(ROWS($J$2:J299),$J$2:$J$1001,0),0)))</f>
        <v xml:space="preserve"> </v>
      </c>
      <c r="B299" s="3" t="str">
        <f ca="1">IF(OR(INDEX($K$2:$K$1001,MATCH(ROWS($J$2:J299),$J$2:$J$1001,0),1)&gt;=100000,INDEX($Q$1005:$U$1005,1,MATCH(COLUMNS($Q$1006:Q1006),$Q$1006:$U$1006,0))&gt;=100000), " ",IF(INDEX($Q$2:$U$1001,MATCH(ROWS($J$2:J299),$J$2:$J$1001,0),MATCH(COLUMNS($Q$1006:Q1006),$Q$1006:$U$1006,0)), HYPERLINK("#",""), HYPERLINK(CONCATENATE("#Metadata!", ADDRESS(INDEX($L$2:$L$1001,MATCH(ROWS($J$2:J299),$J$2:$J$1001,0),0), INDEX($Q$1004:$U$1004,1,MATCH(COLUMNS($Q$1006:Q1006),$Q$1006:$U$1006,0)))),"Fix")))</f>
        <v xml:space="preserve"> </v>
      </c>
      <c r="C299" s="3" t="str">
        <f ca="1">IF(OR(INDEX($K$2:$K$1001,MATCH(ROWS($J$2:J299),$J$2:$J$1001,0),1)&gt;=100000,INDEX($Q$1005:$U$1005,1,MATCH(COLUMNS($Q$1006:R1006),$Q$1006:$U$1006,0))&gt;=100000), " ",IF(INDEX($Q$2:$U$1001,MATCH(ROWS($J$2:J299),$J$2:$J$1001,0),MATCH(COLUMNS($Q$1006:R1006),$Q$1006:$U$1006,0)), HYPERLINK("#",""), HYPERLINK(CONCATENATE("#Metadata!", ADDRESS(INDEX($L$2:$L$1001,MATCH(ROWS($J$2:J299),$J$2:$J$1001,0),0), INDEX($Q$1004:$U$1004,1,MATCH(COLUMNS($Q$1006:R1006),$Q$1006:$U$1006,0)))),"Fix")))</f>
        <v xml:space="preserve"> </v>
      </c>
      <c r="D299" s="3" t="str">
        <f ca="1">IF(OR(INDEX($K$2:$K$1001,MATCH(ROWS($J$2:J299),$J$2:$J$1001,0),1)&gt;=100000,INDEX($Q$1005:$U$1005,1,MATCH(COLUMNS($Q$1006:S1006),$Q$1006:$U$1006,0))&gt;=100000), " ",IF(INDEX($Q$2:$U$1001,MATCH(ROWS($J$2:J299),$J$2:$J$1001,0),MATCH(COLUMNS($Q$1006:S1006),$Q$1006:$U$1006,0)), HYPERLINK("#",""), HYPERLINK(CONCATENATE("#Metadata!", ADDRESS(INDEX($L$2:$L$1001,MATCH(ROWS($J$2:J299),$J$2:$J$1001,0),0), INDEX($Q$1004:$U$1004,1,MATCH(COLUMNS($Q$1006:S1006),$Q$1006:$U$1006,0)))),"Fix")))</f>
        <v xml:space="preserve"> </v>
      </c>
      <c r="E299" s="3" t="str">
        <f ca="1">IF(OR(INDEX($K$2:$K$1001,MATCH(ROWS($J$2:J299),$J$2:$J$1001,0),1)&gt;=100000,INDEX($Q$1005:$U$1005,1,MATCH(COLUMNS($Q$1006:T1006),$Q$1006:$U$1006,0))&gt;=100000), " ",IF(INDEX($Q$2:$U$1001,MATCH(ROWS($J$2:J299),$J$2:$J$1001,0),MATCH(COLUMNS($Q$1006:T1006),$Q$1006:$U$1006,0)), HYPERLINK("#",""), HYPERLINK(CONCATENATE("#Metadata!", ADDRESS(INDEX($L$2:$L$1001,MATCH(ROWS($J$2:J299),$J$2:$J$1001,0),0), INDEX($Q$1004:$U$1004,1,MATCH(COLUMNS($Q$1006:T1006),$Q$1006:$U$1006,0)))),"Fix")))</f>
        <v xml:space="preserve"> </v>
      </c>
      <c r="F299" s="3" t="str">
        <f ca="1">IF(OR(INDEX($K$2:$K$1001,MATCH(ROWS($J$2:J299),$J$2:$J$1001,0),1)&gt;=100000,INDEX($Q$1005:$U$1005,1,MATCH(COLUMNS($Q$1006:U1006),$Q$1006:$U$1006,0))&gt;=100000), " ",IF(INDEX($Q$2:$U$1001,MATCH(ROWS($J$2:J299),$J$2:$J$1001,0),MATCH(COLUMNS($Q$1006:U1006),$Q$1006:$U$1006,0)), HYPERLINK("#",""), HYPERLINK(CONCATENATE("#Metadata!", ADDRESS(INDEX($L$2:$L$1001,MATCH(ROWS($J$2:J299),$J$2:$J$1001,0),0), INDEX($Q$1004:$U$1004,1,MATCH(COLUMNS($Q$1006:U1006),$Q$1006:$U$1006,0)))),"Fix")))</f>
        <v xml:space="preserve"> </v>
      </c>
      <c r="J299">
        <f ca="1"/>
        <v>298</v>
      </c>
      <c r="K299">
        <v>100299</v>
      </c>
      <c r="L299">
        <v>299</v>
      </c>
      <c r="M299" t="b">
        <f t="shared" si="4"/>
        <v>1</v>
      </c>
      <c r="N299" t="b">
        <f>COUNTBLANK(Metadata!B299:F299)=COLUMNS(Metadata!B299:F299)</f>
        <v>1</v>
      </c>
      <c r="O299" t="str">
        <v/>
      </c>
      <c r="Q299" t="b">
        <f ca="1"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R299" t="b">
        <f>IF(Metadata!C299="",FALSE,TRUE)</f>
        <v>0</v>
      </c>
      <c r="S299" t="b">
        <f>OR(AND(IF(Metadata!D299="",FALSE,TRUE),EXACT(Metadata!D299,"missing: not collected")),AND(IF(Metadata!D299="",FALSE,TRUE),OR(EXACT(Metadata!D299,"t"),EXACT(Metadata!D299,"f"))))</f>
        <v>0</v>
      </c>
      <c r="T299" t="b">
        <f>AND(IF(Metadata!E299="",FALSE,TRUE),OR(EXACT(Metadata!E299,"a"),EXACT(Metadata!E299,"b")))</f>
        <v>0</v>
      </c>
      <c r="U299" t="b">
        <f>OR(AND(IF(Metadata!F299="",FALSE,TRUE),OR(EXACT(Metadata!F299,"missing: not collected"),EXACT(Metadata!F299,"missing: not provided"))),AND(IF(Metadata!F299="",FALSE,TRUE),OR(EXACT(Metadata!F299,"lo"),EXACT(Metadata!F299,"med"),EXACT(Metadata!F299,"hi"))))</f>
        <v>0</v>
      </c>
    </row>
    <row r="300" spans="1:21" x14ac:dyDescent="0.2">
      <c r="A300" s="4" t="str">
        <f ca="1">IF(B300=" "," ",HYPERLINK(CONCATENATE("#metadata!",ADDRESS(INDEX($L$2:$L$1001,MATCH(ROWS($J$2:J300),$J$2:$J$1001,0),0),1)),INDEX($O$2:$O$1001,MATCH(ROWS($J$2:J300),$J$2:$J$1001,0),0)))</f>
        <v xml:space="preserve"> </v>
      </c>
      <c r="B300" s="3" t="str">
        <f ca="1">IF(OR(INDEX($K$2:$K$1001,MATCH(ROWS($J$2:J300),$J$2:$J$1001,0),1)&gt;=100000,INDEX($Q$1005:$U$1005,1,MATCH(COLUMNS($Q$1006:Q1006),$Q$1006:$U$1006,0))&gt;=100000), " ",IF(INDEX($Q$2:$U$1001,MATCH(ROWS($J$2:J300),$J$2:$J$1001,0),MATCH(COLUMNS($Q$1006:Q1006),$Q$1006:$U$1006,0)), HYPERLINK("#",""), HYPERLINK(CONCATENATE("#Metadata!", ADDRESS(INDEX($L$2:$L$1001,MATCH(ROWS($J$2:J300),$J$2:$J$1001,0),0), INDEX($Q$1004:$U$1004,1,MATCH(COLUMNS($Q$1006:Q1006),$Q$1006:$U$1006,0)))),"Fix")))</f>
        <v xml:space="preserve"> </v>
      </c>
      <c r="C300" s="3" t="str">
        <f ca="1">IF(OR(INDEX($K$2:$K$1001,MATCH(ROWS($J$2:J300),$J$2:$J$1001,0),1)&gt;=100000,INDEX($Q$1005:$U$1005,1,MATCH(COLUMNS($Q$1006:R1006),$Q$1006:$U$1006,0))&gt;=100000), " ",IF(INDEX($Q$2:$U$1001,MATCH(ROWS($J$2:J300),$J$2:$J$1001,0),MATCH(COLUMNS($Q$1006:R1006),$Q$1006:$U$1006,0)), HYPERLINK("#",""), HYPERLINK(CONCATENATE("#Metadata!", ADDRESS(INDEX($L$2:$L$1001,MATCH(ROWS($J$2:J300),$J$2:$J$1001,0),0), INDEX($Q$1004:$U$1004,1,MATCH(COLUMNS($Q$1006:R1006),$Q$1006:$U$1006,0)))),"Fix")))</f>
        <v xml:space="preserve"> </v>
      </c>
      <c r="D300" s="3" t="str">
        <f ca="1">IF(OR(INDEX($K$2:$K$1001,MATCH(ROWS($J$2:J300),$J$2:$J$1001,0),1)&gt;=100000,INDEX($Q$1005:$U$1005,1,MATCH(COLUMNS($Q$1006:S1006),$Q$1006:$U$1006,0))&gt;=100000), " ",IF(INDEX($Q$2:$U$1001,MATCH(ROWS($J$2:J300),$J$2:$J$1001,0),MATCH(COLUMNS($Q$1006:S1006),$Q$1006:$U$1006,0)), HYPERLINK("#",""), HYPERLINK(CONCATENATE("#Metadata!", ADDRESS(INDEX($L$2:$L$1001,MATCH(ROWS($J$2:J300),$J$2:$J$1001,0),0), INDEX($Q$1004:$U$1004,1,MATCH(COLUMNS($Q$1006:S1006),$Q$1006:$U$1006,0)))),"Fix")))</f>
        <v xml:space="preserve"> </v>
      </c>
      <c r="E300" s="3" t="str">
        <f ca="1">IF(OR(INDEX($K$2:$K$1001,MATCH(ROWS($J$2:J300),$J$2:$J$1001,0),1)&gt;=100000,INDEX($Q$1005:$U$1005,1,MATCH(COLUMNS($Q$1006:T1006),$Q$1006:$U$1006,0))&gt;=100000), " ",IF(INDEX($Q$2:$U$1001,MATCH(ROWS($J$2:J300),$J$2:$J$1001,0),MATCH(COLUMNS($Q$1006:T1006),$Q$1006:$U$1006,0)), HYPERLINK("#",""), HYPERLINK(CONCATENATE("#Metadata!", ADDRESS(INDEX($L$2:$L$1001,MATCH(ROWS($J$2:J300),$J$2:$J$1001,0),0), INDEX($Q$1004:$U$1004,1,MATCH(COLUMNS($Q$1006:T1006),$Q$1006:$U$1006,0)))),"Fix")))</f>
        <v xml:space="preserve"> </v>
      </c>
      <c r="F300" s="3" t="str">
        <f ca="1">IF(OR(INDEX($K$2:$K$1001,MATCH(ROWS($J$2:J300),$J$2:$J$1001,0),1)&gt;=100000,INDEX($Q$1005:$U$1005,1,MATCH(COLUMNS($Q$1006:U1006),$Q$1006:$U$1006,0))&gt;=100000), " ",IF(INDEX($Q$2:$U$1001,MATCH(ROWS($J$2:J300),$J$2:$J$1001,0),MATCH(COLUMNS($Q$1006:U1006),$Q$1006:$U$1006,0)), HYPERLINK("#",""), HYPERLINK(CONCATENATE("#Metadata!", ADDRESS(INDEX($L$2:$L$1001,MATCH(ROWS($J$2:J300),$J$2:$J$1001,0),0), INDEX($Q$1004:$U$1004,1,MATCH(COLUMNS($Q$1006:U1006),$Q$1006:$U$1006,0)))),"Fix")))</f>
        <v xml:space="preserve"> </v>
      </c>
      <c r="J300">
        <f ca="1"/>
        <v>299</v>
      </c>
      <c r="K300">
        <v>100300</v>
      </c>
      <c r="L300">
        <v>300</v>
      </c>
      <c r="M300" t="b">
        <f t="shared" si="4"/>
        <v>1</v>
      </c>
      <c r="N300" t="b">
        <f>COUNTBLANK(Metadata!B300:F300)=COLUMNS(Metadata!B300:F300)</f>
        <v>1</v>
      </c>
      <c r="O300" t="str">
        <v/>
      </c>
      <c r="Q300" t="b">
        <f ca="1"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R300" t="b">
        <f>IF(Metadata!C300="",FALSE,TRUE)</f>
        <v>0</v>
      </c>
      <c r="S300" t="b">
        <f>OR(AND(IF(Metadata!D300="",FALSE,TRUE),EXACT(Metadata!D300,"missing: not collected")),AND(IF(Metadata!D300="",FALSE,TRUE),OR(EXACT(Metadata!D300,"t"),EXACT(Metadata!D300,"f"))))</f>
        <v>0</v>
      </c>
      <c r="T300" t="b">
        <f>AND(IF(Metadata!E300="",FALSE,TRUE),OR(EXACT(Metadata!E300,"a"),EXACT(Metadata!E300,"b")))</f>
        <v>0</v>
      </c>
      <c r="U300" t="b">
        <f>OR(AND(IF(Metadata!F300="",FALSE,TRUE),OR(EXACT(Metadata!F300,"missing: not collected"),EXACT(Metadata!F300,"missing: not provided"))),AND(IF(Metadata!F300="",FALSE,TRUE),OR(EXACT(Metadata!F300,"lo"),EXACT(Metadata!F300,"med"),EXACT(Metadata!F300,"hi"))))</f>
        <v>0</v>
      </c>
    </row>
    <row r="301" spans="1:21" x14ac:dyDescent="0.2">
      <c r="A301" s="4" t="str">
        <f ca="1">IF(B301=" "," ",HYPERLINK(CONCATENATE("#metadata!",ADDRESS(INDEX($L$2:$L$1001,MATCH(ROWS($J$2:J301),$J$2:$J$1001,0),0),1)),INDEX($O$2:$O$1001,MATCH(ROWS($J$2:J301),$J$2:$J$1001,0),0)))</f>
        <v xml:space="preserve"> </v>
      </c>
      <c r="B301" s="3" t="str">
        <f ca="1">IF(OR(INDEX($K$2:$K$1001,MATCH(ROWS($J$2:J301),$J$2:$J$1001,0),1)&gt;=100000,INDEX($Q$1005:$U$1005,1,MATCH(COLUMNS($Q$1006:Q1006),$Q$1006:$U$1006,0))&gt;=100000), " ",IF(INDEX($Q$2:$U$1001,MATCH(ROWS($J$2:J301),$J$2:$J$1001,0),MATCH(COLUMNS($Q$1006:Q1006),$Q$1006:$U$1006,0)), HYPERLINK("#",""), HYPERLINK(CONCATENATE("#Metadata!", ADDRESS(INDEX($L$2:$L$1001,MATCH(ROWS($J$2:J301),$J$2:$J$1001,0),0), INDEX($Q$1004:$U$1004,1,MATCH(COLUMNS($Q$1006:Q1006),$Q$1006:$U$1006,0)))),"Fix")))</f>
        <v xml:space="preserve"> </v>
      </c>
      <c r="C301" s="3" t="str">
        <f ca="1">IF(OR(INDEX($K$2:$K$1001,MATCH(ROWS($J$2:J301),$J$2:$J$1001,0),1)&gt;=100000,INDEX($Q$1005:$U$1005,1,MATCH(COLUMNS($Q$1006:R1006),$Q$1006:$U$1006,0))&gt;=100000), " ",IF(INDEX($Q$2:$U$1001,MATCH(ROWS($J$2:J301),$J$2:$J$1001,0),MATCH(COLUMNS($Q$1006:R1006),$Q$1006:$U$1006,0)), HYPERLINK("#",""), HYPERLINK(CONCATENATE("#Metadata!", ADDRESS(INDEX($L$2:$L$1001,MATCH(ROWS($J$2:J301),$J$2:$J$1001,0),0), INDEX($Q$1004:$U$1004,1,MATCH(COLUMNS($Q$1006:R1006),$Q$1006:$U$1006,0)))),"Fix")))</f>
        <v xml:space="preserve"> </v>
      </c>
      <c r="D301" s="3" t="str">
        <f ca="1">IF(OR(INDEX($K$2:$K$1001,MATCH(ROWS($J$2:J301),$J$2:$J$1001,0),1)&gt;=100000,INDEX($Q$1005:$U$1005,1,MATCH(COLUMNS($Q$1006:S1006),$Q$1006:$U$1006,0))&gt;=100000), " ",IF(INDEX($Q$2:$U$1001,MATCH(ROWS($J$2:J301),$J$2:$J$1001,0),MATCH(COLUMNS($Q$1006:S1006),$Q$1006:$U$1006,0)), HYPERLINK("#",""), HYPERLINK(CONCATENATE("#Metadata!", ADDRESS(INDEX($L$2:$L$1001,MATCH(ROWS($J$2:J301),$J$2:$J$1001,0),0), INDEX($Q$1004:$U$1004,1,MATCH(COLUMNS($Q$1006:S1006),$Q$1006:$U$1006,0)))),"Fix")))</f>
        <v xml:space="preserve"> </v>
      </c>
      <c r="E301" s="3" t="str">
        <f ca="1">IF(OR(INDEX($K$2:$K$1001,MATCH(ROWS($J$2:J301),$J$2:$J$1001,0),1)&gt;=100000,INDEX($Q$1005:$U$1005,1,MATCH(COLUMNS($Q$1006:T1006),$Q$1006:$U$1006,0))&gt;=100000), " ",IF(INDEX($Q$2:$U$1001,MATCH(ROWS($J$2:J301),$J$2:$J$1001,0),MATCH(COLUMNS($Q$1006:T1006),$Q$1006:$U$1006,0)), HYPERLINK("#",""), HYPERLINK(CONCATENATE("#Metadata!", ADDRESS(INDEX($L$2:$L$1001,MATCH(ROWS($J$2:J301),$J$2:$J$1001,0),0), INDEX($Q$1004:$U$1004,1,MATCH(COLUMNS($Q$1006:T1006),$Q$1006:$U$1006,0)))),"Fix")))</f>
        <v xml:space="preserve"> </v>
      </c>
      <c r="F301" s="3" t="str">
        <f ca="1">IF(OR(INDEX($K$2:$K$1001,MATCH(ROWS($J$2:J301),$J$2:$J$1001,0),1)&gt;=100000,INDEX($Q$1005:$U$1005,1,MATCH(COLUMNS($Q$1006:U1006),$Q$1006:$U$1006,0))&gt;=100000), " ",IF(INDEX($Q$2:$U$1001,MATCH(ROWS($J$2:J301),$J$2:$J$1001,0),MATCH(COLUMNS($Q$1006:U1006),$Q$1006:$U$1006,0)), HYPERLINK("#",""), HYPERLINK(CONCATENATE("#Metadata!", ADDRESS(INDEX($L$2:$L$1001,MATCH(ROWS($J$2:J301),$J$2:$J$1001,0),0), INDEX($Q$1004:$U$1004,1,MATCH(COLUMNS($Q$1006:U1006),$Q$1006:$U$1006,0)))),"Fix")))</f>
        <v xml:space="preserve"> </v>
      </c>
      <c r="J301">
        <f ca="1"/>
        <v>300</v>
      </c>
      <c r="K301">
        <v>100301</v>
      </c>
      <c r="L301">
        <v>301</v>
      </c>
      <c r="M301" t="b">
        <f t="shared" si="4"/>
        <v>1</v>
      </c>
      <c r="N301" t="b">
        <f>COUNTBLANK(Metadata!B301:F301)=COLUMNS(Metadata!B301:F301)</f>
        <v>1</v>
      </c>
      <c r="O301" t="str">
        <v/>
      </c>
      <c r="Q301" t="b">
        <f ca="1"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R301" t="b">
        <f>IF(Metadata!C301="",FALSE,TRUE)</f>
        <v>0</v>
      </c>
      <c r="S301" t="b">
        <f>OR(AND(IF(Metadata!D301="",FALSE,TRUE),EXACT(Metadata!D301,"missing: not collected")),AND(IF(Metadata!D301="",FALSE,TRUE),OR(EXACT(Metadata!D301,"t"),EXACT(Metadata!D301,"f"))))</f>
        <v>0</v>
      </c>
      <c r="T301" t="b">
        <f>AND(IF(Metadata!E301="",FALSE,TRUE),OR(EXACT(Metadata!E301,"a"),EXACT(Metadata!E301,"b")))</f>
        <v>0</v>
      </c>
      <c r="U301" t="b">
        <f>OR(AND(IF(Metadata!F301="",FALSE,TRUE),OR(EXACT(Metadata!F301,"missing: not collected"),EXACT(Metadata!F301,"missing: not provided"))),AND(IF(Metadata!F301="",FALSE,TRUE),OR(EXACT(Metadata!F301,"lo"),EXACT(Metadata!F301,"med"),EXACT(Metadata!F301,"hi"))))</f>
        <v>0</v>
      </c>
    </row>
    <row r="302" spans="1:21" x14ac:dyDescent="0.2">
      <c r="A302" s="4" t="str">
        <f ca="1">IF(B302=" "," ",HYPERLINK(CONCATENATE("#metadata!",ADDRESS(INDEX($L$2:$L$1001,MATCH(ROWS($J$2:J302),$J$2:$J$1001,0),0),1)),INDEX($O$2:$O$1001,MATCH(ROWS($J$2:J302),$J$2:$J$1001,0),0)))</f>
        <v xml:space="preserve"> </v>
      </c>
      <c r="B302" s="3" t="str">
        <f ca="1">IF(OR(INDEX($K$2:$K$1001,MATCH(ROWS($J$2:J302),$J$2:$J$1001,0),1)&gt;=100000,INDEX($Q$1005:$U$1005,1,MATCH(COLUMNS($Q$1006:Q1006),$Q$1006:$U$1006,0))&gt;=100000), " ",IF(INDEX($Q$2:$U$1001,MATCH(ROWS($J$2:J302),$J$2:$J$1001,0),MATCH(COLUMNS($Q$1006:Q1006),$Q$1006:$U$1006,0)), HYPERLINK("#",""), HYPERLINK(CONCATENATE("#Metadata!", ADDRESS(INDEX($L$2:$L$1001,MATCH(ROWS($J$2:J302),$J$2:$J$1001,0),0), INDEX($Q$1004:$U$1004,1,MATCH(COLUMNS($Q$1006:Q1006),$Q$1006:$U$1006,0)))),"Fix")))</f>
        <v xml:space="preserve"> </v>
      </c>
      <c r="C302" s="3" t="str">
        <f ca="1">IF(OR(INDEX($K$2:$K$1001,MATCH(ROWS($J$2:J302),$J$2:$J$1001,0),1)&gt;=100000,INDEX($Q$1005:$U$1005,1,MATCH(COLUMNS($Q$1006:R1006),$Q$1006:$U$1006,0))&gt;=100000), " ",IF(INDEX($Q$2:$U$1001,MATCH(ROWS($J$2:J302),$J$2:$J$1001,0),MATCH(COLUMNS($Q$1006:R1006),$Q$1006:$U$1006,0)), HYPERLINK("#",""), HYPERLINK(CONCATENATE("#Metadata!", ADDRESS(INDEX($L$2:$L$1001,MATCH(ROWS($J$2:J302),$J$2:$J$1001,0),0), INDEX($Q$1004:$U$1004,1,MATCH(COLUMNS($Q$1006:R1006),$Q$1006:$U$1006,0)))),"Fix")))</f>
        <v xml:space="preserve"> </v>
      </c>
      <c r="D302" s="3" t="str">
        <f ca="1">IF(OR(INDEX($K$2:$K$1001,MATCH(ROWS($J$2:J302),$J$2:$J$1001,0),1)&gt;=100000,INDEX($Q$1005:$U$1005,1,MATCH(COLUMNS($Q$1006:S1006),$Q$1006:$U$1006,0))&gt;=100000), " ",IF(INDEX($Q$2:$U$1001,MATCH(ROWS($J$2:J302),$J$2:$J$1001,0),MATCH(COLUMNS($Q$1006:S1006),$Q$1006:$U$1006,0)), HYPERLINK("#",""), HYPERLINK(CONCATENATE("#Metadata!", ADDRESS(INDEX($L$2:$L$1001,MATCH(ROWS($J$2:J302),$J$2:$J$1001,0),0), INDEX($Q$1004:$U$1004,1,MATCH(COLUMNS($Q$1006:S1006),$Q$1006:$U$1006,0)))),"Fix")))</f>
        <v xml:space="preserve"> </v>
      </c>
      <c r="E302" s="3" t="str">
        <f ca="1">IF(OR(INDEX($K$2:$K$1001,MATCH(ROWS($J$2:J302),$J$2:$J$1001,0),1)&gt;=100000,INDEX($Q$1005:$U$1005,1,MATCH(COLUMNS($Q$1006:T1006),$Q$1006:$U$1006,0))&gt;=100000), " ",IF(INDEX($Q$2:$U$1001,MATCH(ROWS($J$2:J302),$J$2:$J$1001,0),MATCH(COLUMNS($Q$1006:T1006),$Q$1006:$U$1006,0)), HYPERLINK("#",""), HYPERLINK(CONCATENATE("#Metadata!", ADDRESS(INDEX($L$2:$L$1001,MATCH(ROWS($J$2:J302),$J$2:$J$1001,0),0), INDEX($Q$1004:$U$1004,1,MATCH(COLUMNS($Q$1006:T1006),$Q$1006:$U$1006,0)))),"Fix")))</f>
        <v xml:space="preserve"> </v>
      </c>
      <c r="F302" s="3" t="str">
        <f ca="1">IF(OR(INDEX($K$2:$K$1001,MATCH(ROWS($J$2:J302),$J$2:$J$1001,0),1)&gt;=100000,INDEX($Q$1005:$U$1005,1,MATCH(COLUMNS($Q$1006:U1006),$Q$1006:$U$1006,0))&gt;=100000), " ",IF(INDEX($Q$2:$U$1001,MATCH(ROWS($J$2:J302),$J$2:$J$1001,0),MATCH(COLUMNS($Q$1006:U1006),$Q$1006:$U$1006,0)), HYPERLINK("#",""), HYPERLINK(CONCATENATE("#Metadata!", ADDRESS(INDEX($L$2:$L$1001,MATCH(ROWS($J$2:J302),$J$2:$J$1001,0),0), INDEX($Q$1004:$U$1004,1,MATCH(COLUMNS($Q$1006:U1006),$Q$1006:$U$1006,0)))),"Fix")))</f>
        <v xml:space="preserve"> </v>
      </c>
      <c r="J302">
        <f ca="1"/>
        <v>301</v>
      </c>
      <c r="K302">
        <v>100302</v>
      </c>
      <c r="L302">
        <v>302</v>
      </c>
      <c r="M302" t="b">
        <f t="shared" si="4"/>
        <v>1</v>
      </c>
      <c r="N302" t="b">
        <f>COUNTBLANK(Metadata!B302:F302)=COLUMNS(Metadata!B302:F302)</f>
        <v>1</v>
      </c>
      <c r="O302" t="str">
        <v/>
      </c>
      <c r="Q302" t="b">
        <f ca="1"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R302" t="b">
        <f>IF(Metadata!C302="",FALSE,TRUE)</f>
        <v>0</v>
      </c>
      <c r="S302" t="b">
        <f>OR(AND(IF(Metadata!D302="",FALSE,TRUE),EXACT(Metadata!D302,"missing: not collected")),AND(IF(Metadata!D302="",FALSE,TRUE),OR(EXACT(Metadata!D302,"t"),EXACT(Metadata!D302,"f"))))</f>
        <v>0</v>
      </c>
      <c r="T302" t="b">
        <f>AND(IF(Metadata!E302="",FALSE,TRUE),OR(EXACT(Metadata!E302,"a"),EXACT(Metadata!E302,"b")))</f>
        <v>0</v>
      </c>
      <c r="U302" t="b">
        <f>OR(AND(IF(Metadata!F302="",FALSE,TRUE),OR(EXACT(Metadata!F302,"missing: not collected"),EXACT(Metadata!F302,"missing: not provided"))),AND(IF(Metadata!F302="",FALSE,TRUE),OR(EXACT(Metadata!F302,"lo"),EXACT(Metadata!F302,"med"),EXACT(Metadata!F302,"hi"))))</f>
        <v>0</v>
      </c>
    </row>
    <row r="303" spans="1:21" x14ac:dyDescent="0.2">
      <c r="A303" s="4" t="str">
        <f ca="1">IF(B303=" "," ",HYPERLINK(CONCATENATE("#metadata!",ADDRESS(INDEX($L$2:$L$1001,MATCH(ROWS($J$2:J303),$J$2:$J$1001,0),0),1)),INDEX($O$2:$O$1001,MATCH(ROWS($J$2:J303),$J$2:$J$1001,0),0)))</f>
        <v xml:space="preserve"> </v>
      </c>
      <c r="B303" s="3" t="str">
        <f ca="1">IF(OR(INDEX($K$2:$K$1001,MATCH(ROWS($J$2:J303),$J$2:$J$1001,0),1)&gt;=100000,INDEX($Q$1005:$U$1005,1,MATCH(COLUMNS($Q$1006:Q1006),$Q$1006:$U$1006,0))&gt;=100000), " ",IF(INDEX($Q$2:$U$1001,MATCH(ROWS($J$2:J303),$J$2:$J$1001,0),MATCH(COLUMNS($Q$1006:Q1006),$Q$1006:$U$1006,0)), HYPERLINK("#",""), HYPERLINK(CONCATENATE("#Metadata!", ADDRESS(INDEX($L$2:$L$1001,MATCH(ROWS($J$2:J303),$J$2:$J$1001,0),0), INDEX($Q$1004:$U$1004,1,MATCH(COLUMNS($Q$1006:Q1006),$Q$1006:$U$1006,0)))),"Fix")))</f>
        <v xml:space="preserve"> </v>
      </c>
      <c r="C303" s="3" t="str">
        <f ca="1">IF(OR(INDEX($K$2:$K$1001,MATCH(ROWS($J$2:J303),$J$2:$J$1001,0),1)&gt;=100000,INDEX($Q$1005:$U$1005,1,MATCH(COLUMNS($Q$1006:R1006),$Q$1006:$U$1006,0))&gt;=100000), " ",IF(INDEX($Q$2:$U$1001,MATCH(ROWS($J$2:J303),$J$2:$J$1001,0),MATCH(COLUMNS($Q$1006:R1006),$Q$1006:$U$1006,0)), HYPERLINK("#",""), HYPERLINK(CONCATENATE("#Metadata!", ADDRESS(INDEX($L$2:$L$1001,MATCH(ROWS($J$2:J303),$J$2:$J$1001,0),0), INDEX($Q$1004:$U$1004,1,MATCH(COLUMNS($Q$1006:R1006),$Q$1006:$U$1006,0)))),"Fix")))</f>
        <v xml:space="preserve"> </v>
      </c>
      <c r="D303" s="3" t="str">
        <f ca="1">IF(OR(INDEX($K$2:$K$1001,MATCH(ROWS($J$2:J303),$J$2:$J$1001,0),1)&gt;=100000,INDEX($Q$1005:$U$1005,1,MATCH(COLUMNS($Q$1006:S1006),$Q$1006:$U$1006,0))&gt;=100000), " ",IF(INDEX($Q$2:$U$1001,MATCH(ROWS($J$2:J303),$J$2:$J$1001,0),MATCH(COLUMNS($Q$1006:S1006),$Q$1006:$U$1006,0)), HYPERLINK("#",""), HYPERLINK(CONCATENATE("#Metadata!", ADDRESS(INDEX($L$2:$L$1001,MATCH(ROWS($J$2:J303),$J$2:$J$1001,0),0), INDEX($Q$1004:$U$1004,1,MATCH(COLUMNS($Q$1006:S1006),$Q$1006:$U$1006,0)))),"Fix")))</f>
        <v xml:space="preserve"> </v>
      </c>
      <c r="E303" s="3" t="str">
        <f ca="1">IF(OR(INDEX($K$2:$K$1001,MATCH(ROWS($J$2:J303),$J$2:$J$1001,0),1)&gt;=100000,INDEX($Q$1005:$U$1005,1,MATCH(COLUMNS($Q$1006:T1006),$Q$1006:$U$1006,0))&gt;=100000), " ",IF(INDEX($Q$2:$U$1001,MATCH(ROWS($J$2:J303),$J$2:$J$1001,0),MATCH(COLUMNS($Q$1006:T1006),$Q$1006:$U$1006,0)), HYPERLINK("#",""), HYPERLINK(CONCATENATE("#Metadata!", ADDRESS(INDEX($L$2:$L$1001,MATCH(ROWS($J$2:J303),$J$2:$J$1001,0),0), INDEX($Q$1004:$U$1004,1,MATCH(COLUMNS($Q$1006:T1006),$Q$1006:$U$1006,0)))),"Fix")))</f>
        <v xml:space="preserve"> </v>
      </c>
      <c r="F303" s="3" t="str">
        <f ca="1">IF(OR(INDEX($K$2:$K$1001,MATCH(ROWS($J$2:J303),$J$2:$J$1001,0),1)&gt;=100000,INDEX($Q$1005:$U$1005,1,MATCH(COLUMNS($Q$1006:U1006),$Q$1006:$U$1006,0))&gt;=100000), " ",IF(INDEX($Q$2:$U$1001,MATCH(ROWS($J$2:J303),$J$2:$J$1001,0),MATCH(COLUMNS($Q$1006:U1006),$Q$1006:$U$1006,0)), HYPERLINK("#",""), HYPERLINK(CONCATENATE("#Metadata!", ADDRESS(INDEX($L$2:$L$1001,MATCH(ROWS($J$2:J303),$J$2:$J$1001,0),0), INDEX($Q$1004:$U$1004,1,MATCH(COLUMNS($Q$1006:U1006),$Q$1006:$U$1006,0)))),"Fix")))</f>
        <v xml:space="preserve"> </v>
      </c>
      <c r="J303">
        <f ca="1"/>
        <v>302</v>
      </c>
      <c r="K303">
        <v>100303</v>
      </c>
      <c r="L303">
        <v>303</v>
      </c>
      <c r="M303" t="b">
        <f t="shared" si="4"/>
        <v>1</v>
      </c>
      <c r="N303" t="b">
        <f>COUNTBLANK(Metadata!B303:F303)=COLUMNS(Metadata!B303:F303)</f>
        <v>1</v>
      </c>
      <c r="O303" t="str">
        <v/>
      </c>
      <c r="Q303" t="b">
        <f ca="1"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R303" t="b">
        <f>IF(Metadata!C303="",FALSE,TRUE)</f>
        <v>0</v>
      </c>
      <c r="S303" t="b">
        <f>OR(AND(IF(Metadata!D303="",FALSE,TRUE),EXACT(Metadata!D303,"missing: not collected")),AND(IF(Metadata!D303="",FALSE,TRUE),OR(EXACT(Metadata!D303,"t"),EXACT(Metadata!D303,"f"))))</f>
        <v>0</v>
      </c>
      <c r="T303" t="b">
        <f>AND(IF(Metadata!E303="",FALSE,TRUE),OR(EXACT(Metadata!E303,"a"),EXACT(Metadata!E303,"b")))</f>
        <v>0</v>
      </c>
      <c r="U303" t="b">
        <f>OR(AND(IF(Metadata!F303="",FALSE,TRUE),OR(EXACT(Metadata!F303,"missing: not collected"),EXACT(Metadata!F303,"missing: not provided"))),AND(IF(Metadata!F303="",FALSE,TRUE),OR(EXACT(Metadata!F303,"lo"),EXACT(Metadata!F303,"med"),EXACT(Metadata!F303,"hi"))))</f>
        <v>0</v>
      </c>
    </row>
    <row r="304" spans="1:21" x14ac:dyDescent="0.2">
      <c r="A304" s="4" t="str">
        <f ca="1">IF(B304=" "," ",HYPERLINK(CONCATENATE("#metadata!",ADDRESS(INDEX($L$2:$L$1001,MATCH(ROWS($J$2:J304),$J$2:$J$1001,0),0),1)),INDEX($O$2:$O$1001,MATCH(ROWS($J$2:J304),$J$2:$J$1001,0),0)))</f>
        <v xml:space="preserve"> </v>
      </c>
      <c r="B304" s="3" t="str">
        <f ca="1">IF(OR(INDEX($K$2:$K$1001,MATCH(ROWS($J$2:J304),$J$2:$J$1001,0),1)&gt;=100000,INDEX($Q$1005:$U$1005,1,MATCH(COLUMNS($Q$1006:Q1006),$Q$1006:$U$1006,0))&gt;=100000), " ",IF(INDEX($Q$2:$U$1001,MATCH(ROWS($J$2:J304),$J$2:$J$1001,0),MATCH(COLUMNS($Q$1006:Q1006),$Q$1006:$U$1006,0)), HYPERLINK("#",""), HYPERLINK(CONCATENATE("#Metadata!", ADDRESS(INDEX($L$2:$L$1001,MATCH(ROWS($J$2:J304),$J$2:$J$1001,0),0), INDEX($Q$1004:$U$1004,1,MATCH(COLUMNS($Q$1006:Q1006),$Q$1006:$U$1006,0)))),"Fix")))</f>
        <v xml:space="preserve"> </v>
      </c>
      <c r="C304" s="3" t="str">
        <f ca="1">IF(OR(INDEX($K$2:$K$1001,MATCH(ROWS($J$2:J304),$J$2:$J$1001,0),1)&gt;=100000,INDEX($Q$1005:$U$1005,1,MATCH(COLUMNS($Q$1006:R1006),$Q$1006:$U$1006,0))&gt;=100000), " ",IF(INDEX($Q$2:$U$1001,MATCH(ROWS($J$2:J304),$J$2:$J$1001,0),MATCH(COLUMNS($Q$1006:R1006),$Q$1006:$U$1006,0)), HYPERLINK("#",""), HYPERLINK(CONCATENATE("#Metadata!", ADDRESS(INDEX($L$2:$L$1001,MATCH(ROWS($J$2:J304),$J$2:$J$1001,0),0), INDEX($Q$1004:$U$1004,1,MATCH(COLUMNS($Q$1006:R1006),$Q$1006:$U$1006,0)))),"Fix")))</f>
        <v xml:space="preserve"> </v>
      </c>
      <c r="D304" s="3" t="str">
        <f ca="1">IF(OR(INDEX($K$2:$K$1001,MATCH(ROWS($J$2:J304),$J$2:$J$1001,0),1)&gt;=100000,INDEX($Q$1005:$U$1005,1,MATCH(COLUMNS($Q$1006:S1006),$Q$1006:$U$1006,0))&gt;=100000), " ",IF(INDEX($Q$2:$U$1001,MATCH(ROWS($J$2:J304),$J$2:$J$1001,0),MATCH(COLUMNS($Q$1006:S1006),$Q$1006:$U$1006,0)), HYPERLINK("#",""), HYPERLINK(CONCATENATE("#Metadata!", ADDRESS(INDEX($L$2:$L$1001,MATCH(ROWS($J$2:J304),$J$2:$J$1001,0),0), INDEX($Q$1004:$U$1004,1,MATCH(COLUMNS($Q$1006:S1006),$Q$1006:$U$1006,0)))),"Fix")))</f>
        <v xml:space="preserve"> </v>
      </c>
      <c r="E304" s="3" t="str">
        <f ca="1">IF(OR(INDEX($K$2:$K$1001,MATCH(ROWS($J$2:J304),$J$2:$J$1001,0),1)&gt;=100000,INDEX($Q$1005:$U$1005,1,MATCH(COLUMNS($Q$1006:T1006),$Q$1006:$U$1006,0))&gt;=100000), " ",IF(INDEX($Q$2:$U$1001,MATCH(ROWS($J$2:J304),$J$2:$J$1001,0),MATCH(COLUMNS($Q$1006:T1006),$Q$1006:$U$1006,0)), HYPERLINK("#",""), HYPERLINK(CONCATENATE("#Metadata!", ADDRESS(INDEX($L$2:$L$1001,MATCH(ROWS($J$2:J304),$J$2:$J$1001,0),0), INDEX($Q$1004:$U$1004,1,MATCH(COLUMNS($Q$1006:T1006),$Q$1006:$U$1006,0)))),"Fix")))</f>
        <v xml:space="preserve"> </v>
      </c>
      <c r="F304" s="3" t="str">
        <f ca="1">IF(OR(INDEX($K$2:$K$1001,MATCH(ROWS($J$2:J304),$J$2:$J$1001,0),1)&gt;=100000,INDEX($Q$1005:$U$1005,1,MATCH(COLUMNS($Q$1006:U1006),$Q$1006:$U$1006,0))&gt;=100000), " ",IF(INDEX($Q$2:$U$1001,MATCH(ROWS($J$2:J304),$J$2:$J$1001,0),MATCH(COLUMNS($Q$1006:U1006),$Q$1006:$U$1006,0)), HYPERLINK("#",""), HYPERLINK(CONCATENATE("#Metadata!", ADDRESS(INDEX($L$2:$L$1001,MATCH(ROWS($J$2:J304),$J$2:$J$1001,0),0), INDEX($Q$1004:$U$1004,1,MATCH(COLUMNS($Q$1006:U1006),$Q$1006:$U$1006,0)))),"Fix")))</f>
        <v xml:space="preserve"> </v>
      </c>
      <c r="J304">
        <f ca="1"/>
        <v>303</v>
      </c>
      <c r="K304">
        <v>100304</v>
      </c>
      <c r="L304">
        <v>304</v>
      </c>
      <c r="M304" t="b">
        <f t="shared" si="4"/>
        <v>1</v>
      </c>
      <c r="N304" t="b">
        <f>COUNTBLANK(Metadata!B304:F304)=COLUMNS(Metadata!B304:F304)</f>
        <v>1</v>
      </c>
      <c r="O304" t="str">
        <v/>
      </c>
      <c r="Q304" t="b">
        <f ca="1"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R304" t="b">
        <f>IF(Metadata!C304="",FALSE,TRUE)</f>
        <v>0</v>
      </c>
      <c r="S304" t="b">
        <f>OR(AND(IF(Metadata!D304="",FALSE,TRUE),EXACT(Metadata!D304,"missing: not collected")),AND(IF(Metadata!D304="",FALSE,TRUE),OR(EXACT(Metadata!D304,"t"),EXACT(Metadata!D304,"f"))))</f>
        <v>0</v>
      </c>
      <c r="T304" t="b">
        <f>AND(IF(Metadata!E304="",FALSE,TRUE),OR(EXACT(Metadata!E304,"a"),EXACT(Metadata!E304,"b")))</f>
        <v>0</v>
      </c>
      <c r="U304" t="b">
        <f>OR(AND(IF(Metadata!F304="",FALSE,TRUE),OR(EXACT(Metadata!F304,"missing: not collected"),EXACT(Metadata!F304,"missing: not provided"))),AND(IF(Metadata!F304="",FALSE,TRUE),OR(EXACT(Metadata!F304,"lo"),EXACT(Metadata!F304,"med"),EXACT(Metadata!F304,"hi"))))</f>
        <v>0</v>
      </c>
    </row>
    <row r="305" spans="1:21" x14ac:dyDescent="0.2">
      <c r="A305" s="4" t="str">
        <f ca="1">IF(B305=" "," ",HYPERLINK(CONCATENATE("#metadata!",ADDRESS(INDEX($L$2:$L$1001,MATCH(ROWS($J$2:J305),$J$2:$J$1001,0),0),1)),INDEX($O$2:$O$1001,MATCH(ROWS($J$2:J305),$J$2:$J$1001,0),0)))</f>
        <v xml:space="preserve"> </v>
      </c>
      <c r="B305" s="3" t="str">
        <f ca="1">IF(OR(INDEX($K$2:$K$1001,MATCH(ROWS($J$2:J305),$J$2:$J$1001,0),1)&gt;=100000,INDEX($Q$1005:$U$1005,1,MATCH(COLUMNS($Q$1006:Q1006),$Q$1006:$U$1006,0))&gt;=100000), " ",IF(INDEX($Q$2:$U$1001,MATCH(ROWS($J$2:J305),$J$2:$J$1001,0),MATCH(COLUMNS($Q$1006:Q1006),$Q$1006:$U$1006,0)), HYPERLINK("#",""), HYPERLINK(CONCATENATE("#Metadata!", ADDRESS(INDEX($L$2:$L$1001,MATCH(ROWS($J$2:J305),$J$2:$J$1001,0),0), INDEX($Q$1004:$U$1004,1,MATCH(COLUMNS($Q$1006:Q1006),$Q$1006:$U$1006,0)))),"Fix")))</f>
        <v xml:space="preserve"> </v>
      </c>
      <c r="C305" s="3" t="str">
        <f ca="1">IF(OR(INDEX($K$2:$K$1001,MATCH(ROWS($J$2:J305),$J$2:$J$1001,0),1)&gt;=100000,INDEX($Q$1005:$U$1005,1,MATCH(COLUMNS($Q$1006:R1006),$Q$1006:$U$1006,0))&gt;=100000), " ",IF(INDEX($Q$2:$U$1001,MATCH(ROWS($J$2:J305),$J$2:$J$1001,0),MATCH(COLUMNS($Q$1006:R1006),$Q$1006:$U$1006,0)), HYPERLINK("#",""), HYPERLINK(CONCATENATE("#Metadata!", ADDRESS(INDEX($L$2:$L$1001,MATCH(ROWS($J$2:J305),$J$2:$J$1001,0),0), INDEX($Q$1004:$U$1004,1,MATCH(COLUMNS($Q$1006:R1006),$Q$1006:$U$1006,0)))),"Fix")))</f>
        <v xml:space="preserve"> </v>
      </c>
      <c r="D305" s="3" t="str">
        <f ca="1">IF(OR(INDEX($K$2:$K$1001,MATCH(ROWS($J$2:J305),$J$2:$J$1001,0),1)&gt;=100000,INDEX($Q$1005:$U$1005,1,MATCH(COLUMNS($Q$1006:S1006),$Q$1006:$U$1006,0))&gt;=100000), " ",IF(INDEX($Q$2:$U$1001,MATCH(ROWS($J$2:J305),$J$2:$J$1001,0),MATCH(COLUMNS($Q$1006:S1006),$Q$1006:$U$1006,0)), HYPERLINK("#",""), HYPERLINK(CONCATENATE("#Metadata!", ADDRESS(INDEX($L$2:$L$1001,MATCH(ROWS($J$2:J305),$J$2:$J$1001,0),0), INDEX($Q$1004:$U$1004,1,MATCH(COLUMNS($Q$1006:S1006),$Q$1006:$U$1006,0)))),"Fix")))</f>
        <v xml:space="preserve"> </v>
      </c>
      <c r="E305" s="3" t="str">
        <f ca="1">IF(OR(INDEX($K$2:$K$1001,MATCH(ROWS($J$2:J305),$J$2:$J$1001,0),1)&gt;=100000,INDEX($Q$1005:$U$1005,1,MATCH(COLUMNS($Q$1006:T1006),$Q$1006:$U$1006,0))&gt;=100000), " ",IF(INDEX($Q$2:$U$1001,MATCH(ROWS($J$2:J305),$J$2:$J$1001,0),MATCH(COLUMNS($Q$1006:T1006),$Q$1006:$U$1006,0)), HYPERLINK("#",""), HYPERLINK(CONCATENATE("#Metadata!", ADDRESS(INDEX($L$2:$L$1001,MATCH(ROWS($J$2:J305),$J$2:$J$1001,0),0), INDEX($Q$1004:$U$1004,1,MATCH(COLUMNS($Q$1006:T1006),$Q$1006:$U$1006,0)))),"Fix")))</f>
        <v xml:space="preserve"> </v>
      </c>
      <c r="F305" s="3" t="str">
        <f ca="1">IF(OR(INDEX($K$2:$K$1001,MATCH(ROWS($J$2:J305),$J$2:$J$1001,0),1)&gt;=100000,INDEX($Q$1005:$U$1005,1,MATCH(COLUMNS($Q$1006:U1006),$Q$1006:$U$1006,0))&gt;=100000), " ",IF(INDEX($Q$2:$U$1001,MATCH(ROWS($J$2:J305),$J$2:$J$1001,0),MATCH(COLUMNS($Q$1006:U1006),$Q$1006:$U$1006,0)), HYPERLINK("#",""), HYPERLINK(CONCATENATE("#Metadata!", ADDRESS(INDEX($L$2:$L$1001,MATCH(ROWS($J$2:J305),$J$2:$J$1001,0),0), INDEX($Q$1004:$U$1004,1,MATCH(COLUMNS($Q$1006:U1006),$Q$1006:$U$1006,0)))),"Fix")))</f>
        <v xml:space="preserve"> </v>
      </c>
      <c r="J305">
        <f ca="1"/>
        <v>304</v>
      </c>
      <c r="K305">
        <v>100305</v>
      </c>
      <c r="L305">
        <v>305</v>
      </c>
      <c r="M305" t="b">
        <f t="shared" si="4"/>
        <v>1</v>
      </c>
      <c r="N305" t="b">
        <f>COUNTBLANK(Metadata!B305:F305)=COLUMNS(Metadata!B305:F305)</f>
        <v>1</v>
      </c>
      <c r="O305" t="str">
        <v/>
      </c>
      <c r="Q305" t="b">
        <f ca="1"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R305" t="b">
        <f>IF(Metadata!C305="",FALSE,TRUE)</f>
        <v>0</v>
      </c>
      <c r="S305" t="b">
        <f>OR(AND(IF(Metadata!D305="",FALSE,TRUE),EXACT(Metadata!D305,"missing: not collected")),AND(IF(Metadata!D305="",FALSE,TRUE),OR(EXACT(Metadata!D305,"t"),EXACT(Metadata!D305,"f"))))</f>
        <v>0</v>
      </c>
      <c r="T305" t="b">
        <f>AND(IF(Metadata!E305="",FALSE,TRUE),OR(EXACT(Metadata!E305,"a"),EXACT(Metadata!E305,"b")))</f>
        <v>0</v>
      </c>
      <c r="U305" t="b">
        <f>OR(AND(IF(Metadata!F305="",FALSE,TRUE),OR(EXACT(Metadata!F305,"missing: not collected"),EXACT(Metadata!F305,"missing: not provided"))),AND(IF(Metadata!F305="",FALSE,TRUE),OR(EXACT(Metadata!F305,"lo"),EXACT(Metadata!F305,"med"),EXACT(Metadata!F305,"hi"))))</f>
        <v>0</v>
      </c>
    </row>
    <row r="306" spans="1:21" x14ac:dyDescent="0.2">
      <c r="A306" s="4" t="str">
        <f ca="1">IF(B306=" "," ",HYPERLINK(CONCATENATE("#metadata!",ADDRESS(INDEX($L$2:$L$1001,MATCH(ROWS($J$2:J306),$J$2:$J$1001,0),0),1)),INDEX($O$2:$O$1001,MATCH(ROWS($J$2:J306),$J$2:$J$1001,0),0)))</f>
        <v xml:space="preserve"> </v>
      </c>
      <c r="B306" s="3" t="str">
        <f ca="1">IF(OR(INDEX($K$2:$K$1001,MATCH(ROWS($J$2:J306),$J$2:$J$1001,0),1)&gt;=100000,INDEX($Q$1005:$U$1005,1,MATCH(COLUMNS($Q$1006:Q1006),$Q$1006:$U$1006,0))&gt;=100000), " ",IF(INDEX($Q$2:$U$1001,MATCH(ROWS($J$2:J306),$J$2:$J$1001,0),MATCH(COLUMNS($Q$1006:Q1006),$Q$1006:$U$1006,0)), HYPERLINK("#",""), HYPERLINK(CONCATENATE("#Metadata!", ADDRESS(INDEX($L$2:$L$1001,MATCH(ROWS($J$2:J306),$J$2:$J$1001,0),0), INDEX($Q$1004:$U$1004,1,MATCH(COLUMNS($Q$1006:Q1006),$Q$1006:$U$1006,0)))),"Fix")))</f>
        <v xml:space="preserve"> </v>
      </c>
      <c r="C306" s="3" t="str">
        <f ca="1">IF(OR(INDEX($K$2:$K$1001,MATCH(ROWS($J$2:J306),$J$2:$J$1001,0),1)&gt;=100000,INDEX($Q$1005:$U$1005,1,MATCH(COLUMNS($Q$1006:R1006),$Q$1006:$U$1006,0))&gt;=100000), " ",IF(INDEX($Q$2:$U$1001,MATCH(ROWS($J$2:J306),$J$2:$J$1001,0),MATCH(COLUMNS($Q$1006:R1006),$Q$1006:$U$1006,0)), HYPERLINK("#",""), HYPERLINK(CONCATENATE("#Metadata!", ADDRESS(INDEX($L$2:$L$1001,MATCH(ROWS($J$2:J306),$J$2:$J$1001,0),0), INDEX($Q$1004:$U$1004,1,MATCH(COLUMNS($Q$1006:R1006),$Q$1006:$U$1006,0)))),"Fix")))</f>
        <v xml:space="preserve"> </v>
      </c>
      <c r="D306" s="3" t="str">
        <f ca="1">IF(OR(INDEX($K$2:$K$1001,MATCH(ROWS($J$2:J306),$J$2:$J$1001,0),1)&gt;=100000,INDEX($Q$1005:$U$1005,1,MATCH(COLUMNS($Q$1006:S1006),$Q$1006:$U$1006,0))&gt;=100000), " ",IF(INDEX($Q$2:$U$1001,MATCH(ROWS($J$2:J306),$J$2:$J$1001,0),MATCH(COLUMNS($Q$1006:S1006),$Q$1006:$U$1006,0)), HYPERLINK("#",""), HYPERLINK(CONCATENATE("#Metadata!", ADDRESS(INDEX($L$2:$L$1001,MATCH(ROWS($J$2:J306),$J$2:$J$1001,0),0), INDEX($Q$1004:$U$1004,1,MATCH(COLUMNS($Q$1006:S1006),$Q$1006:$U$1006,0)))),"Fix")))</f>
        <v xml:space="preserve"> </v>
      </c>
      <c r="E306" s="3" t="str">
        <f ca="1">IF(OR(INDEX($K$2:$K$1001,MATCH(ROWS($J$2:J306),$J$2:$J$1001,0),1)&gt;=100000,INDEX($Q$1005:$U$1005,1,MATCH(COLUMNS($Q$1006:T1006),$Q$1006:$U$1006,0))&gt;=100000), " ",IF(INDEX($Q$2:$U$1001,MATCH(ROWS($J$2:J306),$J$2:$J$1001,0),MATCH(COLUMNS($Q$1006:T1006),$Q$1006:$U$1006,0)), HYPERLINK("#",""), HYPERLINK(CONCATENATE("#Metadata!", ADDRESS(INDEX($L$2:$L$1001,MATCH(ROWS($J$2:J306),$J$2:$J$1001,0),0), INDEX($Q$1004:$U$1004,1,MATCH(COLUMNS($Q$1006:T1006),$Q$1006:$U$1006,0)))),"Fix")))</f>
        <v xml:space="preserve"> </v>
      </c>
      <c r="F306" s="3" t="str">
        <f ca="1">IF(OR(INDEX($K$2:$K$1001,MATCH(ROWS($J$2:J306),$J$2:$J$1001,0),1)&gt;=100000,INDEX($Q$1005:$U$1005,1,MATCH(COLUMNS($Q$1006:U1006),$Q$1006:$U$1006,0))&gt;=100000), " ",IF(INDEX($Q$2:$U$1001,MATCH(ROWS($J$2:J306),$J$2:$J$1001,0),MATCH(COLUMNS($Q$1006:U1006),$Q$1006:$U$1006,0)), HYPERLINK("#",""), HYPERLINK(CONCATENATE("#Metadata!", ADDRESS(INDEX($L$2:$L$1001,MATCH(ROWS($J$2:J306),$J$2:$J$1001,0),0), INDEX($Q$1004:$U$1004,1,MATCH(COLUMNS($Q$1006:U1006),$Q$1006:$U$1006,0)))),"Fix")))</f>
        <v xml:space="preserve"> </v>
      </c>
      <c r="J306">
        <f ca="1"/>
        <v>305</v>
      </c>
      <c r="K306">
        <v>100306</v>
      </c>
      <c r="L306">
        <v>306</v>
      </c>
      <c r="M306" t="b">
        <f t="shared" si="4"/>
        <v>1</v>
      </c>
      <c r="N306" t="b">
        <f>COUNTBLANK(Metadata!B306:F306)=COLUMNS(Metadata!B306:F306)</f>
        <v>1</v>
      </c>
      <c r="O306" t="str">
        <v/>
      </c>
      <c r="Q306" t="b">
        <f ca="1"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R306" t="b">
        <f>IF(Metadata!C306="",FALSE,TRUE)</f>
        <v>0</v>
      </c>
      <c r="S306" t="b">
        <f>OR(AND(IF(Metadata!D306="",FALSE,TRUE),EXACT(Metadata!D306,"missing: not collected")),AND(IF(Metadata!D306="",FALSE,TRUE),OR(EXACT(Metadata!D306,"t"),EXACT(Metadata!D306,"f"))))</f>
        <v>0</v>
      </c>
      <c r="T306" t="b">
        <f>AND(IF(Metadata!E306="",FALSE,TRUE),OR(EXACT(Metadata!E306,"a"),EXACT(Metadata!E306,"b")))</f>
        <v>0</v>
      </c>
      <c r="U306" t="b">
        <f>OR(AND(IF(Metadata!F306="",FALSE,TRUE),OR(EXACT(Metadata!F306,"missing: not collected"),EXACT(Metadata!F306,"missing: not provided"))),AND(IF(Metadata!F306="",FALSE,TRUE),OR(EXACT(Metadata!F306,"lo"),EXACT(Metadata!F306,"med"),EXACT(Metadata!F306,"hi"))))</f>
        <v>0</v>
      </c>
    </row>
    <row r="307" spans="1:21" x14ac:dyDescent="0.2">
      <c r="A307" s="4" t="str">
        <f ca="1">IF(B307=" "," ",HYPERLINK(CONCATENATE("#metadata!",ADDRESS(INDEX($L$2:$L$1001,MATCH(ROWS($J$2:J307),$J$2:$J$1001,0),0),1)),INDEX($O$2:$O$1001,MATCH(ROWS($J$2:J307),$J$2:$J$1001,0),0)))</f>
        <v xml:space="preserve"> </v>
      </c>
      <c r="B307" s="3" t="str">
        <f ca="1">IF(OR(INDEX($K$2:$K$1001,MATCH(ROWS($J$2:J307),$J$2:$J$1001,0),1)&gt;=100000,INDEX($Q$1005:$U$1005,1,MATCH(COLUMNS($Q$1006:Q1006),$Q$1006:$U$1006,0))&gt;=100000), " ",IF(INDEX($Q$2:$U$1001,MATCH(ROWS($J$2:J307),$J$2:$J$1001,0),MATCH(COLUMNS($Q$1006:Q1006),$Q$1006:$U$1006,0)), HYPERLINK("#",""), HYPERLINK(CONCATENATE("#Metadata!", ADDRESS(INDEX($L$2:$L$1001,MATCH(ROWS($J$2:J307),$J$2:$J$1001,0),0), INDEX($Q$1004:$U$1004,1,MATCH(COLUMNS($Q$1006:Q1006),$Q$1006:$U$1006,0)))),"Fix")))</f>
        <v xml:space="preserve"> </v>
      </c>
      <c r="C307" s="3" t="str">
        <f ca="1">IF(OR(INDEX($K$2:$K$1001,MATCH(ROWS($J$2:J307),$J$2:$J$1001,0),1)&gt;=100000,INDEX($Q$1005:$U$1005,1,MATCH(COLUMNS($Q$1006:R1006),$Q$1006:$U$1006,0))&gt;=100000), " ",IF(INDEX($Q$2:$U$1001,MATCH(ROWS($J$2:J307),$J$2:$J$1001,0),MATCH(COLUMNS($Q$1006:R1006),$Q$1006:$U$1006,0)), HYPERLINK("#",""), HYPERLINK(CONCATENATE("#Metadata!", ADDRESS(INDEX($L$2:$L$1001,MATCH(ROWS($J$2:J307),$J$2:$J$1001,0),0), INDEX($Q$1004:$U$1004,1,MATCH(COLUMNS($Q$1006:R1006),$Q$1006:$U$1006,0)))),"Fix")))</f>
        <v xml:space="preserve"> </v>
      </c>
      <c r="D307" s="3" t="str">
        <f ca="1">IF(OR(INDEX($K$2:$K$1001,MATCH(ROWS($J$2:J307),$J$2:$J$1001,0),1)&gt;=100000,INDEX($Q$1005:$U$1005,1,MATCH(COLUMNS($Q$1006:S1006),$Q$1006:$U$1006,0))&gt;=100000), " ",IF(INDEX($Q$2:$U$1001,MATCH(ROWS($J$2:J307),$J$2:$J$1001,0),MATCH(COLUMNS($Q$1006:S1006),$Q$1006:$U$1006,0)), HYPERLINK("#",""), HYPERLINK(CONCATENATE("#Metadata!", ADDRESS(INDEX($L$2:$L$1001,MATCH(ROWS($J$2:J307),$J$2:$J$1001,0),0), INDEX($Q$1004:$U$1004,1,MATCH(COLUMNS($Q$1006:S1006),$Q$1006:$U$1006,0)))),"Fix")))</f>
        <v xml:space="preserve"> </v>
      </c>
      <c r="E307" s="3" t="str">
        <f ca="1">IF(OR(INDEX($K$2:$K$1001,MATCH(ROWS($J$2:J307),$J$2:$J$1001,0),1)&gt;=100000,INDEX($Q$1005:$U$1005,1,MATCH(COLUMNS($Q$1006:T1006),$Q$1006:$U$1006,0))&gt;=100000), " ",IF(INDEX($Q$2:$U$1001,MATCH(ROWS($J$2:J307),$J$2:$J$1001,0),MATCH(COLUMNS($Q$1006:T1006),$Q$1006:$U$1006,0)), HYPERLINK("#",""), HYPERLINK(CONCATENATE("#Metadata!", ADDRESS(INDEX($L$2:$L$1001,MATCH(ROWS($J$2:J307),$J$2:$J$1001,0),0), INDEX($Q$1004:$U$1004,1,MATCH(COLUMNS($Q$1006:T1006),$Q$1006:$U$1006,0)))),"Fix")))</f>
        <v xml:space="preserve"> </v>
      </c>
      <c r="F307" s="3" t="str">
        <f ca="1">IF(OR(INDEX($K$2:$K$1001,MATCH(ROWS($J$2:J307),$J$2:$J$1001,0),1)&gt;=100000,INDEX($Q$1005:$U$1005,1,MATCH(COLUMNS($Q$1006:U1006),$Q$1006:$U$1006,0))&gt;=100000), " ",IF(INDEX($Q$2:$U$1001,MATCH(ROWS($J$2:J307),$J$2:$J$1001,0),MATCH(COLUMNS($Q$1006:U1006),$Q$1006:$U$1006,0)), HYPERLINK("#",""), HYPERLINK(CONCATENATE("#Metadata!", ADDRESS(INDEX($L$2:$L$1001,MATCH(ROWS($J$2:J307),$J$2:$J$1001,0),0), INDEX($Q$1004:$U$1004,1,MATCH(COLUMNS($Q$1006:U1006),$Q$1006:$U$1006,0)))),"Fix")))</f>
        <v xml:space="preserve"> </v>
      </c>
      <c r="J307">
        <f ca="1"/>
        <v>306</v>
      </c>
      <c r="K307">
        <v>100307</v>
      </c>
      <c r="L307">
        <v>307</v>
      </c>
      <c r="M307" t="b">
        <f t="shared" si="4"/>
        <v>1</v>
      </c>
      <c r="N307" t="b">
        <f>COUNTBLANK(Metadata!B307:F307)=COLUMNS(Metadata!B307:F307)</f>
        <v>1</v>
      </c>
      <c r="O307" t="str">
        <v/>
      </c>
      <c r="Q307" t="b">
        <f ca="1"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R307" t="b">
        <f>IF(Metadata!C307="",FALSE,TRUE)</f>
        <v>0</v>
      </c>
      <c r="S307" t="b">
        <f>OR(AND(IF(Metadata!D307="",FALSE,TRUE),EXACT(Metadata!D307,"missing: not collected")),AND(IF(Metadata!D307="",FALSE,TRUE),OR(EXACT(Metadata!D307,"t"),EXACT(Metadata!D307,"f"))))</f>
        <v>0</v>
      </c>
      <c r="T307" t="b">
        <f>AND(IF(Metadata!E307="",FALSE,TRUE),OR(EXACT(Metadata!E307,"a"),EXACT(Metadata!E307,"b")))</f>
        <v>0</v>
      </c>
      <c r="U307" t="b">
        <f>OR(AND(IF(Metadata!F307="",FALSE,TRUE),OR(EXACT(Metadata!F307,"missing: not collected"),EXACT(Metadata!F307,"missing: not provided"))),AND(IF(Metadata!F307="",FALSE,TRUE),OR(EXACT(Metadata!F307,"lo"),EXACT(Metadata!F307,"med"),EXACT(Metadata!F307,"hi"))))</f>
        <v>0</v>
      </c>
    </row>
    <row r="308" spans="1:21" x14ac:dyDescent="0.2">
      <c r="A308" s="4" t="str">
        <f ca="1">IF(B308=" "," ",HYPERLINK(CONCATENATE("#metadata!",ADDRESS(INDEX($L$2:$L$1001,MATCH(ROWS($J$2:J308),$J$2:$J$1001,0),0),1)),INDEX($O$2:$O$1001,MATCH(ROWS($J$2:J308),$J$2:$J$1001,0),0)))</f>
        <v xml:space="preserve"> </v>
      </c>
      <c r="B308" s="3" t="str">
        <f ca="1">IF(OR(INDEX($K$2:$K$1001,MATCH(ROWS($J$2:J308),$J$2:$J$1001,0),1)&gt;=100000,INDEX($Q$1005:$U$1005,1,MATCH(COLUMNS($Q$1006:Q1006),$Q$1006:$U$1006,0))&gt;=100000), " ",IF(INDEX($Q$2:$U$1001,MATCH(ROWS($J$2:J308),$J$2:$J$1001,0),MATCH(COLUMNS($Q$1006:Q1006),$Q$1006:$U$1006,0)), HYPERLINK("#",""), HYPERLINK(CONCATENATE("#Metadata!", ADDRESS(INDEX($L$2:$L$1001,MATCH(ROWS($J$2:J308),$J$2:$J$1001,0),0), INDEX($Q$1004:$U$1004,1,MATCH(COLUMNS($Q$1006:Q1006),$Q$1006:$U$1006,0)))),"Fix")))</f>
        <v xml:space="preserve"> </v>
      </c>
      <c r="C308" s="3" t="str">
        <f ca="1">IF(OR(INDEX($K$2:$K$1001,MATCH(ROWS($J$2:J308),$J$2:$J$1001,0),1)&gt;=100000,INDEX($Q$1005:$U$1005,1,MATCH(COLUMNS($Q$1006:R1006),$Q$1006:$U$1006,0))&gt;=100000), " ",IF(INDEX($Q$2:$U$1001,MATCH(ROWS($J$2:J308),$J$2:$J$1001,0),MATCH(COLUMNS($Q$1006:R1006),$Q$1006:$U$1006,0)), HYPERLINK("#",""), HYPERLINK(CONCATENATE("#Metadata!", ADDRESS(INDEX($L$2:$L$1001,MATCH(ROWS($J$2:J308),$J$2:$J$1001,0),0), INDEX($Q$1004:$U$1004,1,MATCH(COLUMNS($Q$1006:R1006),$Q$1006:$U$1006,0)))),"Fix")))</f>
        <v xml:space="preserve"> </v>
      </c>
      <c r="D308" s="3" t="str">
        <f ca="1">IF(OR(INDEX($K$2:$K$1001,MATCH(ROWS($J$2:J308),$J$2:$J$1001,0),1)&gt;=100000,INDEX($Q$1005:$U$1005,1,MATCH(COLUMNS($Q$1006:S1006),$Q$1006:$U$1006,0))&gt;=100000), " ",IF(INDEX($Q$2:$U$1001,MATCH(ROWS($J$2:J308),$J$2:$J$1001,0),MATCH(COLUMNS($Q$1006:S1006),$Q$1006:$U$1006,0)), HYPERLINK("#",""), HYPERLINK(CONCATENATE("#Metadata!", ADDRESS(INDEX($L$2:$L$1001,MATCH(ROWS($J$2:J308),$J$2:$J$1001,0),0), INDEX($Q$1004:$U$1004,1,MATCH(COLUMNS($Q$1006:S1006),$Q$1006:$U$1006,0)))),"Fix")))</f>
        <v xml:space="preserve"> </v>
      </c>
      <c r="E308" s="3" t="str">
        <f ca="1">IF(OR(INDEX($K$2:$K$1001,MATCH(ROWS($J$2:J308),$J$2:$J$1001,0),1)&gt;=100000,INDEX($Q$1005:$U$1005,1,MATCH(COLUMNS($Q$1006:T1006),$Q$1006:$U$1006,0))&gt;=100000), " ",IF(INDEX($Q$2:$U$1001,MATCH(ROWS($J$2:J308),$J$2:$J$1001,0),MATCH(COLUMNS($Q$1006:T1006),$Q$1006:$U$1006,0)), HYPERLINK("#",""), HYPERLINK(CONCATENATE("#Metadata!", ADDRESS(INDEX($L$2:$L$1001,MATCH(ROWS($J$2:J308),$J$2:$J$1001,0),0), INDEX($Q$1004:$U$1004,1,MATCH(COLUMNS($Q$1006:T1006),$Q$1006:$U$1006,0)))),"Fix")))</f>
        <v xml:space="preserve"> </v>
      </c>
      <c r="F308" s="3" t="str">
        <f ca="1">IF(OR(INDEX($K$2:$K$1001,MATCH(ROWS($J$2:J308),$J$2:$J$1001,0),1)&gt;=100000,INDEX($Q$1005:$U$1005,1,MATCH(COLUMNS($Q$1006:U1006),$Q$1006:$U$1006,0))&gt;=100000), " ",IF(INDEX($Q$2:$U$1001,MATCH(ROWS($J$2:J308),$J$2:$J$1001,0),MATCH(COLUMNS($Q$1006:U1006),$Q$1006:$U$1006,0)), HYPERLINK("#",""), HYPERLINK(CONCATENATE("#Metadata!", ADDRESS(INDEX($L$2:$L$1001,MATCH(ROWS($J$2:J308),$J$2:$J$1001,0),0), INDEX($Q$1004:$U$1004,1,MATCH(COLUMNS($Q$1006:U1006),$Q$1006:$U$1006,0)))),"Fix")))</f>
        <v xml:space="preserve"> </v>
      </c>
      <c r="J308">
        <f ca="1"/>
        <v>307</v>
      </c>
      <c r="K308">
        <v>100308</v>
      </c>
      <c r="L308">
        <v>308</v>
      </c>
      <c r="M308" t="b">
        <f t="shared" si="4"/>
        <v>1</v>
      </c>
      <c r="N308" t="b">
        <f>COUNTBLANK(Metadata!B308:F308)=COLUMNS(Metadata!B308:F308)</f>
        <v>1</v>
      </c>
      <c r="O308" t="str">
        <v/>
      </c>
      <c r="Q308" t="b">
        <f ca="1"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R308" t="b">
        <f>IF(Metadata!C308="",FALSE,TRUE)</f>
        <v>0</v>
      </c>
      <c r="S308" t="b">
        <f>OR(AND(IF(Metadata!D308="",FALSE,TRUE),EXACT(Metadata!D308,"missing: not collected")),AND(IF(Metadata!D308="",FALSE,TRUE),OR(EXACT(Metadata!D308,"t"),EXACT(Metadata!D308,"f"))))</f>
        <v>0</v>
      </c>
      <c r="T308" t="b">
        <f>AND(IF(Metadata!E308="",FALSE,TRUE),OR(EXACT(Metadata!E308,"a"),EXACT(Metadata!E308,"b")))</f>
        <v>0</v>
      </c>
      <c r="U308" t="b">
        <f>OR(AND(IF(Metadata!F308="",FALSE,TRUE),OR(EXACT(Metadata!F308,"missing: not collected"),EXACT(Metadata!F308,"missing: not provided"))),AND(IF(Metadata!F308="",FALSE,TRUE),OR(EXACT(Metadata!F308,"lo"),EXACT(Metadata!F308,"med"),EXACT(Metadata!F308,"hi"))))</f>
        <v>0</v>
      </c>
    </row>
    <row r="309" spans="1:21" x14ac:dyDescent="0.2">
      <c r="A309" s="4" t="str">
        <f ca="1">IF(B309=" "," ",HYPERLINK(CONCATENATE("#metadata!",ADDRESS(INDEX($L$2:$L$1001,MATCH(ROWS($J$2:J309),$J$2:$J$1001,0),0),1)),INDEX($O$2:$O$1001,MATCH(ROWS($J$2:J309),$J$2:$J$1001,0),0)))</f>
        <v xml:space="preserve"> </v>
      </c>
      <c r="B309" s="3" t="str">
        <f ca="1">IF(OR(INDEX($K$2:$K$1001,MATCH(ROWS($J$2:J309),$J$2:$J$1001,0),1)&gt;=100000,INDEX($Q$1005:$U$1005,1,MATCH(COLUMNS($Q$1006:Q1006),$Q$1006:$U$1006,0))&gt;=100000), " ",IF(INDEX($Q$2:$U$1001,MATCH(ROWS($J$2:J309),$J$2:$J$1001,0),MATCH(COLUMNS($Q$1006:Q1006),$Q$1006:$U$1006,0)), HYPERLINK("#",""), HYPERLINK(CONCATENATE("#Metadata!", ADDRESS(INDEX($L$2:$L$1001,MATCH(ROWS($J$2:J309),$J$2:$J$1001,0),0), INDEX($Q$1004:$U$1004,1,MATCH(COLUMNS($Q$1006:Q1006),$Q$1006:$U$1006,0)))),"Fix")))</f>
        <v xml:space="preserve"> </v>
      </c>
      <c r="C309" s="3" t="str">
        <f ca="1">IF(OR(INDEX($K$2:$K$1001,MATCH(ROWS($J$2:J309),$J$2:$J$1001,0),1)&gt;=100000,INDEX($Q$1005:$U$1005,1,MATCH(COLUMNS($Q$1006:R1006),$Q$1006:$U$1006,0))&gt;=100000), " ",IF(INDEX($Q$2:$U$1001,MATCH(ROWS($J$2:J309),$J$2:$J$1001,0),MATCH(COLUMNS($Q$1006:R1006),$Q$1006:$U$1006,0)), HYPERLINK("#",""), HYPERLINK(CONCATENATE("#Metadata!", ADDRESS(INDEX($L$2:$L$1001,MATCH(ROWS($J$2:J309),$J$2:$J$1001,0),0), INDEX($Q$1004:$U$1004,1,MATCH(COLUMNS($Q$1006:R1006),$Q$1006:$U$1006,0)))),"Fix")))</f>
        <v xml:space="preserve"> </v>
      </c>
      <c r="D309" s="3" t="str">
        <f ca="1">IF(OR(INDEX($K$2:$K$1001,MATCH(ROWS($J$2:J309),$J$2:$J$1001,0),1)&gt;=100000,INDEX($Q$1005:$U$1005,1,MATCH(COLUMNS($Q$1006:S1006),$Q$1006:$U$1006,0))&gt;=100000), " ",IF(INDEX($Q$2:$U$1001,MATCH(ROWS($J$2:J309),$J$2:$J$1001,0),MATCH(COLUMNS($Q$1006:S1006),$Q$1006:$U$1006,0)), HYPERLINK("#",""), HYPERLINK(CONCATENATE("#Metadata!", ADDRESS(INDEX($L$2:$L$1001,MATCH(ROWS($J$2:J309),$J$2:$J$1001,0),0), INDEX($Q$1004:$U$1004,1,MATCH(COLUMNS($Q$1006:S1006),$Q$1006:$U$1006,0)))),"Fix")))</f>
        <v xml:space="preserve"> </v>
      </c>
      <c r="E309" s="3" t="str">
        <f ca="1">IF(OR(INDEX($K$2:$K$1001,MATCH(ROWS($J$2:J309),$J$2:$J$1001,0),1)&gt;=100000,INDEX($Q$1005:$U$1005,1,MATCH(COLUMNS($Q$1006:T1006),$Q$1006:$U$1006,0))&gt;=100000), " ",IF(INDEX($Q$2:$U$1001,MATCH(ROWS($J$2:J309),$J$2:$J$1001,0),MATCH(COLUMNS($Q$1006:T1006),$Q$1006:$U$1006,0)), HYPERLINK("#",""), HYPERLINK(CONCATENATE("#Metadata!", ADDRESS(INDEX($L$2:$L$1001,MATCH(ROWS($J$2:J309),$J$2:$J$1001,0),0), INDEX($Q$1004:$U$1004,1,MATCH(COLUMNS($Q$1006:T1006),$Q$1006:$U$1006,0)))),"Fix")))</f>
        <v xml:space="preserve"> </v>
      </c>
      <c r="F309" s="3" t="str">
        <f ca="1">IF(OR(INDEX($K$2:$K$1001,MATCH(ROWS($J$2:J309),$J$2:$J$1001,0),1)&gt;=100000,INDEX($Q$1005:$U$1005,1,MATCH(COLUMNS($Q$1006:U1006),$Q$1006:$U$1006,0))&gt;=100000), " ",IF(INDEX($Q$2:$U$1001,MATCH(ROWS($J$2:J309),$J$2:$J$1001,0),MATCH(COLUMNS($Q$1006:U1006),$Q$1006:$U$1006,0)), HYPERLINK("#",""), HYPERLINK(CONCATENATE("#Metadata!", ADDRESS(INDEX($L$2:$L$1001,MATCH(ROWS($J$2:J309),$J$2:$J$1001,0),0), INDEX($Q$1004:$U$1004,1,MATCH(COLUMNS($Q$1006:U1006),$Q$1006:$U$1006,0)))),"Fix")))</f>
        <v xml:space="preserve"> </v>
      </c>
      <c r="J309">
        <f ca="1"/>
        <v>308</v>
      </c>
      <c r="K309">
        <v>100309</v>
      </c>
      <c r="L309">
        <v>309</v>
      </c>
      <c r="M309" t="b">
        <f t="shared" si="4"/>
        <v>1</v>
      </c>
      <c r="N309" t="b">
        <f>COUNTBLANK(Metadata!B309:F309)=COLUMNS(Metadata!B309:F309)</f>
        <v>1</v>
      </c>
      <c r="O309" t="str">
        <v/>
      </c>
      <c r="Q309" t="b">
        <f ca="1"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R309" t="b">
        <f>IF(Metadata!C309="",FALSE,TRUE)</f>
        <v>0</v>
      </c>
      <c r="S309" t="b">
        <f>OR(AND(IF(Metadata!D309="",FALSE,TRUE),EXACT(Metadata!D309,"missing: not collected")),AND(IF(Metadata!D309="",FALSE,TRUE),OR(EXACT(Metadata!D309,"t"),EXACT(Metadata!D309,"f"))))</f>
        <v>0</v>
      </c>
      <c r="T309" t="b">
        <f>AND(IF(Metadata!E309="",FALSE,TRUE),OR(EXACT(Metadata!E309,"a"),EXACT(Metadata!E309,"b")))</f>
        <v>0</v>
      </c>
      <c r="U309" t="b">
        <f>OR(AND(IF(Metadata!F309="",FALSE,TRUE),OR(EXACT(Metadata!F309,"missing: not collected"),EXACT(Metadata!F309,"missing: not provided"))),AND(IF(Metadata!F309="",FALSE,TRUE),OR(EXACT(Metadata!F309,"lo"),EXACT(Metadata!F309,"med"),EXACT(Metadata!F309,"hi"))))</f>
        <v>0</v>
      </c>
    </row>
    <row r="310" spans="1:21" x14ac:dyDescent="0.2">
      <c r="A310" s="4" t="str">
        <f ca="1">IF(B310=" "," ",HYPERLINK(CONCATENATE("#metadata!",ADDRESS(INDEX($L$2:$L$1001,MATCH(ROWS($J$2:J310),$J$2:$J$1001,0),0),1)),INDEX($O$2:$O$1001,MATCH(ROWS($J$2:J310),$J$2:$J$1001,0),0)))</f>
        <v xml:space="preserve"> </v>
      </c>
      <c r="B310" s="3" t="str">
        <f ca="1">IF(OR(INDEX($K$2:$K$1001,MATCH(ROWS($J$2:J310),$J$2:$J$1001,0),1)&gt;=100000,INDEX($Q$1005:$U$1005,1,MATCH(COLUMNS($Q$1006:Q1006),$Q$1006:$U$1006,0))&gt;=100000), " ",IF(INDEX($Q$2:$U$1001,MATCH(ROWS($J$2:J310),$J$2:$J$1001,0),MATCH(COLUMNS($Q$1006:Q1006),$Q$1006:$U$1006,0)), HYPERLINK("#",""), HYPERLINK(CONCATENATE("#Metadata!", ADDRESS(INDEX($L$2:$L$1001,MATCH(ROWS($J$2:J310),$J$2:$J$1001,0),0), INDEX($Q$1004:$U$1004,1,MATCH(COLUMNS($Q$1006:Q1006),$Q$1006:$U$1006,0)))),"Fix")))</f>
        <v xml:space="preserve"> </v>
      </c>
      <c r="C310" s="3" t="str">
        <f ca="1">IF(OR(INDEX($K$2:$K$1001,MATCH(ROWS($J$2:J310),$J$2:$J$1001,0),1)&gt;=100000,INDEX($Q$1005:$U$1005,1,MATCH(COLUMNS($Q$1006:R1006),$Q$1006:$U$1006,0))&gt;=100000), " ",IF(INDEX($Q$2:$U$1001,MATCH(ROWS($J$2:J310),$J$2:$J$1001,0),MATCH(COLUMNS($Q$1006:R1006),$Q$1006:$U$1006,0)), HYPERLINK("#",""), HYPERLINK(CONCATENATE("#Metadata!", ADDRESS(INDEX($L$2:$L$1001,MATCH(ROWS($J$2:J310),$J$2:$J$1001,0),0), INDEX($Q$1004:$U$1004,1,MATCH(COLUMNS($Q$1006:R1006),$Q$1006:$U$1006,0)))),"Fix")))</f>
        <v xml:space="preserve"> </v>
      </c>
      <c r="D310" s="3" t="str">
        <f ca="1">IF(OR(INDEX($K$2:$K$1001,MATCH(ROWS($J$2:J310),$J$2:$J$1001,0),1)&gt;=100000,INDEX($Q$1005:$U$1005,1,MATCH(COLUMNS($Q$1006:S1006),$Q$1006:$U$1006,0))&gt;=100000), " ",IF(INDEX($Q$2:$U$1001,MATCH(ROWS($J$2:J310),$J$2:$J$1001,0),MATCH(COLUMNS($Q$1006:S1006),$Q$1006:$U$1006,0)), HYPERLINK("#",""), HYPERLINK(CONCATENATE("#Metadata!", ADDRESS(INDEX($L$2:$L$1001,MATCH(ROWS($J$2:J310),$J$2:$J$1001,0),0), INDEX($Q$1004:$U$1004,1,MATCH(COLUMNS($Q$1006:S1006),$Q$1006:$U$1006,0)))),"Fix")))</f>
        <v xml:space="preserve"> </v>
      </c>
      <c r="E310" s="3" t="str">
        <f ca="1">IF(OR(INDEX($K$2:$K$1001,MATCH(ROWS($J$2:J310),$J$2:$J$1001,0),1)&gt;=100000,INDEX($Q$1005:$U$1005,1,MATCH(COLUMNS($Q$1006:T1006),$Q$1006:$U$1006,0))&gt;=100000), " ",IF(INDEX($Q$2:$U$1001,MATCH(ROWS($J$2:J310),$J$2:$J$1001,0),MATCH(COLUMNS($Q$1006:T1006),$Q$1006:$U$1006,0)), HYPERLINK("#",""), HYPERLINK(CONCATENATE("#Metadata!", ADDRESS(INDEX($L$2:$L$1001,MATCH(ROWS($J$2:J310),$J$2:$J$1001,0),0), INDEX($Q$1004:$U$1004,1,MATCH(COLUMNS($Q$1006:T1006),$Q$1006:$U$1006,0)))),"Fix")))</f>
        <v xml:space="preserve"> </v>
      </c>
      <c r="F310" s="3" t="str">
        <f ca="1">IF(OR(INDEX($K$2:$K$1001,MATCH(ROWS($J$2:J310),$J$2:$J$1001,0),1)&gt;=100000,INDEX($Q$1005:$U$1005,1,MATCH(COLUMNS($Q$1006:U1006),$Q$1006:$U$1006,0))&gt;=100000), " ",IF(INDEX($Q$2:$U$1001,MATCH(ROWS($J$2:J310),$J$2:$J$1001,0),MATCH(COLUMNS($Q$1006:U1006),$Q$1006:$U$1006,0)), HYPERLINK("#",""), HYPERLINK(CONCATENATE("#Metadata!", ADDRESS(INDEX($L$2:$L$1001,MATCH(ROWS($J$2:J310),$J$2:$J$1001,0),0), INDEX($Q$1004:$U$1004,1,MATCH(COLUMNS($Q$1006:U1006),$Q$1006:$U$1006,0)))),"Fix")))</f>
        <v xml:space="preserve"> </v>
      </c>
      <c r="J310">
        <f ca="1"/>
        <v>309</v>
      </c>
      <c r="K310">
        <v>100310</v>
      </c>
      <c r="L310">
        <v>310</v>
      </c>
      <c r="M310" t="b">
        <f t="shared" si="4"/>
        <v>1</v>
      </c>
      <c r="N310" t="b">
        <f>COUNTBLANK(Metadata!B310:F310)=COLUMNS(Metadata!B310:F310)</f>
        <v>1</v>
      </c>
      <c r="O310" t="str">
        <v/>
      </c>
      <c r="Q310" t="b">
        <f ca="1"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R310" t="b">
        <f>IF(Metadata!C310="",FALSE,TRUE)</f>
        <v>0</v>
      </c>
      <c r="S310" t="b">
        <f>OR(AND(IF(Metadata!D310="",FALSE,TRUE),EXACT(Metadata!D310,"missing: not collected")),AND(IF(Metadata!D310="",FALSE,TRUE),OR(EXACT(Metadata!D310,"t"),EXACT(Metadata!D310,"f"))))</f>
        <v>0</v>
      </c>
      <c r="T310" t="b">
        <f>AND(IF(Metadata!E310="",FALSE,TRUE),OR(EXACT(Metadata!E310,"a"),EXACT(Metadata!E310,"b")))</f>
        <v>0</v>
      </c>
      <c r="U310" t="b">
        <f>OR(AND(IF(Metadata!F310="",FALSE,TRUE),OR(EXACT(Metadata!F310,"missing: not collected"),EXACT(Metadata!F310,"missing: not provided"))),AND(IF(Metadata!F310="",FALSE,TRUE),OR(EXACT(Metadata!F310,"lo"),EXACT(Metadata!F310,"med"),EXACT(Metadata!F310,"hi"))))</f>
        <v>0</v>
      </c>
    </row>
    <row r="311" spans="1:21" x14ac:dyDescent="0.2">
      <c r="A311" s="4" t="str">
        <f ca="1">IF(B311=" "," ",HYPERLINK(CONCATENATE("#metadata!",ADDRESS(INDEX($L$2:$L$1001,MATCH(ROWS($J$2:J311),$J$2:$J$1001,0),0),1)),INDEX($O$2:$O$1001,MATCH(ROWS($J$2:J311),$J$2:$J$1001,0),0)))</f>
        <v xml:space="preserve"> </v>
      </c>
      <c r="B311" s="3" t="str">
        <f ca="1">IF(OR(INDEX($K$2:$K$1001,MATCH(ROWS($J$2:J311),$J$2:$J$1001,0),1)&gt;=100000,INDEX($Q$1005:$U$1005,1,MATCH(COLUMNS($Q$1006:Q1006),$Q$1006:$U$1006,0))&gt;=100000), " ",IF(INDEX($Q$2:$U$1001,MATCH(ROWS($J$2:J311),$J$2:$J$1001,0),MATCH(COLUMNS($Q$1006:Q1006),$Q$1006:$U$1006,0)), HYPERLINK("#",""), HYPERLINK(CONCATENATE("#Metadata!", ADDRESS(INDEX($L$2:$L$1001,MATCH(ROWS($J$2:J311),$J$2:$J$1001,0),0), INDEX($Q$1004:$U$1004,1,MATCH(COLUMNS($Q$1006:Q1006),$Q$1006:$U$1006,0)))),"Fix")))</f>
        <v xml:space="preserve"> </v>
      </c>
      <c r="C311" s="3" t="str">
        <f ca="1">IF(OR(INDEX($K$2:$K$1001,MATCH(ROWS($J$2:J311),$J$2:$J$1001,0),1)&gt;=100000,INDEX($Q$1005:$U$1005,1,MATCH(COLUMNS($Q$1006:R1006),$Q$1006:$U$1006,0))&gt;=100000), " ",IF(INDEX($Q$2:$U$1001,MATCH(ROWS($J$2:J311),$J$2:$J$1001,0),MATCH(COLUMNS($Q$1006:R1006),$Q$1006:$U$1006,0)), HYPERLINK("#",""), HYPERLINK(CONCATENATE("#Metadata!", ADDRESS(INDEX($L$2:$L$1001,MATCH(ROWS($J$2:J311),$J$2:$J$1001,0),0), INDEX($Q$1004:$U$1004,1,MATCH(COLUMNS($Q$1006:R1006),$Q$1006:$U$1006,0)))),"Fix")))</f>
        <v xml:space="preserve"> </v>
      </c>
      <c r="D311" s="3" t="str">
        <f ca="1">IF(OR(INDEX($K$2:$K$1001,MATCH(ROWS($J$2:J311),$J$2:$J$1001,0),1)&gt;=100000,INDEX($Q$1005:$U$1005,1,MATCH(COLUMNS($Q$1006:S1006),$Q$1006:$U$1006,0))&gt;=100000), " ",IF(INDEX($Q$2:$U$1001,MATCH(ROWS($J$2:J311),$J$2:$J$1001,0),MATCH(COLUMNS($Q$1006:S1006),$Q$1006:$U$1006,0)), HYPERLINK("#",""), HYPERLINK(CONCATENATE("#Metadata!", ADDRESS(INDEX($L$2:$L$1001,MATCH(ROWS($J$2:J311),$J$2:$J$1001,0),0), INDEX($Q$1004:$U$1004,1,MATCH(COLUMNS($Q$1006:S1006),$Q$1006:$U$1006,0)))),"Fix")))</f>
        <v xml:space="preserve"> </v>
      </c>
      <c r="E311" s="3" t="str">
        <f ca="1">IF(OR(INDEX($K$2:$K$1001,MATCH(ROWS($J$2:J311),$J$2:$J$1001,0),1)&gt;=100000,INDEX($Q$1005:$U$1005,1,MATCH(COLUMNS($Q$1006:T1006),$Q$1006:$U$1006,0))&gt;=100000), " ",IF(INDEX($Q$2:$U$1001,MATCH(ROWS($J$2:J311),$J$2:$J$1001,0),MATCH(COLUMNS($Q$1006:T1006),$Q$1006:$U$1006,0)), HYPERLINK("#",""), HYPERLINK(CONCATENATE("#Metadata!", ADDRESS(INDEX($L$2:$L$1001,MATCH(ROWS($J$2:J311),$J$2:$J$1001,0),0), INDEX($Q$1004:$U$1004,1,MATCH(COLUMNS($Q$1006:T1006),$Q$1006:$U$1006,0)))),"Fix")))</f>
        <v xml:space="preserve"> </v>
      </c>
      <c r="F311" s="3" t="str">
        <f ca="1">IF(OR(INDEX($K$2:$K$1001,MATCH(ROWS($J$2:J311),$J$2:$J$1001,0),1)&gt;=100000,INDEX($Q$1005:$U$1005,1,MATCH(COLUMNS($Q$1006:U1006),$Q$1006:$U$1006,0))&gt;=100000), " ",IF(INDEX($Q$2:$U$1001,MATCH(ROWS($J$2:J311),$J$2:$J$1001,0),MATCH(COLUMNS($Q$1006:U1006),$Q$1006:$U$1006,0)), HYPERLINK("#",""), HYPERLINK(CONCATENATE("#Metadata!", ADDRESS(INDEX($L$2:$L$1001,MATCH(ROWS($J$2:J311),$J$2:$J$1001,0),0), INDEX($Q$1004:$U$1004,1,MATCH(COLUMNS($Q$1006:U1006),$Q$1006:$U$1006,0)))),"Fix")))</f>
        <v xml:space="preserve"> </v>
      </c>
      <c r="J311">
        <f ca="1"/>
        <v>310</v>
      </c>
      <c r="K311">
        <v>100311</v>
      </c>
      <c r="L311">
        <v>311</v>
      </c>
      <c r="M311" t="b">
        <f t="shared" si="4"/>
        <v>1</v>
      </c>
      <c r="N311" t="b">
        <f>COUNTBLANK(Metadata!B311:F311)=COLUMNS(Metadata!B311:F311)</f>
        <v>1</v>
      </c>
      <c r="O311" t="str">
        <v/>
      </c>
      <c r="Q311" t="b">
        <f ca="1"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R311" t="b">
        <f>IF(Metadata!C311="",FALSE,TRUE)</f>
        <v>0</v>
      </c>
      <c r="S311" t="b">
        <f>OR(AND(IF(Metadata!D311="",FALSE,TRUE),EXACT(Metadata!D311,"missing: not collected")),AND(IF(Metadata!D311="",FALSE,TRUE),OR(EXACT(Metadata!D311,"t"),EXACT(Metadata!D311,"f"))))</f>
        <v>0</v>
      </c>
      <c r="T311" t="b">
        <f>AND(IF(Metadata!E311="",FALSE,TRUE),OR(EXACT(Metadata!E311,"a"),EXACT(Metadata!E311,"b")))</f>
        <v>0</v>
      </c>
      <c r="U311" t="b">
        <f>OR(AND(IF(Metadata!F311="",FALSE,TRUE),OR(EXACT(Metadata!F311,"missing: not collected"),EXACT(Metadata!F311,"missing: not provided"))),AND(IF(Metadata!F311="",FALSE,TRUE),OR(EXACT(Metadata!F311,"lo"),EXACT(Metadata!F311,"med"),EXACT(Metadata!F311,"hi"))))</f>
        <v>0</v>
      </c>
    </row>
    <row r="312" spans="1:21" x14ac:dyDescent="0.2">
      <c r="A312" s="4" t="str">
        <f ca="1">IF(B312=" "," ",HYPERLINK(CONCATENATE("#metadata!",ADDRESS(INDEX($L$2:$L$1001,MATCH(ROWS($J$2:J312),$J$2:$J$1001,0),0),1)),INDEX($O$2:$O$1001,MATCH(ROWS($J$2:J312),$J$2:$J$1001,0),0)))</f>
        <v xml:space="preserve"> </v>
      </c>
      <c r="B312" s="3" t="str">
        <f ca="1">IF(OR(INDEX($K$2:$K$1001,MATCH(ROWS($J$2:J312),$J$2:$J$1001,0),1)&gt;=100000,INDEX($Q$1005:$U$1005,1,MATCH(COLUMNS($Q$1006:Q1006),$Q$1006:$U$1006,0))&gt;=100000), " ",IF(INDEX($Q$2:$U$1001,MATCH(ROWS($J$2:J312),$J$2:$J$1001,0),MATCH(COLUMNS($Q$1006:Q1006),$Q$1006:$U$1006,0)), HYPERLINK("#",""), HYPERLINK(CONCATENATE("#Metadata!", ADDRESS(INDEX($L$2:$L$1001,MATCH(ROWS($J$2:J312),$J$2:$J$1001,0),0), INDEX($Q$1004:$U$1004,1,MATCH(COLUMNS($Q$1006:Q1006),$Q$1006:$U$1006,0)))),"Fix")))</f>
        <v xml:space="preserve"> </v>
      </c>
      <c r="C312" s="3" t="str">
        <f ca="1">IF(OR(INDEX($K$2:$K$1001,MATCH(ROWS($J$2:J312),$J$2:$J$1001,0),1)&gt;=100000,INDEX($Q$1005:$U$1005,1,MATCH(COLUMNS($Q$1006:R1006),$Q$1006:$U$1006,0))&gt;=100000), " ",IF(INDEX($Q$2:$U$1001,MATCH(ROWS($J$2:J312),$J$2:$J$1001,0),MATCH(COLUMNS($Q$1006:R1006),$Q$1006:$U$1006,0)), HYPERLINK("#",""), HYPERLINK(CONCATENATE("#Metadata!", ADDRESS(INDEX($L$2:$L$1001,MATCH(ROWS($J$2:J312),$J$2:$J$1001,0),0), INDEX($Q$1004:$U$1004,1,MATCH(COLUMNS($Q$1006:R1006),$Q$1006:$U$1006,0)))),"Fix")))</f>
        <v xml:space="preserve"> </v>
      </c>
      <c r="D312" s="3" t="str">
        <f ca="1">IF(OR(INDEX($K$2:$K$1001,MATCH(ROWS($J$2:J312),$J$2:$J$1001,0),1)&gt;=100000,INDEX($Q$1005:$U$1005,1,MATCH(COLUMNS($Q$1006:S1006),$Q$1006:$U$1006,0))&gt;=100000), " ",IF(INDEX($Q$2:$U$1001,MATCH(ROWS($J$2:J312),$J$2:$J$1001,0),MATCH(COLUMNS($Q$1006:S1006),$Q$1006:$U$1006,0)), HYPERLINK("#",""), HYPERLINK(CONCATENATE("#Metadata!", ADDRESS(INDEX($L$2:$L$1001,MATCH(ROWS($J$2:J312),$J$2:$J$1001,0),0), INDEX($Q$1004:$U$1004,1,MATCH(COLUMNS($Q$1006:S1006),$Q$1006:$U$1006,0)))),"Fix")))</f>
        <v xml:space="preserve"> </v>
      </c>
      <c r="E312" s="3" t="str">
        <f ca="1">IF(OR(INDEX($K$2:$K$1001,MATCH(ROWS($J$2:J312),$J$2:$J$1001,0),1)&gt;=100000,INDEX($Q$1005:$U$1005,1,MATCH(COLUMNS($Q$1006:T1006),$Q$1006:$U$1006,0))&gt;=100000), " ",IF(INDEX($Q$2:$U$1001,MATCH(ROWS($J$2:J312),$J$2:$J$1001,0),MATCH(COLUMNS($Q$1006:T1006),$Q$1006:$U$1006,0)), HYPERLINK("#",""), HYPERLINK(CONCATENATE("#Metadata!", ADDRESS(INDEX($L$2:$L$1001,MATCH(ROWS($J$2:J312),$J$2:$J$1001,0),0), INDEX($Q$1004:$U$1004,1,MATCH(COLUMNS($Q$1006:T1006),$Q$1006:$U$1006,0)))),"Fix")))</f>
        <v xml:space="preserve"> </v>
      </c>
      <c r="F312" s="3" t="str">
        <f ca="1">IF(OR(INDEX($K$2:$K$1001,MATCH(ROWS($J$2:J312),$J$2:$J$1001,0),1)&gt;=100000,INDEX($Q$1005:$U$1005,1,MATCH(COLUMNS($Q$1006:U1006),$Q$1006:$U$1006,0))&gt;=100000), " ",IF(INDEX($Q$2:$U$1001,MATCH(ROWS($J$2:J312),$J$2:$J$1001,0),MATCH(COLUMNS($Q$1006:U1006),$Q$1006:$U$1006,0)), HYPERLINK("#",""), HYPERLINK(CONCATENATE("#Metadata!", ADDRESS(INDEX($L$2:$L$1001,MATCH(ROWS($J$2:J312),$J$2:$J$1001,0),0), INDEX($Q$1004:$U$1004,1,MATCH(COLUMNS($Q$1006:U1006),$Q$1006:$U$1006,0)))),"Fix")))</f>
        <v xml:space="preserve"> </v>
      </c>
      <c r="J312">
        <f ca="1"/>
        <v>311</v>
      </c>
      <c r="K312">
        <v>100312</v>
      </c>
      <c r="L312">
        <v>312</v>
      </c>
      <c r="M312" t="b">
        <f t="shared" si="4"/>
        <v>1</v>
      </c>
      <c r="N312" t="b">
        <f>COUNTBLANK(Metadata!B312:F312)=COLUMNS(Metadata!B312:F312)</f>
        <v>1</v>
      </c>
      <c r="O312" t="str">
        <v/>
      </c>
      <c r="Q312" t="b">
        <f ca="1"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R312" t="b">
        <f>IF(Metadata!C312="",FALSE,TRUE)</f>
        <v>0</v>
      </c>
      <c r="S312" t="b">
        <f>OR(AND(IF(Metadata!D312="",FALSE,TRUE),EXACT(Metadata!D312,"missing: not collected")),AND(IF(Metadata!D312="",FALSE,TRUE),OR(EXACT(Metadata!D312,"t"),EXACT(Metadata!D312,"f"))))</f>
        <v>0</v>
      </c>
      <c r="T312" t="b">
        <f>AND(IF(Metadata!E312="",FALSE,TRUE),OR(EXACT(Metadata!E312,"a"),EXACT(Metadata!E312,"b")))</f>
        <v>0</v>
      </c>
      <c r="U312" t="b">
        <f>OR(AND(IF(Metadata!F312="",FALSE,TRUE),OR(EXACT(Metadata!F312,"missing: not collected"),EXACT(Metadata!F312,"missing: not provided"))),AND(IF(Metadata!F312="",FALSE,TRUE),OR(EXACT(Metadata!F312,"lo"),EXACT(Metadata!F312,"med"),EXACT(Metadata!F312,"hi"))))</f>
        <v>0</v>
      </c>
    </row>
    <row r="313" spans="1:21" x14ac:dyDescent="0.2">
      <c r="A313" s="4" t="str">
        <f ca="1">IF(B313=" "," ",HYPERLINK(CONCATENATE("#metadata!",ADDRESS(INDEX($L$2:$L$1001,MATCH(ROWS($J$2:J313),$J$2:$J$1001,0),0),1)),INDEX($O$2:$O$1001,MATCH(ROWS($J$2:J313),$J$2:$J$1001,0),0)))</f>
        <v xml:space="preserve"> </v>
      </c>
      <c r="B313" s="3" t="str">
        <f ca="1">IF(OR(INDEX($K$2:$K$1001,MATCH(ROWS($J$2:J313),$J$2:$J$1001,0),1)&gt;=100000,INDEX($Q$1005:$U$1005,1,MATCH(COLUMNS($Q$1006:Q1006),$Q$1006:$U$1006,0))&gt;=100000), " ",IF(INDEX($Q$2:$U$1001,MATCH(ROWS($J$2:J313),$J$2:$J$1001,0),MATCH(COLUMNS($Q$1006:Q1006),$Q$1006:$U$1006,0)), HYPERLINK("#",""), HYPERLINK(CONCATENATE("#Metadata!", ADDRESS(INDEX($L$2:$L$1001,MATCH(ROWS($J$2:J313),$J$2:$J$1001,0),0), INDEX($Q$1004:$U$1004,1,MATCH(COLUMNS($Q$1006:Q1006),$Q$1006:$U$1006,0)))),"Fix")))</f>
        <v xml:space="preserve"> </v>
      </c>
      <c r="C313" s="3" t="str">
        <f ca="1">IF(OR(INDEX($K$2:$K$1001,MATCH(ROWS($J$2:J313),$J$2:$J$1001,0),1)&gt;=100000,INDEX($Q$1005:$U$1005,1,MATCH(COLUMNS($Q$1006:R1006),$Q$1006:$U$1006,0))&gt;=100000), " ",IF(INDEX($Q$2:$U$1001,MATCH(ROWS($J$2:J313),$J$2:$J$1001,0),MATCH(COLUMNS($Q$1006:R1006),$Q$1006:$U$1006,0)), HYPERLINK("#",""), HYPERLINK(CONCATENATE("#Metadata!", ADDRESS(INDEX($L$2:$L$1001,MATCH(ROWS($J$2:J313),$J$2:$J$1001,0),0), INDEX($Q$1004:$U$1004,1,MATCH(COLUMNS($Q$1006:R1006),$Q$1006:$U$1006,0)))),"Fix")))</f>
        <v xml:space="preserve"> </v>
      </c>
      <c r="D313" s="3" t="str">
        <f ca="1">IF(OR(INDEX($K$2:$K$1001,MATCH(ROWS($J$2:J313),$J$2:$J$1001,0),1)&gt;=100000,INDEX($Q$1005:$U$1005,1,MATCH(COLUMNS($Q$1006:S1006),$Q$1006:$U$1006,0))&gt;=100000), " ",IF(INDEX($Q$2:$U$1001,MATCH(ROWS($J$2:J313),$J$2:$J$1001,0),MATCH(COLUMNS($Q$1006:S1006),$Q$1006:$U$1006,0)), HYPERLINK("#",""), HYPERLINK(CONCATENATE("#Metadata!", ADDRESS(INDEX($L$2:$L$1001,MATCH(ROWS($J$2:J313),$J$2:$J$1001,0),0), INDEX($Q$1004:$U$1004,1,MATCH(COLUMNS($Q$1006:S1006),$Q$1006:$U$1006,0)))),"Fix")))</f>
        <v xml:space="preserve"> </v>
      </c>
      <c r="E313" s="3" t="str">
        <f ca="1">IF(OR(INDEX($K$2:$K$1001,MATCH(ROWS($J$2:J313),$J$2:$J$1001,0),1)&gt;=100000,INDEX($Q$1005:$U$1005,1,MATCH(COLUMNS($Q$1006:T1006),$Q$1006:$U$1006,0))&gt;=100000), " ",IF(INDEX($Q$2:$U$1001,MATCH(ROWS($J$2:J313),$J$2:$J$1001,0),MATCH(COLUMNS($Q$1006:T1006),$Q$1006:$U$1006,0)), HYPERLINK("#",""), HYPERLINK(CONCATENATE("#Metadata!", ADDRESS(INDEX($L$2:$L$1001,MATCH(ROWS($J$2:J313),$J$2:$J$1001,0),0), INDEX($Q$1004:$U$1004,1,MATCH(COLUMNS($Q$1006:T1006),$Q$1006:$U$1006,0)))),"Fix")))</f>
        <v xml:space="preserve"> </v>
      </c>
      <c r="F313" s="3" t="str">
        <f ca="1">IF(OR(INDEX($K$2:$K$1001,MATCH(ROWS($J$2:J313),$J$2:$J$1001,0),1)&gt;=100000,INDEX($Q$1005:$U$1005,1,MATCH(COLUMNS($Q$1006:U1006),$Q$1006:$U$1006,0))&gt;=100000), " ",IF(INDEX($Q$2:$U$1001,MATCH(ROWS($J$2:J313),$J$2:$J$1001,0),MATCH(COLUMNS($Q$1006:U1006),$Q$1006:$U$1006,0)), HYPERLINK("#",""), HYPERLINK(CONCATENATE("#Metadata!", ADDRESS(INDEX($L$2:$L$1001,MATCH(ROWS($J$2:J313),$J$2:$J$1001,0),0), INDEX($Q$1004:$U$1004,1,MATCH(COLUMNS($Q$1006:U1006),$Q$1006:$U$1006,0)))),"Fix")))</f>
        <v xml:space="preserve"> </v>
      </c>
      <c r="J313">
        <f ca="1"/>
        <v>312</v>
      </c>
      <c r="K313">
        <v>100313</v>
      </c>
      <c r="L313">
        <v>313</v>
      </c>
      <c r="M313" t="b">
        <f t="shared" si="4"/>
        <v>1</v>
      </c>
      <c r="N313" t="b">
        <f>COUNTBLANK(Metadata!B313:F313)=COLUMNS(Metadata!B313:F313)</f>
        <v>1</v>
      </c>
      <c r="O313" t="str">
        <v/>
      </c>
      <c r="Q313" t="b">
        <f ca="1"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R313" t="b">
        <f>IF(Metadata!C313="",FALSE,TRUE)</f>
        <v>0</v>
      </c>
      <c r="S313" t="b">
        <f>OR(AND(IF(Metadata!D313="",FALSE,TRUE),EXACT(Metadata!D313,"missing: not collected")),AND(IF(Metadata!D313="",FALSE,TRUE),OR(EXACT(Metadata!D313,"t"),EXACT(Metadata!D313,"f"))))</f>
        <v>0</v>
      </c>
      <c r="T313" t="b">
        <f>AND(IF(Metadata!E313="",FALSE,TRUE),OR(EXACT(Metadata!E313,"a"),EXACT(Metadata!E313,"b")))</f>
        <v>0</v>
      </c>
      <c r="U313" t="b">
        <f>OR(AND(IF(Metadata!F313="",FALSE,TRUE),OR(EXACT(Metadata!F313,"missing: not collected"),EXACT(Metadata!F313,"missing: not provided"))),AND(IF(Metadata!F313="",FALSE,TRUE),OR(EXACT(Metadata!F313,"lo"),EXACT(Metadata!F313,"med"),EXACT(Metadata!F313,"hi"))))</f>
        <v>0</v>
      </c>
    </row>
    <row r="314" spans="1:21" x14ac:dyDescent="0.2">
      <c r="A314" s="4" t="str">
        <f ca="1">IF(B314=" "," ",HYPERLINK(CONCATENATE("#metadata!",ADDRESS(INDEX($L$2:$L$1001,MATCH(ROWS($J$2:J314),$J$2:$J$1001,0),0),1)),INDEX($O$2:$O$1001,MATCH(ROWS($J$2:J314),$J$2:$J$1001,0),0)))</f>
        <v xml:space="preserve"> </v>
      </c>
      <c r="B314" s="3" t="str">
        <f ca="1">IF(OR(INDEX($K$2:$K$1001,MATCH(ROWS($J$2:J314),$J$2:$J$1001,0),1)&gt;=100000,INDEX($Q$1005:$U$1005,1,MATCH(COLUMNS($Q$1006:Q1006),$Q$1006:$U$1006,0))&gt;=100000), " ",IF(INDEX($Q$2:$U$1001,MATCH(ROWS($J$2:J314),$J$2:$J$1001,0),MATCH(COLUMNS($Q$1006:Q1006),$Q$1006:$U$1006,0)), HYPERLINK("#",""), HYPERLINK(CONCATENATE("#Metadata!", ADDRESS(INDEX($L$2:$L$1001,MATCH(ROWS($J$2:J314),$J$2:$J$1001,0),0), INDEX($Q$1004:$U$1004,1,MATCH(COLUMNS($Q$1006:Q1006),$Q$1006:$U$1006,0)))),"Fix")))</f>
        <v xml:space="preserve"> </v>
      </c>
      <c r="C314" s="3" t="str">
        <f ca="1">IF(OR(INDEX($K$2:$K$1001,MATCH(ROWS($J$2:J314),$J$2:$J$1001,0),1)&gt;=100000,INDEX($Q$1005:$U$1005,1,MATCH(COLUMNS($Q$1006:R1006),$Q$1006:$U$1006,0))&gt;=100000), " ",IF(INDEX($Q$2:$U$1001,MATCH(ROWS($J$2:J314),$J$2:$J$1001,0),MATCH(COLUMNS($Q$1006:R1006),$Q$1006:$U$1006,0)), HYPERLINK("#",""), HYPERLINK(CONCATENATE("#Metadata!", ADDRESS(INDEX($L$2:$L$1001,MATCH(ROWS($J$2:J314),$J$2:$J$1001,0),0), INDEX($Q$1004:$U$1004,1,MATCH(COLUMNS($Q$1006:R1006),$Q$1006:$U$1006,0)))),"Fix")))</f>
        <v xml:space="preserve"> </v>
      </c>
      <c r="D314" s="3" t="str">
        <f ca="1">IF(OR(INDEX($K$2:$K$1001,MATCH(ROWS($J$2:J314),$J$2:$J$1001,0),1)&gt;=100000,INDEX($Q$1005:$U$1005,1,MATCH(COLUMNS($Q$1006:S1006),$Q$1006:$U$1006,0))&gt;=100000), " ",IF(INDEX($Q$2:$U$1001,MATCH(ROWS($J$2:J314),$J$2:$J$1001,0),MATCH(COLUMNS($Q$1006:S1006),$Q$1006:$U$1006,0)), HYPERLINK("#",""), HYPERLINK(CONCATENATE("#Metadata!", ADDRESS(INDEX($L$2:$L$1001,MATCH(ROWS($J$2:J314),$J$2:$J$1001,0),0), INDEX($Q$1004:$U$1004,1,MATCH(COLUMNS($Q$1006:S1006),$Q$1006:$U$1006,0)))),"Fix")))</f>
        <v xml:space="preserve"> </v>
      </c>
      <c r="E314" s="3" t="str">
        <f ca="1">IF(OR(INDEX($K$2:$K$1001,MATCH(ROWS($J$2:J314),$J$2:$J$1001,0),1)&gt;=100000,INDEX($Q$1005:$U$1005,1,MATCH(COLUMNS($Q$1006:T1006),$Q$1006:$U$1006,0))&gt;=100000), " ",IF(INDEX($Q$2:$U$1001,MATCH(ROWS($J$2:J314),$J$2:$J$1001,0),MATCH(COLUMNS($Q$1006:T1006),$Q$1006:$U$1006,0)), HYPERLINK("#",""), HYPERLINK(CONCATENATE("#Metadata!", ADDRESS(INDEX($L$2:$L$1001,MATCH(ROWS($J$2:J314),$J$2:$J$1001,0),0), INDEX($Q$1004:$U$1004,1,MATCH(COLUMNS($Q$1006:T1006),$Q$1006:$U$1006,0)))),"Fix")))</f>
        <v xml:space="preserve"> </v>
      </c>
      <c r="F314" s="3" t="str">
        <f ca="1">IF(OR(INDEX($K$2:$K$1001,MATCH(ROWS($J$2:J314),$J$2:$J$1001,0),1)&gt;=100000,INDEX($Q$1005:$U$1005,1,MATCH(COLUMNS($Q$1006:U1006),$Q$1006:$U$1006,0))&gt;=100000), " ",IF(INDEX($Q$2:$U$1001,MATCH(ROWS($J$2:J314),$J$2:$J$1001,0),MATCH(COLUMNS($Q$1006:U1006),$Q$1006:$U$1006,0)), HYPERLINK("#",""), HYPERLINK(CONCATENATE("#Metadata!", ADDRESS(INDEX($L$2:$L$1001,MATCH(ROWS($J$2:J314),$J$2:$J$1001,0),0), INDEX($Q$1004:$U$1004,1,MATCH(COLUMNS($Q$1006:U1006),$Q$1006:$U$1006,0)))),"Fix")))</f>
        <v xml:space="preserve"> </v>
      </c>
      <c r="J314">
        <f ca="1"/>
        <v>313</v>
      </c>
      <c r="K314">
        <v>100314</v>
      </c>
      <c r="L314">
        <v>314</v>
      </c>
      <c r="M314" t="b">
        <f t="shared" si="4"/>
        <v>1</v>
      </c>
      <c r="N314" t="b">
        <f>COUNTBLANK(Metadata!B314:F314)=COLUMNS(Metadata!B314:F314)</f>
        <v>1</v>
      </c>
      <c r="O314" t="str">
        <v/>
      </c>
      <c r="Q314" t="b">
        <f ca="1"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R314" t="b">
        <f>IF(Metadata!C314="",FALSE,TRUE)</f>
        <v>0</v>
      </c>
      <c r="S314" t="b">
        <f>OR(AND(IF(Metadata!D314="",FALSE,TRUE),EXACT(Metadata!D314,"missing: not collected")),AND(IF(Metadata!D314="",FALSE,TRUE),OR(EXACT(Metadata!D314,"t"),EXACT(Metadata!D314,"f"))))</f>
        <v>0</v>
      </c>
      <c r="T314" t="b">
        <f>AND(IF(Metadata!E314="",FALSE,TRUE),OR(EXACT(Metadata!E314,"a"),EXACT(Metadata!E314,"b")))</f>
        <v>0</v>
      </c>
      <c r="U314" t="b">
        <f>OR(AND(IF(Metadata!F314="",FALSE,TRUE),OR(EXACT(Metadata!F314,"missing: not collected"),EXACT(Metadata!F314,"missing: not provided"))),AND(IF(Metadata!F314="",FALSE,TRUE),OR(EXACT(Metadata!F314,"lo"),EXACT(Metadata!F314,"med"),EXACT(Metadata!F314,"hi"))))</f>
        <v>0</v>
      </c>
    </row>
    <row r="315" spans="1:21" x14ac:dyDescent="0.2">
      <c r="A315" s="4" t="str">
        <f ca="1">IF(B315=" "," ",HYPERLINK(CONCATENATE("#metadata!",ADDRESS(INDEX($L$2:$L$1001,MATCH(ROWS($J$2:J315),$J$2:$J$1001,0),0),1)),INDEX($O$2:$O$1001,MATCH(ROWS($J$2:J315),$J$2:$J$1001,0),0)))</f>
        <v xml:space="preserve"> </v>
      </c>
      <c r="B315" s="3" t="str">
        <f ca="1">IF(OR(INDEX($K$2:$K$1001,MATCH(ROWS($J$2:J315),$J$2:$J$1001,0),1)&gt;=100000,INDEX($Q$1005:$U$1005,1,MATCH(COLUMNS($Q$1006:Q1006),$Q$1006:$U$1006,0))&gt;=100000), " ",IF(INDEX($Q$2:$U$1001,MATCH(ROWS($J$2:J315),$J$2:$J$1001,0),MATCH(COLUMNS($Q$1006:Q1006),$Q$1006:$U$1006,0)), HYPERLINK("#",""), HYPERLINK(CONCATENATE("#Metadata!", ADDRESS(INDEX($L$2:$L$1001,MATCH(ROWS($J$2:J315),$J$2:$J$1001,0),0), INDEX($Q$1004:$U$1004,1,MATCH(COLUMNS($Q$1006:Q1006),$Q$1006:$U$1006,0)))),"Fix")))</f>
        <v xml:space="preserve"> </v>
      </c>
      <c r="C315" s="3" t="str">
        <f ca="1">IF(OR(INDEX($K$2:$K$1001,MATCH(ROWS($J$2:J315),$J$2:$J$1001,0),1)&gt;=100000,INDEX($Q$1005:$U$1005,1,MATCH(COLUMNS($Q$1006:R1006),$Q$1006:$U$1006,0))&gt;=100000), " ",IF(INDEX($Q$2:$U$1001,MATCH(ROWS($J$2:J315),$J$2:$J$1001,0),MATCH(COLUMNS($Q$1006:R1006),$Q$1006:$U$1006,0)), HYPERLINK("#",""), HYPERLINK(CONCATENATE("#Metadata!", ADDRESS(INDEX($L$2:$L$1001,MATCH(ROWS($J$2:J315),$J$2:$J$1001,0),0), INDEX($Q$1004:$U$1004,1,MATCH(COLUMNS($Q$1006:R1006),$Q$1006:$U$1006,0)))),"Fix")))</f>
        <v xml:space="preserve"> </v>
      </c>
      <c r="D315" s="3" t="str">
        <f ca="1">IF(OR(INDEX($K$2:$K$1001,MATCH(ROWS($J$2:J315),$J$2:$J$1001,0),1)&gt;=100000,INDEX($Q$1005:$U$1005,1,MATCH(COLUMNS($Q$1006:S1006),$Q$1006:$U$1006,0))&gt;=100000), " ",IF(INDEX($Q$2:$U$1001,MATCH(ROWS($J$2:J315),$J$2:$J$1001,0),MATCH(COLUMNS($Q$1006:S1006),$Q$1006:$U$1006,0)), HYPERLINK("#",""), HYPERLINK(CONCATENATE("#Metadata!", ADDRESS(INDEX($L$2:$L$1001,MATCH(ROWS($J$2:J315),$J$2:$J$1001,0),0), INDEX($Q$1004:$U$1004,1,MATCH(COLUMNS($Q$1006:S1006),$Q$1006:$U$1006,0)))),"Fix")))</f>
        <v xml:space="preserve"> </v>
      </c>
      <c r="E315" s="3" t="str">
        <f ca="1">IF(OR(INDEX($K$2:$K$1001,MATCH(ROWS($J$2:J315),$J$2:$J$1001,0),1)&gt;=100000,INDEX($Q$1005:$U$1005,1,MATCH(COLUMNS($Q$1006:T1006),$Q$1006:$U$1006,0))&gt;=100000), " ",IF(INDEX($Q$2:$U$1001,MATCH(ROWS($J$2:J315),$J$2:$J$1001,0),MATCH(COLUMNS($Q$1006:T1006),$Q$1006:$U$1006,0)), HYPERLINK("#",""), HYPERLINK(CONCATENATE("#Metadata!", ADDRESS(INDEX($L$2:$L$1001,MATCH(ROWS($J$2:J315),$J$2:$J$1001,0),0), INDEX($Q$1004:$U$1004,1,MATCH(COLUMNS($Q$1006:T1006),$Q$1006:$U$1006,0)))),"Fix")))</f>
        <v xml:space="preserve"> </v>
      </c>
      <c r="F315" s="3" t="str">
        <f ca="1">IF(OR(INDEX($K$2:$K$1001,MATCH(ROWS($J$2:J315),$J$2:$J$1001,0),1)&gt;=100000,INDEX($Q$1005:$U$1005,1,MATCH(COLUMNS($Q$1006:U1006),$Q$1006:$U$1006,0))&gt;=100000), " ",IF(INDEX($Q$2:$U$1001,MATCH(ROWS($J$2:J315),$J$2:$J$1001,0),MATCH(COLUMNS($Q$1006:U1006),$Q$1006:$U$1006,0)), HYPERLINK("#",""), HYPERLINK(CONCATENATE("#Metadata!", ADDRESS(INDEX($L$2:$L$1001,MATCH(ROWS($J$2:J315),$J$2:$J$1001,0),0), INDEX($Q$1004:$U$1004,1,MATCH(COLUMNS($Q$1006:U1006),$Q$1006:$U$1006,0)))),"Fix")))</f>
        <v xml:space="preserve"> </v>
      </c>
      <c r="J315">
        <f ca="1"/>
        <v>314</v>
      </c>
      <c r="K315">
        <v>100315</v>
      </c>
      <c r="L315">
        <v>315</v>
      </c>
      <c r="M315" t="b">
        <f t="shared" si="4"/>
        <v>1</v>
      </c>
      <c r="N315" t="b">
        <f>COUNTBLANK(Metadata!B315:F315)=COLUMNS(Metadata!B315:F315)</f>
        <v>1</v>
      </c>
      <c r="O315" t="str">
        <v/>
      </c>
      <c r="Q315" t="b">
        <f ca="1"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R315" t="b">
        <f>IF(Metadata!C315="",FALSE,TRUE)</f>
        <v>0</v>
      </c>
      <c r="S315" t="b">
        <f>OR(AND(IF(Metadata!D315="",FALSE,TRUE),EXACT(Metadata!D315,"missing: not collected")),AND(IF(Metadata!D315="",FALSE,TRUE),OR(EXACT(Metadata!D315,"t"),EXACT(Metadata!D315,"f"))))</f>
        <v>0</v>
      </c>
      <c r="T315" t="b">
        <f>AND(IF(Metadata!E315="",FALSE,TRUE),OR(EXACT(Metadata!E315,"a"),EXACT(Metadata!E315,"b")))</f>
        <v>0</v>
      </c>
      <c r="U315" t="b">
        <f>OR(AND(IF(Metadata!F315="",FALSE,TRUE),OR(EXACT(Metadata!F315,"missing: not collected"),EXACT(Metadata!F315,"missing: not provided"))),AND(IF(Metadata!F315="",FALSE,TRUE),OR(EXACT(Metadata!F315,"lo"),EXACT(Metadata!F315,"med"),EXACT(Metadata!F315,"hi"))))</f>
        <v>0</v>
      </c>
    </row>
    <row r="316" spans="1:21" x14ac:dyDescent="0.2">
      <c r="A316" s="4" t="str">
        <f ca="1">IF(B316=" "," ",HYPERLINK(CONCATENATE("#metadata!",ADDRESS(INDEX($L$2:$L$1001,MATCH(ROWS($J$2:J316),$J$2:$J$1001,0),0),1)),INDEX($O$2:$O$1001,MATCH(ROWS($J$2:J316),$J$2:$J$1001,0),0)))</f>
        <v xml:space="preserve"> </v>
      </c>
      <c r="B316" s="3" t="str">
        <f ca="1">IF(OR(INDEX($K$2:$K$1001,MATCH(ROWS($J$2:J316),$J$2:$J$1001,0),1)&gt;=100000,INDEX($Q$1005:$U$1005,1,MATCH(COLUMNS($Q$1006:Q1006),$Q$1006:$U$1006,0))&gt;=100000), " ",IF(INDEX($Q$2:$U$1001,MATCH(ROWS($J$2:J316),$J$2:$J$1001,0),MATCH(COLUMNS($Q$1006:Q1006),$Q$1006:$U$1006,0)), HYPERLINK("#",""), HYPERLINK(CONCATENATE("#Metadata!", ADDRESS(INDEX($L$2:$L$1001,MATCH(ROWS($J$2:J316),$J$2:$J$1001,0),0), INDEX($Q$1004:$U$1004,1,MATCH(COLUMNS($Q$1006:Q1006),$Q$1006:$U$1006,0)))),"Fix")))</f>
        <v xml:space="preserve"> </v>
      </c>
      <c r="C316" s="3" t="str">
        <f ca="1">IF(OR(INDEX($K$2:$K$1001,MATCH(ROWS($J$2:J316),$J$2:$J$1001,0),1)&gt;=100000,INDEX($Q$1005:$U$1005,1,MATCH(COLUMNS($Q$1006:R1006),$Q$1006:$U$1006,0))&gt;=100000), " ",IF(INDEX($Q$2:$U$1001,MATCH(ROWS($J$2:J316),$J$2:$J$1001,0),MATCH(COLUMNS($Q$1006:R1006),$Q$1006:$U$1006,0)), HYPERLINK("#",""), HYPERLINK(CONCATENATE("#Metadata!", ADDRESS(INDEX($L$2:$L$1001,MATCH(ROWS($J$2:J316),$J$2:$J$1001,0),0), INDEX($Q$1004:$U$1004,1,MATCH(COLUMNS($Q$1006:R1006),$Q$1006:$U$1006,0)))),"Fix")))</f>
        <v xml:space="preserve"> </v>
      </c>
      <c r="D316" s="3" t="str">
        <f ca="1">IF(OR(INDEX($K$2:$K$1001,MATCH(ROWS($J$2:J316),$J$2:$J$1001,0),1)&gt;=100000,INDEX($Q$1005:$U$1005,1,MATCH(COLUMNS($Q$1006:S1006),$Q$1006:$U$1006,0))&gt;=100000), " ",IF(INDEX($Q$2:$U$1001,MATCH(ROWS($J$2:J316),$J$2:$J$1001,0),MATCH(COLUMNS($Q$1006:S1006),$Q$1006:$U$1006,0)), HYPERLINK("#",""), HYPERLINK(CONCATENATE("#Metadata!", ADDRESS(INDEX($L$2:$L$1001,MATCH(ROWS($J$2:J316),$J$2:$J$1001,0),0), INDEX($Q$1004:$U$1004,1,MATCH(COLUMNS($Q$1006:S1006),$Q$1006:$U$1006,0)))),"Fix")))</f>
        <v xml:space="preserve"> </v>
      </c>
      <c r="E316" s="3" t="str">
        <f ca="1">IF(OR(INDEX($K$2:$K$1001,MATCH(ROWS($J$2:J316),$J$2:$J$1001,0),1)&gt;=100000,INDEX($Q$1005:$U$1005,1,MATCH(COLUMNS($Q$1006:T1006),$Q$1006:$U$1006,0))&gt;=100000), " ",IF(INDEX($Q$2:$U$1001,MATCH(ROWS($J$2:J316),$J$2:$J$1001,0),MATCH(COLUMNS($Q$1006:T1006),$Q$1006:$U$1006,0)), HYPERLINK("#",""), HYPERLINK(CONCATENATE("#Metadata!", ADDRESS(INDEX($L$2:$L$1001,MATCH(ROWS($J$2:J316),$J$2:$J$1001,0),0), INDEX($Q$1004:$U$1004,1,MATCH(COLUMNS($Q$1006:T1006),$Q$1006:$U$1006,0)))),"Fix")))</f>
        <v xml:space="preserve"> </v>
      </c>
      <c r="F316" s="3" t="str">
        <f ca="1">IF(OR(INDEX($K$2:$K$1001,MATCH(ROWS($J$2:J316),$J$2:$J$1001,0),1)&gt;=100000,INDEX($Q$1005:$U$1005,1,MATCH(COLUMNS($Q$1006:U1006),$Q$1006:$U$1006,0))&gt;=100000), " ",IF(INDEX($Q$2:$U$1001,MATCH(ROWS($J$2:J316),$J$2:$J$1001,0),MATCH(COLUMNS($Q$1006:U1006),$Q$1006:$U$1006,0)), HYPERLINK("#",""), HYPERLINK(CONCATENATE("#Metadata!", ADDRESS(INDEX($L$2:$L$1001,MATCH(ROWS($J$2:J316),$J$2:$J$1001,0),0), INDEX($Q$1004:$U$1004,1,MATCH(COLUMNS($Q$1006:U1006),$Q$1006:$U$1006,0)))),"Fix")))</f>
        <v xml:space="preserve"> </v>
      </c>
      <c r="J316">
        <f ca="1"/>
        <v>315</v>
      </c>
      <c r="K316">
        <v>100316</v>
      </c>
      <c r="L316">
        <v>316</v>
      </c>
      <c r="M316" t="b">
        <f t="shared" si="4"/>
        <v>1</v>
      </c>
      <c r="N316" t="b">
        <f>COUNTBLANK(Metadata!B316:F316)=COLUMNS(Metadata!B316:F316)</f>
        <v>1</v>
      </c>
      <c r="O316" t="str">
        <v/>
      </c>
      <c r="Q316" t="b">
        <f ca="1"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R316" t="b">
        <f>IF(Metadata!C316="",FALSE,TRUE)</f>
        <v>0</v>
      </c>
      <c r="S316" t="b">
        <f>OR(AND(IF(Metadata!D316="",FALSE,TRUE),EXACT(Metadata!D316,"missing: not collected")),AND(IF(Metadata!D316="",FALSE,TRUE),OR(EXACT(Metadata!D316,"t"),EXACT(Metadata!D316,"f"))))</f>
        <v>0</v>
      </c>
      <c r="T316" t="b">
        <f>AND(IF(Metadata!E316="",FALSE,TRUE),OR(EXACT(Metadata!E316,"a"),EXACT(Metadata!E316,"b")))</f>
        <v>0</v>
      </c>
      <c r="U316" t="b">
        <f>OR(AND(IF(Metadata!F316="",FALSE,TRUE),OR(EXACT(Metadata!F316,"missing: not collected"),EXACT(Metadata!F316,"missing: not provided"))),AND(IF(Metadata!F316="",FALSE,TRUE),OR(EXACT(Metadata!F316,"lo"),EXACT(Metadata!F316,"med"),EXACT(Metadata!F316,"hi"))))</f>
        <v>0</v>
      </c>
    </row>
    <row r="317" spans="1:21" x14ac:dyDescent="0.2">
      <c r="A317" s="4" t="str">
        <f ca="1">IF(B317=" "," ",HYPERLINK(CONCATENATE("#metadata!",ADDRESS(INDEX($L$2:$L$1001,MATCH(ROWS($J$2:J317),$J$2:$J$1001,0),0),1)),INDEX($O$2:$O$1001,MATCH(ROWS($J$2:J317),$J$2:$J$1001,0),0)))</f>
        <v xml:space="preserve"> </v>
      </c>
      <c r="B317" s="3" t="str">
        <f ca="1">IF(OR(INDEX($K$2:$K$1001,MATCH(ROWS($J$2:J317),$J$2:$J$1001,0),1)&gt;=100000,INDEX($Q$1005:$U$1005,1,MATCH(COLUMNS($Q$1006:Q1006),$Q$1006:$U$1006,0))&gt;=100000), " ",IF(INDEX($Q$2:$U$1001,MATCH(ROWS($J$2:J317),$J$2:$J$1001,0),MATCH(COLUMNS($Q$1006:Q1006),$Q$1006:$U$1006,0)), HYPERLINK("#",""), HYPERLINK(CONCATENATE("#Metadata!", ADDRESS(INDEX($L$2:$L$1001,MATCH(ROWS($J$2:J317),$J$2:$J$1001,0),0), INDEX($Q$1004:$U$1004,1,MATCH(COLUMNS($Q$1006:Q1006),$Q$1006:$U$1006,0)))),"Fix")))</f>
        <v xml:space="preserve"> </v>
      </c>
      <c r="C317" s="3" t="str">
        <f ca="1">IF(OR(INDEX($K$2:$K$1001,MATCH(ROWS($J$2:J317),$J$2:$J$1001,0),1)&gt;=100000,INDEX($Q$1005:$U$1005,1,MATCH(COLUMNS($Q$1006:R1006),$Q$1006:$U$1006,0))&gt;=100000), " ",IF(INDEX($Q$2:$U$1001,MATCH(ROWS($J$2:J317),$J$2:$J$1001,0),MATCH(COLUMNS($Q$1006:R1006),$Q$1006:$U$1006,0)), HYPERLINK("#",""), HYPERLINK(CONCATENATE("#Metadata!", ADDRESS(INDEX($L$2:$L$1001,MATCH(ROWS($J$2:J317),$J$2:$J$1001,0),0), INDEX($Q$1004:$U$1004,1,MATCH(COLUMNS($Q$1006:R1006),$Q$1006:$U$1006,0)))),"Fix")))</f>
        <v xml:space="preserve"> </v>
      </c>
      <c r="D317" s="3" t="str">
        <f ca="1">IF(OR(INDEX($K$2:$K$1001,MATCH(ROWS($J$2:J317),$J$2:$J$1001,0),1)&gt;=100000,INDEX($Q$1005:$U$1005,1,MATCH(COLUMNS($Q$1006:S1006),$Q$1006:$U$1006,0))&gt;=100000), " ",IF(INDEX($Q$2:$U$1001,MATCH(ROWS($J$2:J317),$J$2:$J$1001,0),MATCH(COLUMNS($Q$1006:S1006),$Q$1006:$U$1006,0)), HYPERLINK("#",""), HYPERLINK(CONCATENATE("#Metadata!", ADDRESS(INDEX($L$2:$L$1001,MATCH(ROWS($J$2:J317),$J$2:$J$1001,0),0), INDEX($Q$1004:$U$1004,1,MATCH(COLUMNS($Q$1006:S1006),$Q$1006:$U$1006,0)))),"Fix")))</f>
        <v xml:space="preserve"> </v>
      </c>
      <c r="E317" s="3" t="str">
        <f ca="1">IF(OR(INDEX($K$2:$K$1001,MATCH(ROWS($J$2:J317),$J$2:$J$1001,0),1)&gt;=100000,INDEX($Q$1005:$U$1005,1,MATCH(COLUMNS($Q$1006:T1006),$Q$1006:$U$1006,0))&gt;=100000), " ",IF(INDEX($Q$2:$U$1001,MATCH(ROWS($J$2:J317),$J$2:$J$1001,0),MATCH(COLUMNS($Q$1006:T1006),$Q$1006:$U$1006,0)), HYPERLINK("#",""), HYPERLINK(CONCATENATE("#Metadata!", ADDRESS(INDEX($L$2:$L$1001,MATCH(ROWS($J$2:J317),$J$2:$J$1001,0),0), INDEX($Q$1004:$U$1004,1,MATCH(COLUMNS($Q$1006:T1006),$Q$1006:$U$1006,0)))),"Fix")))</f>
        <v xml:space="preserve"> </v>
      </c>
      <c r="F317" s="3" t="str">
        <f ca="1">IF(OR(INDEX($K$2:$K$1001,MATCH(ROWS($J$2:J317),$J$2:$J$1001,0),1)&gt;=100000,INDEX($Q$1005:$U$1005,1,MATCH(COLUMNS($Q$1006:U1006),$Q$1006:$U$1006,0))&gt;=100000), " ",IF(INDEX($Q$2:$U$1001,MATCH(ROWS($J$2:J317),$J$2:$J$1001,0),MATCH(COLUMNS($Q$1006:U1006),$Q$1006:$U$1006,0)), HYPERLINK("#",""), HYPERLINK(CONCATENATE("#Metadata!", ADDRESS(INDEX($L$2:$L$1001,MATCH(ROWS($J$2:J317),$J$2:$J$1001,0),0), INDEX($Q$1004:$U$1004,1,MATCH(COLUMNS($Q$1006:U1006),$Q$1006:$U$1006,0)))),"Fix")))</f>
        <v xml:space="preserve"> </v>
      </c>
      <c r="J317">
        <f ca="1"/>
        <v>316</v>
      </c>
      <c r="K317">
        <v>100317</v>
      </c>
      <c r="L317">
        <v>317</v>
      </c>
      <c r="M317" t="b">
        <f t="shared" si="4"/>
        <v>1</v>
      </c>
      <c r="N317" t="b">
        <f>COUNTBLANK(Metadata!B317:F317)=COLUMNS(Metadata!B317:F317)</f>
        <v>1</v>
      </c>
      <c r="O317" t="str">
        <v/>
      </c>
      <c r="Q317" t="b">
        <f ca="1"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R317" t="b">
        <f>IF(Metadata!C317="",FALSE,TRUE)</f>
        <v>0</v>
      </c>
      <c r="S317" t="b">
        <f>OR(AND(IF(Metadata!D317="",FALSE,TRUE),EXACT(Metadata!D317,"missing: not collected")),AND(IF(Metadata!D317="",FALSE,TRUE),OR(EXACT(Metadata!D317,"t"),EXACT(Metadata!D317,"f"))))</f>
        <v>0</v>
      </c>
      <c r="T317" t="b">
        <f>AND(IF(Metadata!E317="",FALSE,TRUE),OR(EXACT(Metadata!E317,"a"),EXACT(Metadata!E317,"b")))</f>
        <v>0</v>
      </c>
      <c r="U317" t="b">
        <f>OR(AND(IF(Metadata!F317="",FALSE,TRUE),OR(EXACT(Metadata!F317,"missing: not collected"),EXACT(Metadata!F317,"missing: not provided"))),AND(IF(Metadata!F317="",FALSE,TRUE),OR(EXACT(Metadata!F317,"lo"),EXACT(Metadata!F317,"med"),EXACT(Metadata!F317,"hi"))))</f>
        <v>0</v>
      </c>
    </row>
    <row r="318" spans="1:21" x14ac:dyDescent="0.2">
      <c r="A318" s="4" t="str">
        <f ca="1">IF(B318=" "," ",HYPERLINK(CONCATENATE("#metadata!",ADDRESS(INDEX($L$2:$L$1001,MATCH(ROWS($J$2:J318),$J$2:$J$1001,0),0),1)),INDEX($O$2:$O$1001,MATCH(ROWS($J$2:J318),$J$2:$J$1001,0),0)))</f>
        <v xml:space="preserve"> </v>
      </c>
      <c r="B318" s="3" t="str">
        <f ca="1">IF(OR(INDEX($K$2:$K$1001,MATCH(ROWS($J$2:J318),$J$2:$J$1001,0),1)&gt;=100000,INDEX($Q$1005:$U$1005,1,MATCH(COLUMNS($Q$1006:Q1006),$Q$1006:$U$1006,0))&gt;=100000), " ",IF(INDEX($Q$2:$U$1001,MATCH(ROWS($J$2:J318),$J$2:$J$1001,0),MATCH(COLUMNS($Q$1006:Q1006),$Q$1006:$U$1006,0)), HYPERLINK("#",""), HYPERLINK(CONCATENATE("#Metadata!", ADDRESS(INDEX($L$2:$L$1001,MATCH(ROWS($J$2:J318),$J$2:$J$1001,0),0), INDEX($Q$1004:$U$1004,1,MATCH(COLUMNS($Q$1006:Q1006),$Q$1006:$U$1006,0)))),"Fix")))</f>
        <v xml:space="preserve"> </v>
      </c>
      <c r="C318" s="3" t="str">
        <f ca="1">IF(OR(INDEX($K$2:$K$1001,MATCH(ROWS($J$2:J318),$J$2:$J$1001,0),1)&gt;=100000,INDEX($Q$1005:$U$1005,1,MATCH(COLUMNS($Q$1006:R1006),$Q$1006:$U$1006,0))&gt;=100000), " ",IF(INDEX($Q$2:$U$1001,MATCH(ROWS($J$2:J318),$J$2:$J$1001,0),MATCH(COLUMNS($Q$1006:R1006),$Q$1006:$U$1006,0)), HYPERLINK("#",""), HYPERLINK(CONCATENATE("#Metadata!", ADDRESS(INDEX($L$2:$L$1001,MATCH(ROWS($J$2:J318),$J$2:$J$1001,0),0), INDEX($Q$1004:$U$1004,1,MATCH(COLUMNS($Q$1006:R1006),$Q$1006:$U$1006,0)))),"Fix")))</f>
        <v xml:space="preserve"> </v>
      </c>
      <c r="D318" s="3" t="str">
        <f ca="1">IF(OR(INDEX($K$2:$K$1001,MATCH(ROWS($J$2:J318),$J$2:$J$1001,0),1)&gt;=100000,INDEX($Q$1005:$U$1005,1,MATCH(COLUMNS($Q$1006:S1006),$Q$1006:$U$1006,0))&gt;=100000), " ",IF(INDEX($Q$2:$U$1001,MATCH(ROWS($J$2:J318),$J$2:$J$1001,0),MATCH(COLUMNS($Q$1006:S1006),$Q$1006:$U$1006,0)), HYPERLINK("#",""), HYPERLINK(CONCATENATE("#Metadata!", ADDRESS(INDEX($L$2:$L$1001,MATCH(ROWS($J$2:J318),$J$2:$J$1001,0),0), INDEX($Q$1004:$U$1004,1,MATCH(COLUMNS($Q$1006:S1006),$Q$1006:$U$1006,0)))),"Fix")))</f>
        <v xml:space="preserve"> </v>
      </c>
      <c r="E318" s="3" t="str">
        <f ca="1">IF(OR(INDEX($K$2:$K$1001,MATCH(ROWS($J$2:J318),$J$2:$J$1001,0),1)&gt;=100000,INDEX($Q$1005:$U$1005,1,MATCH(COLUMNS($Q$1006:T1006),$Q$1006:$U$1006,0))&gt;=100000), " ",IF(INDEX($Q$2:$U$1001,MATCH(ROWS($J$2:J318),$J$2:$J$1001,0),MATCH(COLUMNS($Q$1006:T1006),$Q$1006:$U$1006,0)), HYPERLINK("#",""), HYPERLINK(CONCATENATE("#Metadata!", ADDRESS(INDEX($L$2:$L$1001,MATCH(ROWS($J$2:J318),$J$2:$J$1001,0),0), INDEX($Q$1004:$U$1004,1,MATCH(COLUMNS($Q$1006:T1006),$Q$1006:$U$1006,0)))),"Fix")))</f>
        <v xml:space="preserve"> </v>
      </c>
      <c r="F318" s="3" t="str">
        <f ca="1">IF(OR(INDEX($K$2:$K$1001,MATCH(ROWS($J$2:J318),$J$2:$J$1001,0),1)&gt;=100000,INDEX($Q$1005:$U$1005,1,MATCH(COLUMNS($Q$1006:U1006),$Q$1006:$U$1006,0))&gt;=100000), " ",IF(INDEX($Q$2:$U$1001,MATCH(ROWS($J$2:J318),$J$2:$J$1001,0),MATCH(COLUMNS($Q$1006:U1006),$Q$1006:$U$1006,0)), HYPERLINK("#",""), HYPERLINK(CONCATENATE("#Metadata!", ADDRESS(INDEX($L$2:$L$1001,MATCH(ROWS($J$2:J318),$J$2:$J$1001,0),0), INDEX($Q$1004:$U$1004,1,MATCH(COLUMNS($Q$1006:U1006),$Q$1006:$U$1006,0)))),"Fix")))</f>
        <v xml:space="preserve"> </v>
      </c>
      <c r="J318">
        <f ca="1"/>
        <v>317</v>
      </c>
      <c r="K318">
        <v>100318</v>
      </c>
      <c r="L318">
        <v>318</v>
      </c>
      <c r="M318" t="b">
        <f t="shared" si="4"/>
        <v>1</v>
      </c>
      <c r="N318" t="b">
        <f>COUNTBLANK(Metadata!B318:F318)=COLUMNS(Metadata!B318:F318)</f>
        <v>1</v>
      </c>
      <c r="O318" t="str">
        <v/>
      </c>
      <c r="Q318" t="b">
        <f ca="1"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R318" t="b">
        <f>IF(Metadata!C318="",FALSE,TRUE)</f>
        <v>0</v>
      </c>
      <c r="S318" t="b">
        <f>OR(AND(IF(Metadata!D318="",FALSE,TRUE),EXACT(Metadata!D318,"missing: not collected")),AND(IF(Metadata!D318="",FALSE,TRUE),OR(EXACT(Metadata!D318,"t"),EXACT(Metadata!D318,"f"))))</f>
        <v>0</v>
      </c>
      <c r="T318" t="b">
        <f>AND(IF(Metadata!E318="",FALSE,TRUE),OR(EXACT(Metadata!E318,"a"),EXACT(Metadata!E318,"b")))</f>
        <v>0</v>
      </c>
      <c r="U318" t="b">
        <f>OR(AND(IF(Metadata!F318="",FALSE,TRUE),OR(EXACT(Metadata!F318,"missing: not collected"),EXACT(Metadata!F318,"missing: not provided"))),AND(IF(Metadata!F318="",FALSE,TRUE),OR(EXACT(Metadata!F318,"lo"),EXACT(Metadata!F318,"med"),EXACT(Metadata!F318,"hi"))))</f>
        <v>0</v>
      </c>
    </row>
    <row r="319" spans="1:21" x14ac:dyDescent="0.2">
      <c r="A319" s="4" t="str">
        <f ca="1">IF(B319=" "," ",HYPERLINK(CONCATENATE("#metadata!",ADDRESS(INDEX($L$2:$L$1001,MATCH(ROWS($J$2:J319),$J$2:$J$1001,0),0),1)),INDEX($O$2:$O$1001,MATCH(ROWS($J$2:J319),$J$2:$J$1001,0),0)))</f>
        <v xml:space="preserve"> </v>
      </c>
      <c r="B319" s="3" t="str">
        <f ca="1">IF(OR(INDEX($K$2:$K$1001,MATCH(ROWS($J$2:J319),$J$2:$J$1001,0),1)&gt;=100000,INDEX($Q$1005:$U$1005,1,MATCH(COLUMNS($Q$1006:Q1006),$Q$1006:$U$1006,0))&gt;=100000), " ",IF(INDEX($Q$2:$U$1001,MATCH(ROWS($J$2:J319),$J$2:$J$1001,0),MATCH(COLUMNS($Q$1006:Q1006),$Q$1006:$U$1006,0)), HYPERLINK("#",""), HYPERLINK(CONCATENATE("#Metadata!", ADDRESS(INDEX($L$2:$L$1001,MATCH(ROWS($J$2:J319),$J$2:$J$1001,0),0), INDEX($Q$1004:$U$1004,1,MATCH(COLUMNS($Q$1006:Q1006),$Q$1006:$U$1006,0)))),"Fix")))</f>
        <v xml:space="preserve"> </v>
      </c>
      <c r="C319" s="3" t="str">
        <f ca="1">IF(OR(INDEX($K$2:$K$1001,MATCH(ROWS($J$2:J319),$J$2:$J$1001,0),1)&gt;=100000,INDEX($Q$1005:$U$1005,1,MATCH(COLUMNS($Q$1006:R1006),$Q$1006:$U$1006,0))&gt;=100000), " ",IF(INDEX($Q$2:$U$1001,MATCH(ROWS($J$2:J319),$J$2:$J$1001,0),MATCH(COLUMNS($Q$1006:R1006),$Q$1006:$U$1006,0)), HYPERLINK("#",""), HYPERLINK(CONCATENATE("#Metadata!", ADDRESS(INDEX($L$2:$L$1001,MATCH(ROWS($J$2:J319),$J$2:$J$1001,0),0), INDEX($Q$1004:$U$1004,1,MATCH(COLUMNS($Q$1006:R1006),$Q$1006:$U$1006,0)))),"Fix")))</f>
        <v xml:space="preserve"> </v>
      </c>
      <c r="D319" s="3" t="str">
        <f ca="1">IF(OR(INDEX($K$2:$K$1001,MATCH(ROWS($J$2:J319),$J$2:$J$1001,0),1)&gt;=100000,INDEX($Q$1005:$U$1005,1,MATCH(COLUMNS($Q$1006:S1006),$Q$1006:$U$1006,0))&gt;=100000), " ",IF(INDEX($Q$2:$U$1001,MATCH(ROWS($J$2:J319),$J$2:$J$1001,0),MATCH(COLUMNS($Q$1006:S1006),$Q$1006:$U$1006,0)), HYPERLINK("#",""), HYPERLINK(CONCATENATE("#Metadata!", ADDRESS(INDEX($L$2:$L$1001,MATCH(ROWS($J$2:J319),$J$2:$J$1001,0),0), INDEX($Q$1004:$U$1004,1,MATCH(COLUMNS($Q$1006:S1006),$Q$1006:$U$1006,0)))),"Fix")))</f>
        <v xml:space="preserve"> </v>
      </c>
      <c r="E319" s="3" t="str">
        <f ca="1">IF(OR(INDEX($K$2:$K$1001,MATCH(ROWS($J$2:J319),$J$2:$J$1001,0),1)&gt;=100000,INDEX($Q$1005:$U$1005,1,MATCH(COLUMNS($Q$1006:T1006),$Q$1006:$U$1006,0))&gt;=100000), " ",IF(INDEX($Q$2:$U$1001,MATCH(ROWS($J$2:J319),$J$2:$J$1001,0),MATCH(COLUMNS($Q$1006:T1006),$Q$1006:$U$1006,0)), HYPERLINK("#",""), HYPERLINK(CONCATENATE("#Metadata!", ADDRESS(INDEX($L$2:$L$1001,MATCH(ROWS($J$2:J319),$J$2:$J$1001,0),0), INDEX($Q$1004:$U$1004,1,MATCH(COLUMNS($Q$1006:T1006),$Q$1006:$U$1006,0)))),"Fix")))</f>
        <v xml:space="preserve"> </v>
      </c>
      <c r="F319" s="3" t="str">
        <f ca="1">IF(OR(INDEX($K$2:$K$1001,MATCH(ROWS($J$2:J319),$J$2:$J$1001,0),1)&gt;=100000,INDEX($Q$1005:$U$1005,1,MATCH(COLUMNS($Q$1006:U1006),$Q$1006:$U$1006,0))&gt;=100000), " ",IF(INDEX($Q$2:$U$1001,MATCH(ROWS($J$2:J319),$J$2:$J$1001,0),MATCH(COLUMNS($Q$1006:U1006),$Q$1006:$U$1006,0)), HYPERLINK("#",""), HYPERLINK(CONCATENATE("#Metadata!", ADDRESS(INDEX($L$2:$L$1001,MATCH(ROWS($J$2:J319),$J$2:$J$1001,0),0), INDEX($Q$1004:$U$1004,1,MATCH(COLUMNS($Q$1006:U1006),$Q$1006:$U$1006,0)))),"Fix")))</f>
        <v xml:space="preserve"> </v>
      </c>
      <c r="J319">
        <f ca="1"/>
        <v>318</v>
      </c>
      <c r="K319">
        <v>100319</v>
      </c>
      <c r="L319">
        <v>319</v>
      </c>
      <c r="M319" t="b">
        <f t="shared" si="4"/>
        <v>1</v>
      </c>
      <c r="N319" t="b">
        <f>COUNTBLANK(Metadata!B319:F319)=COLUMNS(Metadata!B319:F319)</f>
        <v>1</v>
      </c>
      <c r="O319" t="str">
        <v/>
      </c>
      <c r="Q319" t="b">
        <f ca="1"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R319" t="b">
        <f>IF(Metadata!C319="",FALSE,TRUE)</f>
        <v>0</v>
      </c>
      <c r="S319" t="b">
        <f>OR(AND(IF(Metadata!D319="",FALSE,TRUE),EXACT(Metadata!D319,"missing: not collected")),AND(IF(Metadata!D319="",FALSE,TRUE),OR(EXACT(Metadata!D319,"t"),EXACT(Metadata!D319,"f"))))</f>
        <v>0</v>
      </c>
      <c r="T319" t="b">
        <f>AND(IF(Metadata!E319="",FALSE,TRUE),OR(EXACT(Metadata!E319,"a"),EXACT(Metadata!E319,"b")))</f>
        <v>0</v>
      </c>
      <c r="U319" t="b">
        <f>OR(AND(IF(Metadata!F319="",FALSE,TRUE),OR(EXACT(Metadata!F319,"missing: not collected"),EXACT(Metadata!F319,"missing: not provided"))),AND(IF(Metadata!F319="",FALSE,TRUE),OR(EXACT(Metadata!F319,"lo"),EXACT(Metadata!F319,"med"),EXACT(Metadata!F319,"hi"))))</f>
        <v>0</v>
      </c>
    </row>
    <row r="320" spans="1:21" x14ac:dyDescent="0.2">
      <c r="A320" s="4" t="str">
        <f ca="1">IF(B320=" "," ",HYPERLINK(CONCATENATE("#metadata!",ADDRESS(INDEX($L$2:$L$1001,MATCH(ROWS($J$2:J320),$J$2:$J$1001,0),0),1)),INDEX($O$2:$O$1001,MATCH(ROWS($J$2:J320),$J$2:$J$1001,0),0)))</f>
        <v xml:space="preserve"> </v>
      </c>
      <c r="B320" s="3" t="str">
        <f ca="1">IF(OR(INDEX($K$2:$K$1001,MATCH(ROWS($J$2:J320),$J$2:$J$1001,0),1)&gt;=100000,INDEX($Q$1005:$U$1005,1,MATCH(COLUMNS($Q$1006:Q1006),$Q$1006:$U$1006,0))&gt;=100000), " ",IF(INDEX($Q$2:$U$1001,MATCH(ROWS($J$2:J320),$J$2:$J$1001,0),MATCH(COLUMNS($Q$1006:Q1006),$Q$1006:$U$1006,0)), HYPERLINK("#",""), HYPERLINK(CONCATENATE("#Metadata!", ADDRESS(INDEX($L$2:$L$1001,MATCH(ROWS($J$2:J320),$J$2:$J$1001,0),0), INDEX($Q$1004:$U$1004,1,MATCH(COLUMNS($Q$1006:Q1006),$Q$1006:$U$1006,0)))),"Fix")))</f>
        <v xml:space="preserve"> </v>
      </c>
      <c r="C320" s="3" t="str">
        <f ca="1">IF(OR(INDEX($K$2:$K$1001,MATCH(ROWS($J$2:J320),$J$2:$J$1001,0),1)&gt;=100000,INDEX($Q$1005:$U$1005,1,MATCH(COLUMNS($Q$1006:R1006),$Q$1006:$U$1006,0))&gt;=100000), " ",IF(INDEX($Q$2:$U$1001,MATCH(ROWS($J$2:J320),$J$2:$J$1001,0),MATCH(COLUMNS($Q$1006:R1006),$Q$1006:$U$1006,0)), HYPERLINK("#",""), HYPERLINK(CONCATENATE("#Metadata!", ADDRESS(INDEX($L$2:$L$1001,MATCH(ROWS($J$2:J320),$J$2:$J$1001,0),0), INDEX($Q$1004:$U$1004,1,MATCH(COLUMNS($Q$1006:R1006),$Q$1006:$U$1006,0)))),"Fix")))</f>
        <v xml:space="preserve"> </v>
      </c>
      <c r="D320" s="3" t="str">
        <f ca="1">IF(OR(INDEX($K$2:$K$1001,MATCH(ROWS($J$2:J320),$J$2:$J$1001,0),1)&gt;=100000,INDEX($Q$1005:$U$1005,1,MATCH(COLUMNS($Q$1006:S1006),$Q$1006:$U$1006,0))&gt;=100000), " ",IF(INDEX($Q$2:$U$1001,MATCH(ROWS($J$2:J320),$J$2:$J$1001,0),MATCH(COLUMNS($Q$1006:S1006),$Q$1006:$U$1006,0)), HYPERLINK("#",""), HYPERLINK(CONCATENATE("#Metadata!", ADDRESS(INDEX($L$2:$L$1001,MATCH(ROWS($J$2:J320),$J$2:$J$1001,0),0), INDEX($Q$1004:$U$1004,1,MATCH(COLUMNS($Q$1006:S1006),$Q$1006:$U$1006,0)))),"Fix")))</f>
        <v xml:space="preserve"> </v>
      </c>
      <c r="E320" s="3" t="str">
        <f ca="1">IF(OR(INDEX($K$2:$K$1001,MATCH(ROWS($J$2:J320),$J$2:$J$1001,0),1)&gt;=100000,INDEX($Q$1005:$U$1005,1,MATCH(COLUMNS($Q$1006:T1006),$Q$1006:$U$1006,0))&gt;=100000), " ",IF(INDEX($Q$2:$U$1001,MATCH(ROWS($J$2:J320),$J$2:$J$1001,0),MATCH(COLUMNS($Q$1006:T1006),$Q$1006:$U$1006,0)), HYPERLINK("#",""), HYPERLINK(CONCATENATE("#Metadata!", ADDRESS(INDEX($L$2:$L$1001,MATCH(ROWS($J$2:J320),$J$2:$J$1001,0),0), INDEX($Q$1004:$U$1004,1,MATCH(COLUMNS($Q$1006:T1006),$Q$1006:$U$1006,0)))),"Fix")))</f>
        <v xml:space="preserve"> </v>
      </c>
      <c r="F320" s="3" t="str">
        <f ca="1">IF(OR(INDEX($K$2:$K$1001,MATCH(ROWS($J$2:J320),$J$2:$J$1001,0),1)&gt;=100000,INDEX($Q$1005:$U$1005,1,MATCH(COLUMNS($Q$1006:U1006),$Q$1006:$U$1006,0))&gt;=100000), " ",IF(INDEX($Q$2:$U$1001,MATCH(ROWS($J$2:J320),$J$2:$J$1001,0),MATCH(COLUMNS($Q$1006:U1006),$Q$1006:$U$1006,0)), HYPERLINK("#",""), HYPERLINK(CONCATENATE("#Metadata!", ADDRESS(INDEX($L$2:$L$1001,MATCH(ROWS($J$2:J320),$J$2:$J$1001,0),0), INDEX($Q$1004:$U$1004,1,MATCH(COLUMNS($Q$1006:U1006),$Q$1006:$U$1006,0)))),"Fix")))</f>
        <v xml:space="preserve"> </v>
      </c>
      <c r="J320">
        <f ca="1"/>
        <v>319</v>
      </c>
      <c r="K320">
        <v>100320</v>
      </c>
      <c r="L320">
        <v>320</v>
      </c>
      <c r="M320" t="b">
        <f t="shared" si="4"/>
        <v>1</v>
      </c>
      <c r="N320" t="b">
        <f>COUNTBLANK(Metadata!B320:F320)=COLUMNS(Metadata!B320:F320)</f>
        <v>1</v>
      </c>
      <c r="O320" t="str">
        <v/>
      </c>
      <c r="Q320" t="b">
        <f ca="1"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R320" t="b">
        <f>IF(Metadata!C320="",FALSE,TRUE)</f>
        <v>0</v>
      </c>
      <c r="S320" t="b">
        <f>OR(AND(IF(Metadata!D320="",FALSE,TRUE),EXACT(Metadata!D320,"missing: not collected")),AND(IF(Metadata!D320="",FALSE,TRUE),OR(EXACT(Metadata!D320,"t"),EXACT(Metadata!D320,"f"))))</f>
        <v>0</v>
      </c>
      <c r="T320" t="b">
        <f>AND(IF(Metadata!E320="",FALSE,TRUE),OR(EXACT(Metadata!E320,"a"),EXACT(Metadata!E320,"b")))</f>
        <v>0</v>
      </c>
      <c r="U320" t="b">
        <f>OR(AND(IF(Metadata!F320="",FALSE,TRUE),OR(EXACT(Metadata!F320,"missing: not collected"),EXACT(Metadata!F320,"missing: not provided"))),AND(IF(Metadata!F320="",FALSE,TRUE),OR(EXACT(Metadata!F320,"lo"),EXACT(Metadata!F320,"med"),EXACT(Metadata!F320,"hi"))))</f>
        <v>0</v>
      </c>
    </row>
    <row r="321" spans="1:21" x14ac:dyDescent="0.2">
      <c r="A321" s="4" t="str">
        <f ca="1">IF(B321=" "," ",HYPERLINK(CONCATENATE("#metadata!",ADDRESS(INDEX($L$2:$L$1001,MATCH(ROWS($J$2:J321),$J$2:$J$1001,0),0),1)),INDEX($O$2:$O$1001,MATCH(ROWS($J$2:J321),$J$2:$J$1001,0),0)))</f>
        <v xml:space="preserve"> </v>
      </c>
      <c r="B321" s="3" t="str">
        <f ca="1">IF(OR(INDEX($K$2:$K$1001,MATCH(ROWS($J$2:J321),$J$2:$J$1001,0),1)&gt;=100000,INDEX($Q$1005:$U$1005,1,MATCH(COLUMNS($Q$1006:Q1006),$Q$1006:$U$1006,0))&gt;=100000), " ",IF(INDEX($Q$2:$U$1001,MATCH(ROWS($J$2:J321),$J$2:$J$1001,0),MATCH(COLUMNS($Q$1006:Q1006),$Q$1006:$U$1006,0)), HYPERLINK("#",""), HYPERLINK(CONCATENATE("#Metadata!", ADDRESS(INDEX($L$2:$L$1001,MATCH(ROWS($J$2:J321),$J$2:$J$1001,0),0), INDEX($Q$1004:$U$1004,1,MATCH(COLUMNS($Q$1006:Q1006),$Q$1006:$U$1006,0)))),"Fix")))</f>
        <v xml:space="preserve"> </v>
      </c>
      <c r="C321" s="3" t="str">
        <f ca="1">IF(OR(INDEX($K$2:$K$1001,MATCH(ROWS($J$2:J321),$J$2:$J$1001,0),1)&gt;=100000,INDEX($Q$1005:$U$1005,1,MATCH(COLUMNS($Q$1006:R1006),$Q$1006:$U$1006,0))&gt;=100000), " ",IF(INDEX($Q$2:$U$1001,MATCH(ROWS($J$2:J321),$J$2:$J$1001,0),MATCH(COLUMNS($Q$1006:R1006),$Q$1006:$U$1006,0)), HYPERLINK("#",""), HYPERLINK(CONCATENATE("#Metadata!", ADDRESS(INDEX($L$2:$L$1001,MATCH(ROWS($J$2:J321),$J$2:$J$1001,0),0), INDEX($Q$1004:$U$1004,1,MATCH(COLUMNS($Q$1006:R1006),$Q$1006:$U$1006,0)))),"Fix")))</f>
        <v xml:space="preserve"> </v>
      </c>
      <c r="D321" s="3" t="str">
        <f ca="1">IF(OR(INDEX($K$2:$K$1001,MATCH(ROWS($J$2:J321),$J$2:$J$1001,0),1)&gt;=100000,INDEX($Q$1005:$U$1005,1,MATCH(COLUMNS($Q$1006:S1006),$Q$1006:$U$1006,0))&gt;=100000), " ",IF(INDEX($Q$2:$U$1001,MATCH(ROWS($J$2:J321),$J$2:$J$1001,0),MATCH(COLUMNS($Q$1006:S1006),$Q$1006:$U$1006,0)), HYPERLINK("#",""), HYPERLINK(CONCATENATE("#Metadata!", ADDRESS(INDEX($L$2:$L$1001,MATCH(ROWS($J$2:J321),$J$2:$J$1001,0),0), INDEX($Q$1004:$U$1004,1,MATCH(COLUMNS($Q$1006:S1006),$Q$1006:$U$1006,0)))),"Fix")))</f>
        <v xml:space="preserve"> </v>
      </c>
      <c r="E321" s="3" t="str">
        <f ca="1">IF(OR(INDEX($K$2:$K$1001,MATCH(ROWS($J$2:J321),$J$2:$J$1001,0),1)&gt;=100000,INDEX($Q$1005:$U$1005,1,MATCH(COLUMNS($Q$1006:T1006),$Q$1006:$U$1006,0))&gt;=100000), " ",IF(INDEX($Q$2:$U$1001,MATCH(ROWS($J$2:J321),$J$2:$J$1001,0),MATCH(COLUMNS($Q$1006:T1006),$Q$1006:$U$1006,0)), HYPERLINK("#",""), HYPERLINK(CONCATENATE("#Metadata!", ADDRESS(INDEX($L$2:$L$1001,MATCH(ROWS($J$2:J321),$J$2:$J$1001,0),0), INDEX($Q$1004:$U$1004,1,MATCH(COLUMNS($Q$1006:T1006),$Q$1006:$U$1006,0)))),"Fix")))</f>
        <v xml:space="preserve"> </v>
      </c>
      <c r="F321" s="3" t="str">
        <f ca="1">IF(OR(INDEX($K$2:$K$1001,MATCH(ROWS($J$2:J321),$J$2:$J$1001,0),1)&gt;=100000,INDEX($Q$1005:$U$1005,1,MATCH(COLUMNS($Q$1006:U1006),$Q$1006:$U$1006,0))&gt;=100000), " ",IF(INDEX($Q$2:$U$1001,MATCH(ROWS($J$2:J321),$J$2:$J$1001,0),MATCH(COLUMNS($Q$1006:U1006),$Q$1006:$U$1006,0)), HYPERLINK("#",""), HYPERLINK(CONCATENATE("#Metadata!", ADDRESS(INDEX($L$2:$L$1001,MATCH(ROWS($J$2:J321),$J$2:$J$1001,0),0), INDEX($Q$1004:$U$1004,1,MATCH(COLUMNS($Q$1006:U1006),$Q$1006:$U$1006,0)))),"Fix")))</f>
        <v xml:space="preserve"> </v>
      </c>
      <c r="J321">
        <f ca="1"/>
        <v>320</v>
      </c>
      <c r="K321">
        <v>100321</v>
      </c>
      <c r="L321">
        <v>321</v>
      </c>
      <c r="M321" t="b">
        <f t="shared" si="4"/>
        <v>1</v>
      </c>
      <c r="N321" t="b">
        <f>COUNTBLANK(Metadata!B321:F321)=COLUMNS(Metadata!B321:F321)</f>
        <v>1</v>
      </c>
      <c r="O321" t="str">
        <v/>
      </c>
      <c r="Q321" t="b">
        <f ca="1"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R321" t="b">
        <f>IF(Metadata!C321="",FALSE,TRUE)</f>
        <v>0</v>
      </c>
      <c r="S321" t="b">
        <f>OR(AND(IF(Metadata!D321="",FALSE,TRUE),EXACT(Metadata!D321,"missing: not collected")),AND(IF(Metadata!D321="",FALSE,TRUE),OR(EXACT(Metadata!D321,"t"),EXACT(Metadata!D321,"f"))))</f>
        <v>0</v>
      </c>
      <c r="T321" t="b">
        <f>AND(IF(Metadata!E321="",FALSE,TRUE),OR(EXACT(Metadata!E321,"a"),EXACT(Metadata!E321,"b")))</f>
        <v>0</v>
      </c>
      <c r="U321" t="b">
        <f>OR(AND(IF(Metadata!F321="",FALSE,TRUE),OR(EXACT(Metadata!F321,"missing: not collected"),EXACT(Metadata!F321,"missing: not provided"))),AND(IF(Metadata!F321="",FALSE,TRUE),OR(EXACT(Metadata!F321,"lo"),EXACT(Metadata!F321,"med"),EXACT(Metadata!F321,"hi"))))</f>
        <v>0</v>
      </c>
    </row>
    <row r="322" spans="1:21" x14ac:dyDescent="0.2">
      <c r="A322" s="4" t="str">
        <f ca="1">IF(B322=" "," ",HYPERLINK(CONCATENATE("#metadata!",ADDRESS(INDEX($L$2:$L$1001,MATCH(ROWS($J$2:J322),$J$2:$J$1001,0),0),1)),INDEX($O$2:$O$1001,MATCH(ROWS($J$2:J322),$J$2:$J$1001,0),0)))</f>
        <v xml:space="preserve"> </v>
      </c>
      <c r="B322" s="3" t="str">
        <f ca="1">IF(OR(INDEX($K$2:$K$1001,MATCH(ROWS($J$2:J322),$J$2:$J$1001,0),1)&gt;=100000,INDEX($Q$1005:$U$1005,1,MATCH(COLUMNS($Q$1006:Q1006),$Q$1006:$U$1006,0))&gt;=100000), " ",IF(INDEX($Q$2:$U$1001,MATCH(ROWS($J$2:J322),$J$2:$J$1001,0),MATCH(COLUMNS($Q$1006:Q1006),$Q$1006:$U$1006,0)), HYPERLINK("#",""), HYPERLINK(CONCATENATE("#Metadata!", ADDRESS(INDEX($L$2:$L$1001,MATCH(ROWS($J$2:J322),$J$2:$J$1001,0),0), INDEX($Q$1004:$U$1004,1,MATCH(COLUMNS($Q$1006:Q1006),$Q$1006:$U$1006,0)))),"Fix")))</f>
        <v xml:space="preserve"> </v>
      </c>
      <c r="C322" s="3" t="str">
        <f ca="1">IF(OR(INDEX($K$2:$K$1001,MATCH(ROWS($J$2:J322),$J$2:$J$1001,0),1)&gt;=100000,INDEX($Q$1005:$U$1005,1,MATCH(COLUMNS($Q$1006:R1006),$Q$1006:$U$1006,0))&gt;=100000), " ",IF(INDEX($Q$2:$U$1001,MATCH(ROWS($J$2:J322),$J$2:$J$1001,0),MATCH(COLUMNS($Q$1006:R1006),$Q$1006:$U$1006,0)), HYPERLINK("#",""), HYPERLINK(CONCATENATE("#Metadata!", ADDRESS(INDEX($L$2:$L$1001,MATCH(ROWS($J$2:J322),$J$2:$J$1001,0),0), INDEX($Q$1004:$U$1004,1,MATCH(COLUMNS($Q$1006:R1006),$Q$1006:$U$1006,0)))),"Fix")))</f>
        <v xml:space="preserve"> </v>
      </c>
      <c r="D322" s="3" t="str">
        <f ca="1">IF(OR(INDEX($K$2:$K$1001,MATCH(ROWS($J$2:J322),$J$2:$J$1001,0),1)&gt;=100000,INDEX($Q$1005:$U$1005,1,MATCH(COLUMNS($Q$1006:S1006),$Q$1006:$U$1006,0))&gt;=100000), " ",IF(INDEX($Q$2:$U$1001,MATCH(ROWS($J$2:J322),$J$2:$J$1001,0),MATCH(COLUMNS($Q$1006:S1006),$Q$1006:$U$1006,0)), HYPERLINK("#",""), HYPERLINK(CONCATENATE("#Metadata!", ADDRESS(INDEX($L$2:$L$1001,MATCH(ROWS($J$2:J322),$J$2:$J$1001,0),0), INDEX($Q$1004:$U$1004,1,MATCH(COLUMNS($Q$1006:S1006),$Q$1006:$U$1006,0)))),"Fix")))</f>
        <v xml:space="preserve"> </v>
      </c>
      <c r="E322" s="3" t="str">
        <f ca="1">IF(OR(INDEX($K$2:$K$1001,MATCH(ROWS($J$2:J322),$J$2:$J$1001,0),1)&gt;=100000,INDEX($Q$1005:$U$1005,1,MATCH(COLUMNS($Q$1006:T1006),$Q$1006:$U$1006,0))&gt;=100000), " ",IF(INDEX($Q$2:$U$1001,MATCH(ROWS($J$2:J322),$J$2:$J$1001,0),MATCH(COLUMNS($Q$1006:T1006),$Q$1006:$U$1006,0)), HYPERLINK("#",""), HYPERLINK(CONCATENATE("#Metadata!", ADDRESS(INDEX($L$2:$L$1001,MATCH(ROWS($J$2:J322),$J$2:$J$1001,0),0), INDEX($Q$1004:$U$1004,1,MATCH(COLUMNS($Q$1006:T1006),$Q$1006:$U$1006,0)))),"Fix")))</f>
        <v xml:space="preserve"> </v>
      </c>
      <c r="F322" s="3" t="str">
        <f ca="1">IF(OR(INDEX($K$2:$K$1001,MATCH(ROWS($J$2:J322),$J$2:$J$1001,0),1)&gt;=100000,INDEX($Q$1005:$U$1005,1,MATCH(COLUMNS($Q$1006:U1006),$Q$1006:$U$1006,0))&gt;=100000), " ",IF(INDEX($Q$2:$U$1001,MATCH(ROWS($J$2:J322),$J$2:$J$1001,0),MATCH(COLUMNS($Q$1006:U1006),$Q$1006:$U$1006,0)), HYPERLINK("#",""), HYPERLINK(CONCATENATE("#Metadata!", ADDRESS(INDEX($L$2:$L$1001,MATCH(ROWS($J$2:J322),$J$2:$J$1001,0),0), INDEX($Q$1004:$U$1004,1,MATCH(COLUMNS($Q$1006:U1006),$Q$1006:$U$1006,0)))),"Fix")))</f>
        <v xml:space="preserve"> </v>
      </c>
      <c r="J322">
        <f ca="1"/>
        <v>321</v>
      </c>
      <c r="K322">
        <v>100322</v>
      </c>
      <c r="L322">
        <v>322</v>
      </c>
      <c r="M322" t="b">
        <f t="shared" ref="M322:M385" si="5">IF(N322,TRUE,AND(Q322:U322))</f>
        <v>1</v>
      </c>
      <c r="N322" t="b">
        <f>COUNTBLANK(Metadata!B322:F322)=COLUMNS(Metadata!B322:F322)</f>
        <v>1</v>
      </c>
      <c r="O322" t="str">
        <v/>
      </c>
      <c r="Q322" t="b">
        <f ca="1"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R322" t="b">
        <f>IF(Metadata!C322="",FALSE,TRUE)</f>
        <v>0</v>
      </c>
      <c r="S322" t="b">
        <f>OR(AND(IF(Metadata!D322="",FALSE,TRUE),EXACT(Metadata!D322,"missing: not collected")),AND(IF(Metadata!D322="",FALSE,TRUE),OR(EXACT(Metadata!D322,"t"),EXACT(Metadata!D322,"f"))))</f>
        <v>0</v>
      </c>
      <c r="T322" t="b">
        <f>AND(IF(Metadata!E322="",FALSE,TRUE),OR(EXACT(Metadata!E322,"a"),EXACT(Metadata!E322,"b")))</f>
        <v>0</v>
      </c>
      <c r="U322" t="b">
        <f>OR(AND(IF(Metadata!F322="",FALSE,TRUE),OR(EXACT(Metadata!F322,"missing: not collected"),EXACT(Metadata!F322,"missing: not provided"))),AND(IF(Metadata!F322="",FALSE,TRUE),OR(EXACT(Metadata!F322,"lo"),EXACT(Metadata!F322,"med"),EXACT(Metadata!F322,"hi"))))</f>
        <v>0</v>
      </c>
    </row>
    <row r="323" spans="1:21" x14ac:dyDescent="0.2">
      <c r="A323" s="4" t="str">
        <f ca="1">IF(B323=" "," ",HYPERLINK(CONCATENATE("#metadata!",ADDRESS(INDEX($L$2:$L$1001,MATCH(ROWS($J$2:J323),$J$2:$J$1001,0),0),1)),INDEX($O$2:$O$1001,MATCH(ROWS($J$2:J323),$J$2:$J$1001,0),0)))</f>
        <v xml:space="preserve"> </v>
      </c>
      <c r="B323" s="3" t="str">
        <f ca="1">IF(OR(INDEX($K$2:$K$1001,MATCH(ROWS($J$2:J323),$J$2:$J$1001,0),1)&gt;=100000,INDEX($Q$1005:$U$1005,1,MATCH(COLUMNS($Q$1006:Q1006),$Q$1006:$U$1006,0))&gt;=100000), " ",IF(INDEX($Q$2:$U$1001,MATCH(ROWS($J$2:J323),$J$2:$J$1001,0),MATCH(COLUMNS($Q$1006:Q1006),$Q$1006:$U$1006,0)), HYPERLINK("#",""), HYPERLINK(CONCATENATE("#Metadata!", ADDRESS(INDEX($L$2:$L$1001,MATCH(ROWS($J$2:J323),$J$2:$J$1001,0),0), INDEX($Q$1004:$U$1004,1,MATCH(COLUMNS($Q$1006:Q1006),$Q$1006:$U$1006,0)))),"Fix")))</f>
        <v xml:space="preserve"> </v>
      </c>
      <c r="C323" s="3" t="str">
        <f ca="1">IF(OR(INDEX($K$2:$K$1001,MATCH(ROWS($J$2:J323),$J$2:$J$1001,0),1)&gt;=100000,INDEX($Q$1005:$U$1005,1,MATCH(COLUMNS($Q$1006:R1006),$Q$1006:$U$1006,0))&gt;=100000), " ",IF(INDEX($Q$2:$U$1001,MATCH(ROWS($J$2:J323),$J$2:$J$1001,0),MATCH(COLUMNS($Q$1006:R1006),$Q$1006:$U$1006,0)), HYPERLINK("#",""), HYPERLINK(CONCATENATE("#Metadata!", ADDRESS(INDEX($L$2:$L$1001,MATCH(ROWS($J$2:J323),$J$2:$J$1001,0),0), INDEX($Q$1004:$U$1004,1,MATCH(COLUMNS($Q$1006:R1006),$Q$1006:$U$1006,0)))),"Fix")))</f>
        <v xml:space="preserve"> </v>
      </c>
      <c r="D323" s="3" t="str">
        <f ca="1">IF(OR(INDEX($K$2:$K$1001,MATCH(ROWS($J$2:J323),$J$2:$J$1001,0),1)&gt;=100000,INDEX($Q$1005:$U$1005,1,MATCH(COLUMNS($Q$1006:S1006),$Q$1006:$U$1006,0))&gt;=100000), " ",IF(INDEX($Q$2:$U$1001,MATCH(ROWS($J$2:J323),$J$2:$J$1001,0),MATCH(COLUMNS($Q$1006:S1006),$Q$1006:$U$1006,0)), HYPERLINK("#",""), HYPERLINK(CONCATENATE("#Metadata!", ADDRESS(INDEX($L$2:$L$1001,MATCH(ROWS($J$2:J323),$J$2:$J$1001,0),0), INDEX($Q$1004:$U$1004,1,MATCH(COLUMNS($Q$1006:S1006),$Q$1006:$U$1006,0)))),"Fix")))</f>
        <v xml:space="preserve"> </v>
      </c>
      <c r="E323" s="3" t="str">
        <f ca="1">IF(OR(INDEX($K$2:$K$1001,MATCH(ROWS($J$2:J323),$J$2:$J$1001,0),1)&gt;=100000,INDEX($Q$1005:$U$1005,1,MATCH(COLUMNS($Q$1006:T1006),$Q$1006:$U$1006,0))&gt;=100000), " ",IF(INDEX($Q$2:$U$1001,MATCH(ROWS($J$2:J323),$J$2:$J$1001,0),MATCH(COLUMNS($Q$1006:T1006),$Q$1006:$U$1006,0)), HYPERLINK("#",""), HYPERLINK(CONCATENATE("#Metadata!", ADDRESS(INDEX($L$2:$L$1001,MATCH(ROWS($J$2:J323),$J$2:$J$1001,0),0), INDEX($Q$1004:$U$1004,1,MATCH(COLUMNS($Q$1006:T1006),$Q$1006:$U$1006,0)))),"Fix")))</f>
        <v xml:space="preserve"> </v>
      </c>
      <c r="F323" s="3" t="str">
        <f ca="1">IF(OR(INDEX($K$2:$K$1001,MATCH(ROWS($J$2:J323),$J$2:$J$1001,0),1)&gt;=100000,INDEX($Q$1005:$U$1005,1,MATCH(COLUMNS($Q$1006:U1006),$Q$1006:$U$1006,0))&gt;=100000), " ",IF(INDEX($Q$2:$U$1001,MATCH(ROWS($J$2:J323),$J$2:$J$1001,0),MATCH(COLUMNS($Q$1006:U1006),$Q$1006:$U$1006,0)), HYPERLINK("#",""), HYPERLINK(CONCATENATE("#Metadata!", ADDRESS(INDEX($L$2:$L$1001,MATCH(ROWS($J$2:J323),$J$2:$J$1001,0),0), INDEX($Q$1004:$U$1004,1,MATCH(COLUMNS($Q$1006:U1006),$Q$1006:$U$1006,0)))),"Fix")))</f>
        <v xml:space="preserve"> </v>
      </c>
      <c r="J323">
        <f ca="1"/>
        <v>322</v>
      </c>
      <c r="K323">
        <v>100323</v>
      </c>
      <c r="L323">
        <v>323</v>
      </c>
      <c r="M323" t="b">
        <f t="shared" si="5"/>
        <v>1</v>
      </c>
      <c r="N323" t="b">
        <f>COUNTBLANK(Metadata!B323:F323)=COLUMNS(Metadata!B323:F323)</f>
        <v>1</v>
      </c>
      <c r="O323" t="str">
        <v/>
      </c>
      <c r="Q323" t="b">
        <f ca="1"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R323" t="b">
        <f>IF(Metadata!C323="",FALSE,TRUE)</f>
        <v>0</v>
      </c>
      <c r="S323" t="b">
        <f>OR(AND(IF(Metadata!D323="",FALSE,TRUE),EXACT(Metadata!D323,"missing: not collected")),AND(IF(Metadata!D323="",FALSE,TRUE),OR(EXACT(Metadata!D323,"t"),EXACT(Metadata!D323,"f"))))</f>
        <v>0</v>
      </c>
      <c r="T323" t="b">
        <f>AND(IF(Metadata!E323="",FALSE,TRUE),OR(EXACT(Metadata!E323,"a"),EXACT(Metadata!E323,"b")))</f>
        <v>0</v>
      </c>
      <c r="U323" t="b">
        <f>OR(AND(IF(Metadata!F323="",FALSE,TRUE),OR(EXACT(Metadata!F323,"missing: not collected"),EXACT(Metadata!F323,"missing: not provided"))),AND(IF(Metadata!F323="",FALSE,TRUE),OR(EXACT(Metadata!F323,"lo"),EXACT(Metadata!F323,"med"),EXACT(Metadata!F323,"hi"))))</f>
        <v>0</v>
      </c>
    </row>
    <row r="324" spans="1:21" x14ac:dyDescent="0.2">
      <c r="A324" s="4" t="str">
        <f ca="1">IF(B324=" "," ",HYPERLINK(CONCATENATE("#metadata!",ADDRESS(INDEX($L$2:$L$1001,MATCH(ROWS($J$2:J324),$J$2:$J$1001,0),0),1)),INDEX($O$2:$O$1001,MATCH(ROWS($J$2:J324),$J$2:$J$1001,0),0)))</f>
        <v xml:space="preserve"> </v>
      </c>
      <c r="B324" s="3" t="str">
        <f ca="1">IF(OR(INDEX($K$2:$K$1001,MATCH(ROWS($J$2:J324),$J$2:$J$1001,0),1)&gt;=100000,INDEX($Q$1005:$U$1005,1,MATCH(COLUMNS($Q$1006:Q1006),$Q$1006:$U$1006,0))&gt;=100000), " ",IF(INDEX($Q$2:$U$1001,MATCH(ROWS($J$2:J324),$J$2:$J$1001,0),MATCH(COLUMNS($Q$1006:Q1006),$Q$1006:$U$1006,0)), HYPERLINK("#",""), HYPERLINK(CONCATENATE("#Metadata!", ADDRESS(INDEX($L$2:$L$1001,MATCH(ROWS($J$2:J324),$J$2:$J$1001,0),0), INDEX($Q$1004:$U$1004,1,MATCH(COLUMNS($Q$1006:Q1006),$Q$1006:$U$1006,0)))),"Fix")))</f>
        <v xml:space="preserve"> </v>
      </c>
      <c r="C324" s="3" t="str">
        <f ca="1">IF(OR(INDEX($K$2:$K$1001,MATCH(ROWS($J$2:J324),$J$2:$J$1001,0),1)&gt;=100000,INDEX($Q$1005:$U$1005,1,MATCH(COLUMNS($Q$1006:R1006),$Q$1006:$U$1006,0))&gt;=100000), " ",IF(INDEX($Q$2:$U$1001,MATCH(ROWS($J$2:J324),$J$2:$J$1001,0),MATCH(COLUMNS($Q$1006:R1006),$Q$1006:$U$1006,0)), HYPERLINK("#",""), HYPERLINK(CONCATENATE("#Metadata!", ADDRESS(INDEX($L$2:$L$1001,MATCH(ROWS($J$2:J324),$J$2:$J$1001,0),0), INDEX($Q$1004:$U$1004,1,MATCH(COLUMNS($Q$1006:R1006),$Q$1006:$U$1006,0)))),"Fix")))</f>
        <v xml:space="preserve"> </v>
      </c>
      <c r="D324" s="3" t="str">
        <f ca="1">IF(OR(INDEX($K$2:$K$1001,MATCH(ROWS($J$2:J324),$J$2:$J$1001,0),1)&gt;=100000,INDEX($Q$1005:$U$1005,1,MATCH(COLUMNS($Q$1006:S1006),$Q$1006:$U$1006,0))&gt;=100000), " ",IF(INDEX($Q$2:$U$1001,MATCH(ROWS($J$2:J324),$J$2:$J$1001,0),MATCH(COLUMNS($Q$1006:S1006),$Q$1006:$U$1006,0)), HYPERLINK("#",""), HYPERLINK(CONCATENATE("#Metadata!", ADDRESS(INDEX($L$2:$L$1001,MATCH(ROWS($J$2:J324),$J$2:$J$1001,0),0), INDEX($Q$1004:$U$1004,1,MATCH(COLUMNS($Q$1006:S1006),$Q$1006:$U$1006,0)))),"Fix")))</f>
        <v xml:space="preserve"> </v>
      </c>
      <c r="E324" s="3" t="str">
        <f ca="1">IF(OR(INDEX($K$2:$K$1001,MATCH(ROWS($J$2:J324),$J$2:$J$1001,0),1)&gt;=100000,INDEX($Q$1005:$U$1005,1,MATCH(COLUMNS($Q$1006:T1006),$Q$1006:$U$1006,0))&gt;=100000), " ",IF(INDEX($Q$2:$U$1001,MATCH(ROWS($J$2:J324),$J$2:$J$1001,0),MATCH(COLUMNS($Q$1006:T1006),$Q$1006:$U$1006,0)), HYPERLINK("#",""), HYPERLINK(CONCATENATE("#Metadata!", ADDRESS(INDEX($L$2:$L$1001,MATCH(ROWS($J$2:J324),$J$2:$J$1001,0),0), INDEX($Q$1004:$U$1004,1,MATCH(COLUMNS($Q$1006:T1006),$Q$1006:$U$1006,0)))),"Fix")))</f>
        <v xml:space="preserve"> </v>
      </c>
      <c r="F324" s="3" t="str">
        <f ca="1">IF(OR(INDEX($K$2:$K$1001,MATCH(ROWS($J$2:J324),$J$2:$J$1001,0),1)&gt;=100000,INDEX($Q$1005:$U$1005,1,MATCH(COLUMNS($Q$1006:U1006),$Q$1006:$U$1006,0))&gt;=100000), " ",IF(INDEX($Q$2:$U$1001,MATCH(ROWS($J$2:J324),$J$2:$J$1001,0),MATCH(COLUMNS($Q$1006:U1006),$Q$1006:$U$1006,0)), HYPERLINK("#",""), HYPERLINK(CONCATENATE("#Metadata!", ADDRESS(INDEX($L$2:$L$1001,MATCH(ROWS($J$2:J324),$J$2:$J$1001,0),0), INDEX($Q$1004:$U$1004,1,MATCH(COLUMNS($Q$1006:U1006),$Q$1006:$U$1006,0)))),"Fix")))</f>
        <v xml:space="preserve"> </v>
      </c>
      <c r="J324">
        <f ca="1"/>
        <v>323</v>
      </c>
      <c r="K324">
        <v>100324</v>
      </c>
      <c r="L324">
        <v>324</v>
      </c>
      <c r="M324" t="b">
        <f t="shared" si="5"/>
        <v>1</v>
      </c>
      <c r="N324" t="b">
        <f>COUNTBLANK(Metadata!B324:F324)=COLUMNS(Metadata!B324:F324)</f>
        <v>1</v>
      </c>
      <c r="O324" t="str">
        <v/>
      </c>
      <c r="Q324" t="b">
        <f ca="1"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R324" t="b">
        <f>IF(Metadata!C324="",FALSE,TRUE)</f>
        <v>0</v>
      </c>
      <c r="S324" t="b">
        <f>OR(AND(IF(Metadata!D324="",FALSE,TRUE),EXACT(Metadata!D324,"missing: not collected")),AND(IF(Metadata!D324="",FALSE,TRUE),OR(EXACT(Metadata!D324,"t"),EXACT(Metadata!D324,"f"))))</f>
        <v>0</v>
      </c>
      <c r="T324" t="b">
        <f>AND(IF(Metadata!E324="",FALSE,TRUE),OR(EXACT(Metadata!E324,"a"),EXACT(Metadata!E324,"b")))</f>
        <v>0</v>
      </c>
      <c r="U324" t="b">
        <f>OR(AND(IF(Metadata!F324="",FALSE,TRUE),OR(EXACT(Metadata!F324,"missing: not collected"),EXACT(Metadata!F324,"missing: not provided"))),AND(IF(Metadata!F324="",FALSE,TRUE),OR(EXACT(Metadata!F324,"lo"),EXACT(Metadata!F324,"med"),EXACT(Metadata!F324,"hi"))))</f>
        <v>0</v>
      </c>
    </row>
    <row r="325" spans="1:21" x14ac:dyDescent="0.2">
      <c r="A325" s="4" t="str">
        <f ca="1">IF(B325=" "," ",HYPERLINK(CONCATENATE("#metadata!",ADDRESS(INDEX($L$2:$L$1001,MATCH(ROWS($J$2:J325),$J$2:$J$1001,0),0),1)),INDEX($O$2:$O$1001,MATCH(ROWS($J$2:J325),$J$2:$J$1001,0),0)))</f>
        <v xml:space="preserve"> </v>
      </c>
      <c r="B325" s="3" t="str">
        <f ca="1">IF(OR(INDEX($K$2:$K$1001,MATCH(ROWS($J$2:J325),$J$2:$J$1001,0),1)&gt;=100000,INDEX($Q$1005:$U$1005,1,MATCH(COLUMNS($Q$1006:Q1006),$Q$1006:$U$1006,0))&gt;=100000), " ",IF(INDEX($Q$2:$U$1001,MATCH(ROWS($J$2:J325),$J$2:$J$1001,0),MATCH(COLUMNS($Q$1006:Q1006),$Q$1006:$U$1006,0)), HYPERLINK("#",""), HYPERLINK(CONCATENATE("#Metadata!", ADDRESS(INDEX($L$2:$L$1001,MATCH(ROWS($J$2:J325),$J$2:$J$1001,0),0), INDEX($Q$1004:$U$1004,1,MATCH(COLUMNS($Q$1006:Q1006),$Q$1006:$U$1006,0)))),"Fix")))</f>
        <v xml:space="preserve"> </v>
      </c>
      <c r="C325" s="3" t="str">
        <f ca="1">IF(OR(INDEX($K$2:$K$1001,MATCH(ROWS($J$2:J325),$J$2:$J$1001,0),1)&gt;=100000,INDEX($Q$1005:$U$1005,1,MATCH(COLUMNS($Q$1006:R1006),$Q$1006:$U$1006,0))&gt;=100000), " ",IF(INDEX($Q$2:$U$1001,MATCH(ROWS($J$2:J325),$J$2:$J$1001,0),MATCH(COLUMNS($Q$1006:R1006),$Q$1006:$U$1006,0)), HYPERLINK("#",""), HYPERLINK(CONCATENATE("#Metadata!", ADDRESS(INDEX($L$2:$L$1001,MATCH(ROWS($J$2:J325),$J$2:$J$1001,0),0), INDEX($Q$1004:$U$1004,1,MATCH(COLUMNS($Q$1006:R1006),$Q$1006:$U$1006,0)))),"Fix")))</f>
        <v xml:space="preserve"> </v>
      </c>
      <c r="D325" s="3" t="str">
        <f ca="1">IF(OR(INDEX($K$2:$K$1001,MATCH(ROWS($J$2:J325),$J$2:$J$1001,0),1)&gt;=100000,INDEX($Q$1005:$U$1005,1,MATCH(COLUMNS($Q$1006:S1006),$Q$1006:$U$1006,0))&gt;=100000), " ",IF(INDEX($Q$2:$U$1001,MATCH(ROWS($J$2:J325),$J$2:$J$1001,0),MATCH(COLUMNS($Q$1006:S1006),$Q$1006:$U$1006,0)), HYPERLINK("#",""), HYPERLINK(CONCATENATE("#Metadata!", ADDRESS(INDEX($L$2:$L$1001,MATCH(ROWS($J$2:J325),$J$2:$J$1001,0),0), INDEX($Q$1004:$U$1004,1,MATCH(COLUMNS($Q$1006:S1006),$Q$1006:$U$1006,0)))),"Fix")))</f>
        <v xml:space="preserve"> </v>
      </c>
      <c r="E325" s="3" t="str">
        <f ca="1">IF(OR(INDEX($K$2:$K$1001,MATCH(ROWS($J$2:J325),$J$2:$J$1001,0),1)&gt;=100000,INDEX($Q$1005:$U$1005,1,MATCH(COLUMNS($Q$1006:T1006),$Q$1006:$U$1006,0))&gt;=100000), " ",IF(INDEX($Q$2:$U$1001,MATCH(ROWS($J$2:J325),$J$2:$J$1001,0),MATCH(COLUMNS($Q$1006:T1006),$Q$1006:$U$1006,0)), HYPERLINK("#",""), HYPERLINK(CONCATENATE("#Metadata!", ADDRESS(INDEX($L$2:$L$1001,MATCH(ROWS($J$2:J325),$J$2:$J$1001,0),0), INDEX($Q$1004:$U$1004,1,MATCH(COLUMNS($Q$1006:T1006),$Q$1006:$U$1006,0)))),"Fix")))</f>
        <v xml:space="preserve"> </v>
      </c>
      <c r="F325" s="3" t="str">
        <f ca="1">IF(OR(INDEX($K$2:$K$1001,MATCH(ROWS($J$2:J325),$J$2:$J$1001,0),1)&gt;=100000,INDEX($Q$1005:$U$1005,1,MATCH(COLUMNS($Q$1006:U1006),$Q$1006:$U$1006,0))&gt;=100000), " ",IF(INDEX($Q$2:$U$1001,MATCH(ROWS($J$2:J325),$J$2:$J$1001,0),MATCH(COLUMNS($Q$1006:U1006),$Q$1006:$U$1006,0)), HYPERLINK("#",""), HYPERLINK(CONCATENATE("#Metadata!", ADDRESS(INDEX($L$2:$L$1001,MATCH(ROWS($J$2:J325),$J$2:$J$1001,0),0), INDEX($Q$1004:$U$1004,1,MATCH(COLUMNS($Q$1006:U1006),$Q$1006:$U$1006,0)))),"Fix")))</f>
        <v xml:space="preserve"> </v>
      </c>
      <c r="J325">
        <f ca="1"/>
        <v>324</v>
      </c>
      <c r="K325">
        <v>100325</v>
      </c>
      <c r="L325">
        <v>325</v>
      </c>
      <c r="M325" t="b">
        <f t="shared" si="5"/>
        <v>1</v>
      </c>
      <c r="N325" t="b">
        <f>COUNTBLANK(Metadata!B325:F325)=COLUMNS(Metadata!B325:F325)</f>
        <v>1</v>
      </c>
      <c r="O325" t="str">
        <v/>
      </c>
      <c r="Q325" t="b">
        <f ca="1"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R325" t="b">
        <f>IF(Metadata!C325="",FALSE,TRUE)</f>
        <v>0</v>
      </c>
      <c r="S325" t="b">
        <f>OR(AND(IF(Metadata!D325="",FALSE,TRUE),EXACT(Metadata!D325,"missing: not collected")),AND(IF(Metadata!D325="",FALSE,TRUE),OR(EXACT(Metadata!D325,"t"),EXACT(Metadata!D325,"f"))))</f>
        <v>0</v>
      </c>
      <c r="T325" t="b">
        <f>AND(IF(Metadata!E325="",FALSE,TRUE),OR(EXACT(Metadata!E325,"a"),EXACT(Metadata!E325,"b")))</f>
        <v>0</v>
      </c>
      <c r="U325" t="b">
        <f>OR(AND(IF(Metadata!F325="",FALSE,TRUE),OR(EXACT(Metadata!F325,"missing: not collected"),EXACT(Metadata!F325,"missing: not provided"))),AND(IF(Metadata!F325="",FALSE,TRUE),OR(EXACT(Metadata!F325,"lo"),EXACT(Metadata!F325,"med"),EXACT(Metadata!F325,"hi"))))</f>
        <v>0</v>
      </c>
    </row>
    <row r="326" spans="1:21" x14ac:dyDescent="0.2">
      <c r="A326" s="4" t="str">
        <f ca="1">IF(B326=" "," ",HYPERLINK(CONCATENATE("#metadata!",ADDRESS(INDEX($L$2:$L$1001,MATCH(ROWS($J$2:J326),$J$2:$J$1001,0),0),1)),INDEX($O$2:$O$1001,MATCH(ROWS($J$2:J326),$J$2:$J$1001,0),0)))</f>
        <v xml:space="preserve"> </v>
      </c>
      <c r="B326" s="3" t="str">
        <f ca="1">IF(OR(INDEX($K$2:$K$1001,MATCH(ROWS($J$2:J326),$J$2:$J$1001,0),1)&gt;=100000,INDEX($Q$1005:$U$1005,1,MATCH(COLUMNS($Q$1006:Q1006),$Q$1006:$U$1006,0))&gt;=100000), " ",IF(INDEX($Q$2:$U$1001,MATCH(ROWS($J$2:J326),$J$2:$J$1001,0),MATCH(COLUMNS($Q$1006:Q1006),$Q$1006:$U$1006,0)), HYPERLINK("#",""), HYPERLINK(CONCATENATE("#Metadata!", ADDRESS(INDEX($L$2:$L$1001,MATCH(ROWS($J$2:J326),$J$2:$J$1001,0),0), INDEX($Q$1004:$U$1004,1,MATCH(COLUMNS($Q$1006:Q1006),$Q$1006:$U$1006,0)))),"Fix")))</f>
        <v xml:space="preserve"> </v>
      </c>
      <c r="C326" s="3" t="str">
        <f ca="1">IF(OR(INDEX($K$2:$K$1001,MATCH(ROWS($J$2:J326),$J$2:$J$1001,0),1)&gt;=100000,INDEX($Q$1005:$U$1005,1,MATCH(COLUMNS($Q$1006:R1006),$Q$1006:$U$1006,0))&gt;=100000), " ",IF(INDEX($Q$2:$U$1001,MATCH(ROWS($J$2:J326),$J$2:$J$1001,0),MATCH(COLUMNS($Q$1006:R1006),$Q$1006:$U$1006,0)), HYPERLINK("#",""), HYPERLINK(CONCATENATE("#Metadata!", ADDRESS(INDEX($L$2:$L$1001,MATCH(ROWS($J$2:J326),$J$2:$J$1001,0),0), INDEX($Q$1004:$U$1004,1,MATCH(COLUMNS($Q$1006:R1006),$Q$1006:$U$1006,0)))),"Fix")))</f>
        <v xml:space="preserve"> </v>
      </c>
      <c r="D326" s="3" t="str">
        <f ca="1">IF(OR(INDEX($K$2:$K$1001,MATCH(ROWS($J$2:J326),$J$2:$J$1001,0),1)&gt;=100000,INDEX($Q$1005:$U$1005,1,MATCH(COLUMNS($Q$1006:S1006),$Q$1006:$U$1006,0))&gt;=100000), " ",IF(INDEX($Q$2:$U$1001,MATCH(ROWS($J$2:J326),$J$2:$J$1001,0),MATCH(COLUMNS($Q$1006:S1006),$Q$1006:$U$1006,0)), HYPERLINK("#",""), HYPERLINK(CONCATENATE("#Metadata!", ADDRESS(INDEX($L$2:$L$1001,MATCH(ROWS($J$2:J326),$J$2:$J$1001,0),0), INDEX($Q$1004:$U$1004,1,MATCH(COLUMNS($Q$1006:S1006),$Q$1006:$U$1006,0)))),"Fix")))</f>
        <v xml:space="preserve"> </v>
      </c>
      <c r="E326" s="3" t="str">
        <f ca="1">IF(OR(INDEX($K$2:$K$1001,MATCH(ROWS($J$2:J326),$J$2:$J$1001,0),1)&gt;=100000,INDEX($Q$1005:$U$1005,1,MATCH(COLUMNS($Q$1006:T1006),$Q$1006:$U$1006,0))&gt;=100000), " ",IF(INDEX($Q$2:$U$1001,MATCH(ROWS($J$2:J326),$J$2:$J$1001,0),MATCH(COLUMNS($Q$1006:T1006),$Q$1006:$U$1006,0)), HYPERLINK("#",""), HYPERLINK(CONCATENATE("#Metadata!", ADDRESS(INDEX($L$2:$L$1001,MATCH(ROWS($J$2:J326),$J$2:$J$1001,0),0), INDEX($Q$1004:$U$1004,1,MATCH(COLUMNS($Q$1006:T1006),$Q$1006:$U$1006,0)))),"Fix")))</f>
        <v xml:space="preserve"> </v>
      </c>
      <c r="F326" s="3" t="str">
        <f ca="1">IF(OR(INDEX($K$2:$K$1001,MATCH(ROWS($J$2:J326),$J$2:$J$1001,0),1)&gt;=100000,INDEX($Q$1005:$U$1005,1,MATCH(COLUMNS($Q$1006:U1006),$Q$1006:$U$1006,0))&gt;=100000), " ",IF(INDEX($Q$2:$U$1001,MATCH(ROWS($J$2:J326),$J$2:$J$1001,0),MATCH(COLUMNS($Q$1006:U1006),$Q$1006:$U$1006,0)), HYPERLINK("#",""), HYPERLINK(CONCATENATE("#Metadata!", ADDRESS(INDEX($L$2:$L$1001,MATCH(ROWS($J$2:J326),$J$2:$J$1001,0),0), INDEX($Q$1004:$U$1004,1,MATCH(COLUMNS($Q$1006:U1006),$Q$1006:$U$1006,0)))),"Fix")))</f>
        <v xml:space="preserve"> </v>
      </c>
      <c r="J326">
        <f ca="1"/>
        <v>325</v>
      </c>
      <c r="K326">
        <v>100326</v>
      </c>
      <c r="L326">
        <v>326</v>
      </c>
      <c r="M326" t="b">
        <f t="shared" si="5"/>
        <v>1</v>
      </c>
      <c r="N326" t="b">
        <f>COUNTBLANK(Metadata!B326:F326)=COLUMNS(Metadata!B326:F326)</f>
        <v>1</v>
      </c>
      <c r="O326" t="str">
        <v/>
      </c>
      <c r="Q326" t="b">
        <f ca="1"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R326" t="b">
        <f>IF(Metadata!C326="",FALSE,TRUE)</f>
        <v>0</v>
      </c>
      <c r="S326" t="b">
        <f>OR(AND(IF(Metadata!D326="",FALSE,TRUE),EXACT(Metadata!D326,"missing: not collected")),AND(IF(Metadata!D326="",FALSE,TRUE),OR(EXACT(Metadata!D326,"t"),EXACT(Metadata!D326,"f"))))</f>
        <v>0</v>
      </c>
      <c r="T326" t="b">
        <f>AND(IF(Metadata!E326="",FALSE,TRUE),OR(EXACT(Metadata!E326,"a"),EXACT(Metadata!E326,"b")))</f>
        <v>0</v>
      </c>
      <c r="U326" t="b">
        <f>OR(AND(IF(Metadata!F326="",FALSE,TRUE),OR(EXACT(Metadata!F326,"missing: not collected"),EXACT(Metadata!F326,"missing: not provided"))),AND(IF(Metadata!F326="",FALSE,TRUE),OR(EXACT(Metadata!F326,"lo"),EXACT(Metadata!F326,"med"),EXACT(Metadata!F326,"hi"))))</f>
        <v>0</v>
      </c>
    </row>
    <row r="327" spans="1:21" x14ac:dyDescent="0.2">
      <c r="A327" s="4" t="str">
        <f ca="1">IF(B327=" "," ",HYPERLINK(CONCATENATE("#metadata!",ADDRESS(INDEX($L$2:$L$1001,MATCH(ROWS($J$2:J327),$J$2:$J$1001,0),0),1)),INDEX($O$2:$O$1001,MATCH(ROWS($J$2:J327),$J$2:$J$1001,0),0)))</f>
        <v xml:space="preserve"> </v>
      </c>
      <c r="B327" s="3" t="str">
        <f ca="1">IF(OR(INDEX($K$2:$K$1001,MATCH(ROWS($J$2:J327),$J$2:$J$1001,0),1)&gt;=100000,INDEX($Q$1005:$U$1005,1,MATCH(COLUMNS($Q$1006:Q1006),$Q$1006:$U$1006,0))&gt;=100000), " ",IF(INDEX($Q$2:$U$1001,MATCH(ROWS($J$2:J327),$J$2:$J$1001,0),MATCH(COLUMNS($Q$1006:Q1006),$Q$1006:$U$1006,0)), HYPERLINK("#",""), HYPERLINK(CONCATENATE("#Metadata!", ADDRESS(INDEX($L$2:$L$1001,MATCH(ROWS($J$2:J327),$J$2:$J$1001,0),0), INDEX($Q$1004:$U$1004,1,MATCH(COLUMNS($Q$1006:Q1006),$Q$1006:$U$1006,0)))),"Fix")))</f>
        <v xml:space="preserve"> </v>
      </c>
      <c r="C327" s="3" t="str">
        <f ca="1">IF(OR(INDEX($K$2:$K$1001,MATCH(ROWS($J$2:J327),$J$2:$J$1001,0),1)&gt;=100000,INDEX($Q$1005:$U$1005,1,MATCH(COLUMNS($Q$1006:R1006),$Q$1006:$U$1006,0))&gt;=100000), " ",IF(INDEX($Q$2:$U$1001,MATCH(ROWS($J$2:J327),$J$2:$J$1001,0),MATCH(COLUMNS($Q$1006:R1006),$Q$1006:$U$1006,0)), HYPERLINK("#",""), HYPERLINK(CONCATENATE("#Metadata!", ADDRESS(INDEX($L$2:$L$1001,MATCH(ROWS($J$2:J327),$J$2:$J$1001,0),0), INDEX($Q$1004:$U$1004,1,MATCH(COLUMNS($Q$1006:R1006),$Q$1006:$U$1006,0)))),"Fix")))</f>
        <v xml:space="preserve"> </v>
      </c>
      <c r="D327" s="3" t="str">
        <f ca="1">IF(OR(INDEX($K$2:$K$1001,MATCH(ROWS($J$2:J327),$J$2:$J$1001,0),1)&gt;=100000,INDEX($Q$1005:$U$1005,1,MATCH(COLUMNS($Q$1006:S1006),$Q$1006:$U$1006,0))&gt;=100000), " ",IF(INDEX($Q$2:$U$1001,MATCH(ROWS($J$2:J327),$J$2:$J$1001,0),MATCH(COLUMNS($Q$1006:S1006),$Q$1006:$U$1006,0)), HYPERLINK("#",""), HYPERLINK(CONCATENATE("#Metadata!", ADDRESS(INDEX($L$2:$L$1001,MATCH(ROWS($J$2:J327),$J$2:$J$1001,0),0), INDEX($Q$1004:$U$1004,1,MATCH(COLUMNS($Q$1006:S1006),$Q$1006:$U$1006,0)))),"Fix")))</f>
        <v xml:space="preserve"> </v>
      </c>
      <c r="E327" s="3" t="str">
        <f ca="1">IF(OR(INDEX($K$2:$K$1001,MATCH(ROWS($J$2:J327),$J$2:$J$1001,0),1)&gt;=100000,INDEX($Q$1005:$U$1005,1,MATCH(COLUMNS($Q$1006:T1006),$Q$1006:$U$1006,0))&gt;=100000), " ",IF(INDEX($Q$2:$U$1001,MATCH(ROWS($J$2:J327),$J$2:$J$1001,0),MATCH(COLUMNS($Q$1006:T1006),$Q$1006:$U$1006,0)), HYPERLINK("#",""), HYPERLINK(CONCATENATE("#Metadata!", ADDRESS(INDEX($L$2:$L$1001,MATCH(ROWS($J$2:J327),$J$2:$J$1001,0),0), INDEX($Q$1004:$U$1004,1,MATCH(COLUMNS($Q$1006:T1006),$Q$1006:$U$1006,0)))),"Fix")))</f>
        <v xml:space="preserve"> </v>
      </c>
      <c r="F327" s="3" t="str">
        <f ca="1">IF(OR(INDEX($K$2:$K$1001,MATCH(ROWS($J$2:J327),$J$2:$J$1001,0),1)&gt;=100000,INDEX($Q$1005:$U$1005,1,MATCH(COLUMNS($Q$1006:U1006),$Q$1006:$U$1006,0))&gt;=100000), " ",IF(INDEX($Q$2:$U$1001,MATCH(ROWS($J$2:J327),$J$2:$J$1001,0),MATCH(COLUMNS($Q$1006:U1006),$Q$1006:$U$1006,0)), HYPERLINK("#",""), HYPERLINK(CONCATENATE("#Metadata!", ADDRESS(INDEX($L$2:$L$1001,MATCH(ROWS($J$2:J327),$J$2:$J$1001,0),0), INDEX($Q$1004:$U$1004,1,MATCH(COLUMNS($Q$1006:U1006),$Q$1006:$U$1006,0)))),"Fix")))</f>
        <v xml:space="preserve"> </v>
      </c>
      <c r="J327">
        <f ca="1"/>
        <v>326</v>
      </c>
      <c r="K327">
        <v>100327</v>
      </c>
      <c r="L327">
        <v>327</v>
      </c>
      <c r="M327" t="b">
        <f t="shared" si="5"/>
        <v>1</v>
      </c>
      <c r="N327" t="b">
        <f>COUNTBLANK(Metadata!B327:F327)=COLUMNS(Metadata!B327:F327)</f>
        <v>1</v>
      </c>
      <c r="O327" t="str">
        <v/>
      </c>
      <c r="Q327" t="b">
        <f ca="1"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R327" t="b">
        <f>IF(Metadata!C327="",FALSE,TRUE)</f>
        <v>0</v>
      </c>
      <c r="S327" t="b">
        <f>OR(AND(IF(Metadata!D327="",FALSE,TRUE),EXACT(Metadata!D327,"missing: not collected")),AND(IF(Metadata!D327="",FALSE,TRUE),OR(EXACT(Metadata!D327,"t"),EXACT(Metadata!D327,"f"))))</f>
        <v>0</v>
      </c>
      <c r="T327" t="b">
        <f>AND(IF(Metadata!E327="",FALSE,TRUE),OR(EXACT(Metadata!E327,"a"),EXACT(Metadata!E327,"b")))</f>
        <v>0</v>
      </c>
      <c r="U327" t="b">
        <f>OR(AND(IF(Metadata!F327="",FALSE,TRUE),OR(EXACT(Metadata!F327,"missing: not collected"),EXACT(Metadata!F327,"missing: not provided"))),AND(IF(Metadata!F327="",FALSE,TRUE),OR(EXACT(Metadata!F327,"lo"),EXACT(Metadata!F327,"med"),EXACT(Metadata!F327,"hi"))))</f>
        <v>0</v>
      </c>
    </row>
    <row r="328" spans="1:21" x14ac:dyDescent="0.2">
      <c r="A328" s="4" t="str">
        <f ca="1">IF(B328=" "," ",HYPERLINK(CONCATENATE("#metadata!",ADDRESS(INDEX($L$2:$L$1001,MATCH(ROWS($J$2:J328),$J$2:$J$1001,0),0),1)),INDEX($O$2:$O$1001,MATCH(ROWS($J$2:J328),$J$2:$J$1001,0),0)))</f>
        <v xml:space="preserve"> </v>
      </c>
      <c r="B328" s="3" t="str">
        <f ca="1">IF(OR(INDEX($K$2:$K$1001,MATCH(ROWS($J$2:J328),$J$2:$J$1001,0),1)&gt;=100000,INDEX($Q$1005:$U$1005,1,MATCH(COLUMNS($Q$1006:Q1006),$Q$1006:$U$1006,0))&gt;=100000), " ",IF(INDEX($Q$2:$U$1001,MATCH(ROWS($J$2:J328),$J$2:$J$1001,0),MATCH(COLUMNS($Q$1006:Q1006),$Q$1006:$U$1006,0)), HYPERLINK("#",""), HYPERLINK(CONCATENATE("#Metadata!", ADDRESS(INDEX($L$2:$L$1001,MATCH(ROWS($J$2:J328),$J$2:$J$1001,0),0), INDEX($Q$1004:$U$1004,1,MATCH(COLUMNS($Q$1006:Q1006),$Q$1006:$U$1006,0)))),"Fix")))</f>
        <v xml:space="preserve"> </v>
      </c>
      <c r="C328" s="3" t="str">
        <f ca="1">IF(OR(INDEX($K$2:$K$1001,MATCH(ROWS($J$2:J328),$J$2:$J$1001,0),1)&gt;=100000,INDEX($Q$1005:$U$1005,1,MATCH(COLUMNS($Q$1006:R1006),$Q$1006:$U$1006,0))&gt;=100000), " ",IF(INDEX($Q$2:$U$1001,MATCH(ROWS($J$2:J328),$J$2:$J$1001,0),MATCH(COLUMNS($Q$1006:R1006),$Q$1006:$U$1006,0)), HYPERLINK("#",""), HYPERLINK(CONCATENATE("#Metadata!", ADDRESS(INDEX($L$2:$L$1001,MATCH(ROWS($J$2:J328),$J$2:$J$1001,0),0), INDEX($Q$1004:$U$1004,1,MATCH(COLUMNS($Q$1006:R1006),$Q$1006:$U$1006,0)))),"Fix")))</f>
        <v xml:space="preserve"> </v>
      </c>
      <c r="D328" s="3" t="str">
        <f ca="1">IF(OR(INDEX($K$2:$K$1001,MATCH(ROWS($J$2:J328),$J$2:$J$1001,0),1)&gt;=100000,INDEX($Q$1005:$U$1005,1,MATCH(COLUMNS($Q$1006:S1006),$Q$1006:$U$1006,0))&gt;=100000), " ",IF(INDEX($Q$2:$U$1001,MATCH(ROWS($J$2:J328),$J$2:$J$1001,0),MATCH(COLUMNS($Q$1006:S1006),$Q$1006:$U$1006,0)), HYPERLINK("#",""), HYPERLINK(CONCATENATE("#Metadata!", ADDRESS(INDEX($L$2:$L$1001,MATCH(ROWS($J$2:J328),$J$2:$J$1001,0),0), INDEX($Q$1004:$U$1004,1,MATCH(COLUMNS($Q$1006:S1006),$Q$1006:$U$1006,0)))),"Fix")))</f>
        <v xml:space="preserve"> </v>
      </c>
      <c r="E328" s="3" t="str">
        <f ca="1">IF(OR(INDEX($K$2:$K$1001,MATCH(ROWS($J$2:J328),$J$2:$J$1001,0),1)&gt;=100000,INDEX($Q$1005:$U$1005,1,MATCH(COLUMNS($Q$1006:T1006),$Q$1006:$U$1006,0))&gt;=100000), " ",IF(INDEX($Q$2:$U$1001,MATCH(ROWS($J$2:J328),$J$2:$J$1001,0),MATCH(COLUMNS($Q$1006:T1006),$Q$1006:$U$1006,0)), HYPERLINK("#",""), HYPERLINK(CONCATENATE("#Metadata!", ADDRESS(INDEX($L$2:$L$1001,MATCH(ROWS($J$2:J328),$J$2:$J$1001,0),0), INDEX($Q$1004:$U$1004,1,MATCH(COLUMNS($Q$1006:T1006),$Q$1006:$U$1006,0)))),"Fix")))</f>
        <v xml:space="preserve"> </v>
      </c>
      <c r="F328" s="3" t="str">
        <f ca="1">IF(OR(INDEX($K$2:$K$1001,MATCH(ROWS($J$2:J328),$J$2:$J$1001,0),1)&gt;=100000,INDEX($Q$1005:$U$1005,1,MATCH(COLUMNS($Q$1006:U1006),$Q$1006:$U$1006,0))&gt;=100000), " ",IF(INDEX($Q$2:$U$1001,MATCH(ROWS($J$2:J328),$J$2:$J$1001,0),MATCH(COLUMNS($Q$1006:U1006),$Q$1006:$U$1006,0)), HYPERLINK("#",""), HYPERLINK(CONCATENATE("#Metadata!", ADDRESS(INDEX($L$2:$L$1001,MATCH(ROWS($J$2:J328),$J$2:$J$1001,0),0), INDEX($Q$1004:$U$1004,1,MATCH(COLUMNS($Q$1006:U1006),$Q$1006:$U$1006,0)))),"Fix")))</f>
        <v xml:space="preserve"> </v>
      </c>
      <c r="J328">
        <f ca="1"/>
        <v>327</v>
      </c>
      <c r="K328">
        <v>100328</v>
      </c>
      <c r="L328">
        <v>328</v>
      </c>
      <c r="M328" t="b">
        <f t="shared" si="5"/>
        <v>1</v>
      </c>
      <c r="N328" t="b">
        <f>COUNTBLANK(Metadata!B328:F328)=COLUMNS(Metadata!B328:F328)</f>
        <v>1</v>
      </c>
      <c r="O328" t="str">
        <v/>
      </c>
      <c r="Q328" t="b">
        <f ca="1"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R328" t="b">
        <f>IF(Metadata!C328="",FALSE,TRUE)</f>
        <v>0</v>
      </c>
      <c r="S328" t="b">
        <f>OR(AND(IF(Metadata!D328="",FALSE,TRUE),EXACT(Metadata!D328,"missing: not collected")),AND(IF(Metadata!D328="",FALSE,TRUE),OR(EXACT(Metadata!D328,"t"),EXACT(Metadata!D328,"f"))))</f>
        <v>0</v>
      </c>
      <c r="T328" t="b">
        <f>AND(IF(Metadata!E328="",FALSE,TRUE),OR(EXACT(Metadata!E328,"a"),EXACT(Metadata!E328,"b")))</f>
        <v>0</v>
      </c>
      <c r="U328" t="b">
        <f>OR(AND(IF(Metadata!F328="",FALSE,TRUE),OR(EXACT(Metadata!F328,"missing: not collected"),EXACT(Metadata!F328,"missing: not provided"))),AND(IF(Metadata!F328="",FALSE,TRUE),OR(EXACT(Metadata!F328,"lo"),EXACT(Metadata!F328,"med"),EXACT(Metadata!F328,"hi"))))</f>
        <v>0</v>
      </c>
    </row>
    <row r="329" spans="1:21" x14ac:dyDescent="0.2">
      <c r="A329" s="4" t="str">
        <f ca="1">IF(B329=" "," ",HYPERLINK(CONCATENATE("#metadata!",ADDRESS(INDEX($L$2:$L$1001,MATCH(ROWS($J$2:J329),$J$2:$J$1001,0),0),1)),INDEX($O$2:$O$1001,MATCH(ROWS($J$2:J329),$J$2:$J$1001,0),0)))</f>
        <v xml:space="preserve"> </v>
      </c>
      <c r="B329" s="3" t="str">
        <f ca="1">IF(OR(INDEX($K$2:$K$1001,MATCH(ROWS($J$2:J329),$J$2:$J$1001,0),1)&gt;=100000,INDEX($Q$1005:$U$1005,1,MATCH(COLUMNS($Q$1006:Q1006),$Q$1006:$U$1006,0))&gt;=100000), " ",IF(INDEX($Q$2:$U$1001,MATCH(ROWS($J$2:J329),$J$2:$J$1001,0),MATCH(COLUMNS($Q$1006:Q1006),$Q$1006:$U$1006,0)), HYPERLINK("#",""), HYPERLINK(CONCATENATE("#Metadata!", ADDRESS(INDEX($L$2:$L$1001,MATCH(ROWS($J$2:J329),$J$2:$J$1001,0),0), INDEX($Q$1004:$U$1004,1,MATCH(COLUMNS($Q$1006:Q1006),$Q$1006:$U$1006,0)))),"Fix")))</f>
        <v xml:space="preserve"> </v>
      </c>
      <c r="C329" s="3" t="str">
        <f ca="1">IF(OR(INDEX($K$2:$K$1001,MATCH(ROWS($J$2:J329),$J$2:$J$1001,0),1)&gt;=100000,INDEX($Q$1005:$U$1005,1,MATCH(COLUMNS($Q$1006:R1006),$Q$1006:$U$1006,0))&gt;=100000), " ",IF(INDEX($Q$2:$U$1001,MATCH(ROWS($J$2:J329),$J$2:$J$1001,0),MATCH(COLUMNS($Q$1006:R1006),$Q$1006:$U$1006,0)), HYPERLINK("#",""), HYPERLINK(CONCATENATE("#Metadata!", ADDRESS(INDEX($L$2:$L$1001,MATCH(ROWS($J$2:J329),$J$2:$J$1001,0),0), INDEX($Q$1004:$U$1004,1,MATCH(COLUMNS($Q$1006:R1006),$Q$1006:$U$1006,0)))),"Fix")))</f>
        <v xml:space="preserve"> </v>
      </c>
      <c r="D329" s="3" t="str">
        <f ca="1">IF(OR(INDEX($K$2:$K$1001,MATCH(ROWS($J$2:J329),$J$2:$J$1001,0),1)&gt;=100000,INDEX($Q$1005:$U$1005,1,MATCH(COLUMNS($Q$1006:S1006),$Q$1006:$U$1006,0))&gt;=100000), " ",IF(INDEX($Q$2:$U$1001,MATCH(ROWS($J$2:J329),$J$2:$J$1001,0),MATCH(COLUMNS($Q$1006:S1006),$Q$1006:$U$1006,0)), HYPERLINK("#",""), HYPERLINK(CONCATENATE("#Metadata!", ADDRESS(INDEX($L$2:$L$1001,MATCH(ROWS($J$2:J329),$J$2:$J$1001,0),0), INDEX($Q$1004:$U$1004,1,MATCH(COLUMNS($Q$1006:S1006),$Q$1006:$U$1006,0)))),"Fix")))</f>
        <v xml:space="preserve"> </v>
      </c>
      <c r="E329" s="3" t="str">
        <f ca="1">IF(OR(INDEX($K$2:$K$1001,MATCH(ROWS($J$2:J329),$J$2:$J$1001,0),1)&gt;=100000,INDEX($Q$1005:$U$1005,1,MATCH(COLUMNS($Q$1006:T1006),$Q$1006:$U$1006,0))&gt;=100000), " ",IF(INDEX($Q$2:$U$1001,MATCH(ROWS($J$2:J329),$J$2:$J$1001,0),MATCH(COLUMNS($Q$1006:T1006),$Q$1006:$U$1006,0)), HYPERLINK("#",""), HYPERLINK(CONCATENATE("#Metadata!", ADDRESS(INDEX($L$2:$L$1001,MATCH(ROWS($J$2:J329),$J$2:$J$1001,0),0), INDEX($Q$1004:$U$1004,1,MATCH(COLUMNS($Q$1006:T1006),$Q$1006:$U$1006,0)))),"Fix")))</f>
        <v xml:space="preserve"> </v>
      </c>
      <c r="F329" s="3" t="str">
        <f ca="1">IF(OR(INDEX($K$2:$K$1001,MATCH(ROWS($J$2:J329),$J$2:$J$1001,0),1)&gt;=100000,INDEX($Q$1005:$U$1005,1,MATCH(COLUMNS($Q$1006:U1006),$Q$1006:$U$1006,0))&gt;=100000), " ",IF(INDEX($Q$2:$U$1001,MATCH(ROWS($J$2:J329),$J$2:$J$1001,0),MATCH(COLUMNS($Q$1006:U1006),$Q$1006:$U$1006,0)), HYPERLINK("#",""), HYPERLINK(CONCATENATE("#Metadata!", ADDRESS(INDEX($L$2:$L$1001,MATCH(ROWS($J$2:J329),$J$2:$J$1001,0),0), INDEX($Q$1004:$U$1004,1,MATCH(COLUMNS($Q$1006:U1006),$Q$1006:$U$1006,0)))),"Fix")))</f>
        <v xml:space="preserve"> </v>
      </c>
      <c r="J329">
        <f ca="1"/>
        <v>328</v>
      </c>
      <c r="K329">
        <v>100329</v>
      </c>
      <c r="L329">
        <v>329</v>
      </c>
      <c r="M329" t="b">
        <f t="shared" si="5"/>
        <v>1</v>
      </c>
      <c r="N329" t="b">
        <f>COUNTBLANK(Metadata!B329:F329)=COLUMNS(Metadata!B329:F329)</f>
        <v>1</v>
      </c>
      <c r="O329" t="str">
        <v/>
      </c>
      <c r="Q329" t="b">
        <f ca="1"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R329" t="b">
        <f>IF(Metadata!C329="",FALSE,TRUE)</f>
        <v>0</v>
      </c>
      <c r="S329" t="b">
        <f>OR(AND(IF(Metadata!D329="",FALSE,TRUE),EXACT(Metadata!D329,"missing: not collected")),AND(IF(Metadata!D329="",FALSE,TRUE),OR(EXACT(Metadata!D329,"t"),EXACT(Metadata!D329,"f"))))</f>
        <v>0</v>
      </c>
      <c r="T329" t="b">
        <f>AND(IF(Metadata!E329="",FALSE,TRUE),OR(EXACT(Metadata!E329,"a"),EXACT(Metadata!E329,"b")))</f>
        <v>0</v>
      </c>
      <c r="U329" t="b">
        <f>OR(AND(IF(Metadata!F329="",FALSE,TRUE),OR(EXACT(Metadata!F329,"missing: not collected"),EXACT(Metadata!F329,"missing: not provided"))),AND(IF(Metadata!F329="",FALSE,TRUE),OR(EXACT(Metadata!F329,"lo"),EXACT(Metadata!F329,"med"),EXACT(Metadata!F329,"hi"))))</f>
        <v>0</v>
      </c>
    </row>
    <row r="330" spans="1:21" x14ac:dyDescent="0.2">
      <c r="A330" s="4" t="str">
        <f ca="1">IF(B330=" "," ",HYPERLINK(CONCATENATE("#metadata!",ADDRESS(INDEX($L$2:$L$1001,MATCH(ROWS($J$2:J330),$J$2:$J$1001,0),0),1)),INDEX($O$2:$O$1001,MATCH(ROWS($J$2:J330),$J$2:$J$1001,0),0)))</f>
        <v xml:space="preserve"> </v>
      </c>
      <c r="B330" s="3" t="str">
        <f ca="1">IF(OR(INDEX($K$2:$K$1001,MATCH(ROWS($J$2:J330),$J$2:$J$1001,0),1)&gt;=100000,INDEX($Q$1005:$U$1005,1,MATCH(COLUMNS($Q$1006:Q1006),$Q$1006:$U$1006,0))&gt;=100000), " ",IF(INDEX($Q$2:$U$1001,MATCH(ROWS($J$2:J330),$J$2:$J$1001,0),MATCH(COLUMNS($Q$1006:Q1006),$Q$1006:$U$1006,0)), HYPERLINK("#",""), HYPERLINK(CONCATENATE("#Metadata!", ADDRESS(INDEX($L$2:$L$1001,MATCH(ROWS($J$2:J330),$J$2:$J$1001,0),0), INDEX($Q$1004:$U$1004,1,MATCH(COLUMNS($Q$1006:Q1006),$Q$1006:$U$1006,0)))),"Fix")))</f>
        <v xml:space="preserve"> </v>
      </c>
      <c r="C330" s="3" t="str">
        <f ca="1">IF(OR(INDEX($K$2:$K$1001,MATCH(ROWS($J$2:J330),$J$2:$J$1001,0),1)&gt;=100000,INDEX($Q$1005:$U$1005,1,MATCH(COLUMNS($Q$1006:R1006),$Q$1006:$U$1006,0))&gt;=100000), " ",IF(INDEX($Q$2:$U$1001,MATCH(ROWS($J$2:J330),$J$2:$J$1001,0),MATCH(COLUMNS($Q$1006:R1006),$Q$1006:$U$1006,0)), HYPERLINK("#",""), HYPERLINK(CONCATENATE("#Metadata!", ADDRESS(INDEX($L$2:$L$1001,MATCH(ROWS($J$2:J330),$J$2:$J$1001,0),0), INDEX($Q$1004:$U$1004,1,MATCH(COLUMNS($Q$1006:R1006),$Q$1006:$U$1006,0)))),"Fix")))</f>
        <v xml:space="preserve"> </v>
      </c>
      <c r="D330" s="3" t="str">
        <f ca="1">IF(OR(INDEX($K$2:$K$1001,MATCH(ROWS($J$2:J330),$J$2:$J$1001,0),1)&gt;=100000,INDEX($Q$1005:$U$1005,1,MATCH(COLUMNS($Q$1006:S1006),$Q$1006:$U$1006,0))&gt;=100000), " ",IF(INDEX($Q$2:$U$1001,MATCH(ROWS($J$2:J330),$J$2:$J$1001,0),MATCH(COLUMNS($Q$1006:S1006),$Q$1006:$U$1006,0)), HYPERLINK("#",""), HYPERLINK(CONCATENATE("#Metadata!", ADDRESS(INDEX($L$2:$L$1001,MATCH(ROWS($J$2:J330),$J$2:$J$1001,0),0), INDEX($Q$1004:$U$1004,1,MATCH(COLUMNS($Q$1006:S1006),$Q$1006:$U$1006,0)))),"Fix")))</f>
        <v xml:space="preserve"> </v>
      </c>
      <c r="E330" s="3" t="str">
        <f ca="1">IF(OR(INDEX($K$2:$K$1001,MATCH(ROWS($J$2:J330),$J$2:$J$1001,0),1)&gt;=100000,INDEX($Q$1005:$U$1005,1,MATCH(COLUMNS($Q$1006:T1006),$Q$1006:$U$1006,0))&gt;=100000), " ",IF(INDEX($Q$2:$U$1001,MATCH(ROWS($J$2:J330),$J$2:$J$1001,0),MATCH(COLUMNS($Q$1006:T1006),$Q$1006:$U$1006,0)), HYPERLINK("#",""), HYPERLINK(CONCATENATE("#Metadata!", ADDRESS(INDEX($L$2:$L$1001,MATCH(ROWS($J$2:J330),$J$2:$J$1001,0),0), INDEX($Q$1004:$U$1004,1,MATCH(COLUMNS($Q$1006:T1006),$Q$1006:$U$1006,0)))),"Fix")))</f>
        <v xml:space="preserve"> </v>
      </c>
      <c r="F330" s="3" t="str">
        <f ca="1">IF(OR(INDEX($K$2:$K$1001,MATCH(ROWS($J$2:J330),$J$2:$J$1001,0),1)&gt;=100000,INDEX($Q$1005:$U$1005,1,MATCH(COLUMNS($Q$1006:U1006),$Q$1006:$U$1006,0))&gt;=100000), " ",IF(INDEX($Q$2:$U$1001,MATCH(ROWS($J$2:J330),$J$2:$J$1001,0),MATCH(COLUMNS($Q$1006:U1006),$Q$1006:$U$1006,0)), HYPERLINK("#",""), HYPERLINK(CONCATENATE("#Metadata!", ADDRESS(INDEX($L$2:$L$1001,MATCH(ROWS($J$2:J330),$J$2:$J$1001,0),0), INDEX($Q$1004:$U$1004,1,MATCH(COLUMNS($Q$1006:U1006),$Q$1006:$U$1006,0)))),"Fix")))</f>
        <v xml:space="preserve"> </v>
      </c>
      <c r="J330">
        <f ca="1"/>
        <v>329</v>
      </c>
      <c r="K330">
        <v>100330</v>
      </c>
      <c r="L330">
        <v>330</v>
      </c>
      <c r="M330" t="b">
        <f t="shared" si="5"/>
        <v>1</v>
      </c>
      <c r="N330" t="b">
        <f>COUNTBLANK(Metadata!B330:F330)=COLUMNS(Metadata!B330:F330)</f>
        <v>1</v>
      </c>
      <c r="O330" t="str">
        <v/>
      </c>
      <c r="Q330" t="b">
        <f ca="1"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R330" t="b">
        <f>IF(Metadata!C330="",FALSE,TRUE)</f>
        <v>0</v>
      </c>
      <c r="S330" t="b">
        <f>OR(AND(IF(Metadata!D330="",FALSE,TRUE),EXACT(Metadata!D330,"missing: not collected")),AND(IF(Metadata!D330="",FALSE,TRUE),OR(EXACT(Metadata!D330,"t"),EXACT(Metadata!D330,"f"))))</f>
        <v>0</v>
      </c>
      <c r="T330" t="b">
        <f>AND(IF(Metadata!E330="",FALSE,TRUE),OR(EXACT(Metadata!E330,"a"),EXACT(Metadata!E330,"b")))</f>
        <v>0</v>
      </c>
      <c r="U330" t="b">
        <f>OR(AND(IF(Metadata!F330="",FALSE,TRUE),OR(EXACT(Metadata!F330,"missing: not collected"),EXACT(Metadata!F330,"missing: not provided"))),AND(IF(Metadata!F330="",FALSE,TRUE),OR(EXACT(Metadata!F330,"lo"),EXACT(Metadata!F330,"med"),EXACT(Metadata!F330,"hi"))))</f>
        <v>0</v>
      </c>
    </row>
    <row r="331" spans="1:21" x14ac:dyDescent="0.2">
      <c r="A331" s="4" t="str">
        <f ca="1">IF(B331=" "," ",HYPERLINK(CONCATENATE("#metadata!",ADDRESS(INDEX($L$2:$L$1001,MATCH(ROWS($J$2:J331),$J$2:$J$1001,0),0),1)),INDEX($O$2:$O$1001,MATCH(ROWS($J$2:J331),$J$2:$J$1001,0),0)))</f>
        <v xml:space="preserve"> </v>
      </c>
      <c r="B331" s="3" t="str">
        <f ca="1">IF(OR(INDEX($K$2:$K$1001,MATCH(ROWS($J$2:J331),$J$2:$J$1001,0),1)&gt;=100000,INDEX($Q$1005:$U$1005,1,MATCH(COLUMNS($Q$1006:Q1006),$Q$1006:$U$1006,0))&gt;=100000), " ",IF(INDEX($Q$2:$U$1001,MATCH(ROWS($J$2:J331),$J$2:$J$1001,0),MATCH(COLUMNS($Q$1006:Q1006),$Q$1006:$U$1006,0)), HYPERLINK("#",""), HYPERLINK(CONCATENATE("#Metadata!", ADDRESS(INDEX($L$2:$L$1001,MATCH(ROWS($J$2:J331),$J$2:$J$1001,0),0), INDEX($Q$1004:$U$1004,1,MATCH(COLUMNS($Q$1006:Q1006),$Q$1006:$U$1006,0)))),"Fix")))</f>
        <v xml:space="preserve"> </v>
      </c>
      <c r="C331" s="3" t="str">
        <f ca="1">IF(OR(INDEX($K$2:$K$1001,MATCH(ROWS($J$2:J331),$J$2:$J$1001,0),1)&gt;=100000,INDEX($Q$1005:$U$1005,1,MATCH(COLUMNS($Q$1006:R1006),$Q$1006:$U$1006,0))&gt;=100000), " ",IF(INDEX($Q$2:$U$1001,MATCH(ROWS($J$2:J331),$J$2:$J$1001,0),MATCH(COLUMNS($Q$1006:R1006),$Q$1006:$U$1006,0)), HYPERLINK("#",""), HYPERLINK(CONCATENATE("#Metadata!", ADDRESS(INDEX($L$2:$L$1001,MATCH(ROWS($J$2:J331),$J$2:$J$1001,0),0), INDEX($Q$1004:$U$1004,1,MATCH(COLUMNS($Q$1006:R1006),$Q$1006:$U$1006,0)))),"Fix")))</f>
        <v xml:space="preserve"> </v>
      </c>
      <c r="D331" s="3" t="str">
        <f ca="1">IF(OR(INDEX($K$2:$K$1001,MATCH(ROWS($J$2:J331),$J$2:$J$1001,0),1)&gt;=100000,INDEX($Q$1005:$U$1005,1,MATCH(COLUMNS($Q$1006:S1006),$Q$1006:$U$1006,0))&gt;=100000), " ",IF(INDEX($Q$2:$U$1001,MATCH(ROWS($J$2:J331),$J$2:$J$1001,0),MATCH(COLUMNS($Q$1006:S1006),$Q$1006:$U$1006,0)), HYPERLINK("#",""), HYPERLINK(CONCATENATE("#Metadata!", ADDRESS(INDEX($L$2:$L$1001,MATCH(ROWS($J$2:J331),$J$2:$J$1001,0),0), INDEX($Q$1004:$U$1004,1,MATCH(COLUMNS($Q$1006:S1006),$Q$1006:$U$1006,0)))),"Fix")))</f>
        <v xml:space="preserve"> </v>
      </c>
      <c r="E331" s="3" t="str">
        <f ca="1">IF(OR(INDEX($K$2:$K$1001,MATCH(ROWS($J$2:J331),$J$2:$J$1001,0),1)&gt;=100000,INDEX($Q$1005:$U$1005,1,MATCH(COLUMNS($Q$1006:T1006),$Q$1006:$U$1006,0))&gt;=100000), " ",IF(INDEX($Q$2:$U$1001,MATCH(ROWS($J$2:J331),$J$2:$J$1001,0),MATCH(COLUMNS($Q$1006:T1006),$Q$1006:$U$1006,0)), HYPERLINK("#",""), HYPERLINK(CONCATENATE("#Metadata!", ADDRESS(INDEX($L$2:$L$1001,MATCH(ROWS($J$2:J331),$J$2:$J$1001,0),0), INDEX($Q$1004:$U$1004,1,MATCH(COLUMNS($Q$1006:T1006),$Q$1006:$U$1006,0)))),"Fix")))</f>
        <v xml:space="preserve"> </v>
      </c>
      <c r="F331" s="3" t="str">
        <f ca="1">IF(OR(INDEX($K$2:$K$1001,MATCH(ROWS($J$2:J331),$J$2:$J$1001,0),1)&gt;=100000,INDEX($Q$1005:$U$1005,1,MATCH(COLUMNS($Q$1006:U1006),$Q$1006:$U$1006,0))&gt;=100000), " ",IF(INDEX($Q$2:$U$1001,MATCH(ROWS($J$2:J331),$J$2:$J$1001,0),MATCH(COLUMNS($Q$1006:U1006),$Q$1006:$U$1006,0)), HYPERLINK("#",""), HYPERLINK(CONCATENATE("#Metadata!", ADDRESS(INDEX($L$2:$L$1001,MATCH(ROWS($J$2:J331),$J$2:$J$1001,0),0), INDEX($Q$1004:$U$1004,1,MATCH(COLUMNS($Q$1006:U1006),$Q$1006:$U$1006,0)))),"Fix")))</f>
        <v xml:space="preserve"> </v>
      </c>
      <c r="J331">
        <f ca="1"/>
        <v>330</v>
      </c>
      <c r="K331">
        <v>100331</v>
      </c>
      <c r="L331">
        <v>331</v>
      </c>
      <c r="M331" t="b">
        <f t="shared" si="5"/>
        <v>1</v>
      </c>
      <c r="N331" t="b">
        <f>COUNTBLANK(Metadata!B331:F331)=COLUMNS(Metadata!B331:F331)</f>
        <v>1</v>
      </c>
      <c r="O331" t="str">
        <v/>
      </c>
      <c r="Q331" t="b">
        <f ca="1"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R331" t="b">
        <f>IF(Metadata!C331="",FALSE,TRUE)</f>
        <v>0</v>
      </c>
      <c r="S331" t="b">
        <f>OR(AND(IF(Metadata!D331="",FALSE,TRUE),EXACT(Metadata!D331,"missing: not collected")),AND(IF(Metadata!D331="",FALSE,TRUE),OR(EXACT(Metadata!D331,"t"),EXACT(Metadata!D331,"f"))))</f>
        <v>0</v>
      </c>
      <c r="T331" t="b">
        <f>AND(IF(Metadata!E331="",FALSE,TRUE),OR(EXACT(Metadata!E331,"a"),EXACT(Metadata!E331,"b")))</f>
        <v>0</v>
      </c>
      <c r="U331" t="b">
        <f>OR(AND(IF(Metadata!F331="",FALSE,TRUE),OR(EXACT(Metadata!F331,"missing: not collected"),EXACT(Metadata!F331,"missing: not provided"))),AND(IF(Metadata!F331="",FALSE,TRUE),OR(EXACT(Metadata!F331,"lo"),EXACT(Metadata!F331,"med"),EXACT(Metadata!F331,"hi"))))</f>
        <v>0</v>
      </c>
    </row>
    <row r="332" spans="1:21" x14ac:dyDescent="0.2">
      <c r="A332" s="4" t="str">
        <f ca="1">IF(B332=" "," ",HYPERLINK(CONCATENATE("#metadata!",ADDRESS(INDEX($L$2:$L$1001,MATCH(ROWS($J$2:J332),$J$2:$J$1001,0),0),1)),INDEX($O$2:$O$1001,MATCH(ROWS($J$2:J332),$J$2:$J$1001,0),0)))</f>
        <v xml:space="preserve"> </v>
      </c>
      <c r="B332" s="3" t="str">
        <f ca="1">IF(OR(INDEX($K$2:$K$1001,MATCH(ROWS($J$2:J332),$J$2:$J$1001,0),1)&gt;=100000,INDEX($Q$1005:$U$1005,1,MATCH(COLUMNS($Q$1006:Q1006),$Q$1006:$U$1006,0))&gt;=100000), " ",IF(INDEX($Q$2:$U$1001,MATCH(ROWS($J$2:J332),$J$2:$J$1001,0),MATCH(COLUMNS($Q$1006:Q1006),$Q$1006:$U$1006,0)), HYPERLINK("#",""), HYPERLINK(CONCATENATE("#Metadata!", ADDRESS(INDEX($L$2:$L$1001,MATCH(ROWS($J$2:J332),$J$2:$J$1001,0),0), INDEX($Q$1004:$U$1004,1,MATCH(COLUMNS($Q$1006:Q1006),$Q$1006:$U$1006,0)))),"Fix")))</f>
        <v xml:space="preserve"> </v>
      </c>
      <c r="C332" s="3" t="str">
        <f ca="1">IF(OR(INDEX($K$2:$K$1001,MATCH(ROWS($J$2:J332),$J$2:$J$1001,0),1)&gt;=100000,INDEX($Q$1005:$U$1005,1,MATCH(COLUMNS($Q$1006:R1006),$Q$1006:$U$1006,0))&gt;=100000), " ",IF(INDEX($Q$2:$U$1001,MATCH(ROWS($J$2:J332),$J$2:$J$1001,0),MATCH(COLUMNS($Q$1006:R1006),$Q$1006:$U$1006,0)), HYPERLINK("#",""), HYPERLINK(CONCATENATE("#Metadata!", ADDRESS(INDEX($L$2:$L$1001,MATCH(ROWS($J$2:J332),$J$2:$J$1001,0),0), INDEX($Q$1004:$U$1004,1,MATCH(COLUMNS($Q$1006:R1006),$Q$1006:$U$1006,0)))),"Fix")))</f>
        <v xml:space="preserve"> </v>
      </c>
      <c r="D332" s="3" t="str">
        <f ca="1">IF(OR(INDEX($K$2:$K$1001,MATCH(ROWS($J$2:J332),$J$2:$J$1001,0),1)&gt;=100000,INDEX($Q$1005:$U$1005,1,MATCH(COLUMNS($Q$1006:S1006),$Q$1006:$U$1006,0))&gt;=100000), " ",IF(INDEX($Q$2:$U$1001,MATCH(ROWS($J$2:J332),$J$2:$J$1001,0),MATCH(COLUMNS($Q$1006:S1006),$Q$1006:$U$1006,0)), HYPERLINK("#",""), HYPERLINK(CONCATENATE("#Metadata!", ADDRESS(INDEX($L$2:$L$1001,MATCH(ROWS($J$2:J332),$J$2:$J$1001,0),0), INDEX($Q$1004:$U$1004,1,MATCH(COLUMNS($Q$1006:S1006),$Q$1006:$U$1006,0)))),"Fix")))</f>
        <v xml:space="preserve"> </v>
      </c>
      <c r="E332" s="3" t="str">
        <f ca="1">IF(OR(INDEX($K$2:$K$1001,MATCH(ROWS($J$2:J332),$J$2:$J$1001,0),1)&gt;=100000,INDEX($Q$1005:$U$1005,1,MATCH(COLUMNS($Q$1006:T1006),$Q$1006:$U$1006,0))&gt;=100000), " ",IF(INDEX($Q$2:$U$1001,MATCH(ROWS($J$2:J332),$J$2:$J$1001,0),MATCH(COLUMNS($Q$1006:T1006),$Q$1006:$U$1006,0)), HYPERLINK("#",""), HYPERLINK(CONCATENATE("#Metadata!", ADDRESS(INDEX($L$2:$L$1001,MATCH(ROWS($J$2:J332),$J$2:$J$1001,0),0), INDEX($Q$1004:$U$1004,1,MATCH(COLUMNS($Q$1006:T1006),$Q$1006:$U$1006,0)))),"Fix")))</f>
        <v xml:space="preserve"> </v>
      </c>
      <c r="F332" s="3" t="str">
        <f ca="1">IF(OR(INDEX($K$2:$K$1001,MATCH(ROWS($J$2:J332),$J$2:$J$1001,0),1)&gt;=100000,INDEX($Q$1005:$U$1005,1,MATCH(COLUMNS($Q$1006:U1006),$Q$1006:$U$1006,0))&gt;=100000), " ",IF(INDEX($Q$2:$U$1001,MATCH(ROWS($J$2:J332),$J$2:$J$1001,0),MATCH(COLUMNS($Q$1006:U1006),$Q$1006:$U$1006,0)), HYPERLINK("#",""), HYPERLINK(CONCATENATE("#Metadata!", ADDRESS(INDEX($L$2:$L$1001,MATCH(ROWS($J$2:J332),$J$2:$J$1001,0),0), INDEX($Q$1004:$U$1004,1,MATCH(COLUMNS($Q$1006:U1006),$Q$1006:$U$1006,0)))),"Fix")))</f>
        <v xml:space="preserve"> </v>
      </c>
      <c r="J332">
        <f ca="1"/>
        <v>331</v>
      </c>
      <c r="K332">
        <v>100332</v>
      </c>
      <c r="L332">
        <v>332</v>
      </c>
      <c r="M332" t="b">
        <f t="shared" si="5"/>
        <v>1</v>
      </c>
      <c r="N332" t="b">
        <f>COUNTBLANK(Metadata!B332:F332)=COLUMNS(Metadata!B332:F332)</f>
        <v>1</v>
      </c>
      <c r="O332" t="str">
        <v/>
      </c>
      <c r="Q332" t="b">
        <f ca="1"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R332" t="b">
        <f>IF(Metadata!C332="",FALSE,TRUE)</f>
        <v>0</v>
      </c>
      <c r="S332" t="b">
        <f>OR(AND(IF(Metadata!D332="",FALSE,TRUE),EXACT(Metadata!D332,"missing: not collected")),AND(IF(Metadata!D332="",FALSE,TRUE),OR(EXACT(Metadata!D332,"t"),EXACT(Metadata!D332,"f"))))</f>
        <v>0</v>
      </c>
      <c r="T332" t="b">
        <f>AND(IF(Metadata!E332="",FALSE,TRUE),OR(EXACT(Metadata!E332,"a"),EXACT(Metadata!E332,"b")))</f>
        <v>0</v>
      </c>
      <c r="U332" t="b">
        <f>OR(AND(IF(Metadata!F332="",FALSE,TRUE),OR(EXACT(Metadata!F332,"missing: not collected"),EXACT(Metadata!F332,"missing: not provided"))),AND(IF(Metadata!F332="",FALSE,TRUE),OR(EXACT(Metadata!F332,"lo"),EXACT(Metadata!F332,"med"),EXACT(Metadata!F332,"hi"))))</f>
        <v>0</v>
      </c>
    </row>
    <row r="333" spans="1:21" x14ac:dyDescent="0.2">
      <c r="A333" s="4" t="str">
        <f ca="1">IF(B333=" "," ",HYPERLINK(CONCATENATE("#metadata!",ADDRESS(INDEX($L$2:$L$1001,MATCH(ROWS($J$2:J333),$J$2:$J$1001,0),0),1)),INDEX($O$2:$O$1001,MATCH(ROWS($J$2:J333),$J$2:$J$1001,0),0)))</f>
        <v xml:space="preserve"> </v>
      </c>
      <c r="B333" s="3" t="str">
        <f ca="1">IF(OR(INDEX($K$2:$K$1001,MATCH(ROWS($J$2:J333),$J$2:$J$1001,0),1)&gt;=100000,INDEX($Q$1005:$U$1005,1,MATCH(COLUMNS($Q$1006:Q1006),$Q$1006:$U$1006,0))&gt;=100000), " ",IF(INDEX($Q$2:$U$1001,MATCH(ROWS($J$2:J333),$J$2:$J$1001,0),MATCH(COLUMNS($Q$1006:Q1006),$Q$1006:$U$1006,0)), HYPERLINK("#",""), HYPERLINK(CONCATENATE("#Metadata!", ADDRESS(INDEX($L$2:$L$1001,MATCH(ROWS($J$2:J333),$J$2:$J$1001,0),0), INDEX($Q$1004:$U$1004,1,MATCH(COLUMNS($Q$1006:Q1006),$Q$1006:$U$1006,0)))),"Fix")))</f>
        <v xml:space="preserve"> </v>
      </c>
      <c r="C333" s="3" t="str">
        <f ca="1">IF(OR(INDEX($K$2:$K$1001,MATCH(ROWS($J$2:J333),$J$2:$J$1001,0),1)&gt;=100000,INDEX($Q$1005:$U$1005,1,MATCH(COLUMNS($Q$1006:R1006),$Q$1006:$U$1006,0))&gt;=100000), " ",IF(INDEX($Q$2:$U$1001,MATCH(ROWS($J$2:J333),$J$2:$J$1001,0),MATCH(COLUMNS($Q$1006:R1006),$Q$1006:$U$1006,0)), HYPERLINK("#",""), HYPERLINK(CONCATENATE("#Metadata!", ADDRESS(INDEX($L$2:$L$1001,MATCH(ROWS($J$2:J333),$J$2:$J$1001,0),0), INDEX($Q$1004:$U$1004,1,MATCH(COLUMNS($Q$1006:R1006),$Q$1006:$U$1006,0)))),"Fix")))</f>
        <v xml:space="preserve"> </v>
      </c>
      <c r="D333" s="3" t="str">
        <f ca="1">IF(OR(INDEX($K$2:$K$1001,MATCH(ROWS($J$2:J333),$J$2:$J$1001,0),1)&gt;=100000,INDEX($Q$1005:$U$1005,1,MATCH(COLUMNS($Q$1006:S1006),$Q$1006:$U$1006,0))&gt;=100000), " ",IF(INDEX($Q$2:$U$1001,MATCH(ROWS($J$2:J333),$J$2:$J$1001,0),MATCH(COLUMNS($Q$1006:S1006),$Q$1006:$U$1006,0)), HYPERLINK("#",""), HYPERLINK(CONCATENATE("#Metadata!", ADDRESS(INDEX($L$2:$L$1001,MATCH(ROWS($J$2:J333),$J$2:$J$1001,0),0), INDEX($Q$1004:$U$1004,1,MATCH(COLUMNS($Q$1006:S1006),$Q$1006:$U$1006,0)))),"Fix")))</f>
        <v xml:space="preserve"> </v>
      </c>
      <c r="E333" s="3" t="str">
        <f ca="1">IF(OR(INDEX($K$2:$K$1001,MATCH(ROWS($J$2:J333),$J$2:$J$1001,0),1)&gt;=100000,INDEX($Q$1005:$U$1005,1,MATCH(COLUMNS($Q$1006:T1006),$Q$1006:$U$1006,0))&gt;=100000), " ",IF(INDEX($Q$2:$U$1001,MATCH(ROWS($J$2:J333),$J$2:$J$1001,0),MATCH(COLUMNS($Q$1006:T1006),$Q$1006:$U$1006,0)), HYPERLINK("#",""), HYPERLINK(CONCATENATE("#Metadata!", ADDRESS(INDEX($L$2:$L$1001,MATCH(ROWS($J$2:J333),$J$2:$J$1001,0),0), INDEX($Q$1004:$U$1004,1,MATCH(COLUMNS($Q$1006:T1006),$Q$1006:$U$1006,0)))),"Fix")))</f>
        <v xml:space="preserve"> </v>
      </c>
      <c r="F333" s="3" t="str">
        <f ca="1">IF(OR(INDEX($K$2:$K$1001,MATCH(ROWS($J$2:J333),$J$2:$J$1001,0),1)&gt;=100000,INDEX($Q$1005:$U$1005,1,MATCH(COLUMNS($Q$1006:U1006),$Q$1006:$U$1006,0))&gt;=100000), " ",IF(INDEX($Q$2:$U$1001,MATCH(ROWS($J$2:J333),$J$2:$J$1001,0),MATCH(COLUMNS($Q$1006:U1006),$Q$1006:$U$1006,0)), HYPERLINK("#",""), HYPERLINK(CONCATENATE("#Metadata!", ADDRESS(INDEX($L$2:$L$1001,MATCH(ROWS($J$2:J333),$J$2:$J$1001,0),0), INDEX($Q$1004:$U$1004,1,MATCH(COLUMNS($Q$1006:U1006),$Q$1006:$U$1006,0)))),"Fix")))</f>
        <v xml:space="preserve"> </v>
      </c>
      <c r="J333">
        <f ca="1"/>
        <v>332</v>
      </c>
      <c r="K333">
        <v>100333</v>
      </c>
      <c r="L333">
        <v>333</v>
      </c>
      <c r="M333" t="b">
        <f t="shared" si="5"/>
        <v>1</v>
      </c>
      <c r="N333" t="b">
        <f>COUNTBLANK(Metadata!B333:F333)=COLUMNS(Metadata!B333:F333)</f>
        <v>1</v>
      </c>
      <c r="O333" t="str">
        <v/>
      </c>
      <c r="Q333" t="b">
        <f ca="1"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R333" t="b">
        <f>IF(Metadata!C333="",FALSE,TRUE)</f>
        <v>0</v>
      </c>
      <c r="S333" t="b">
        <f>OR(AND(IF(Metadata!D333="",FALSE,TRUE),EXACT(Metadata!D333,"missing: not collected")),AND(IF(Metadata!D333="",FALSE,TRUE),OR(EXACT(Metadata!D333,"t"),EXACT(Metadata!D333,"f"))))</f>
        <v>0</v>
      </c>
      <c r="T333" t="b">
        <f>AND(IF(Metadata!E333="",FALSE,TRUE),OR(EXACT(Metadata!E333,"a"),EXACT(Metadata!E333,"b")))</f>
        <v>0</v>
      </c>
      <c r="U333" t="b">
        <f>OR(AND(IF(Metadata!F333="",FALSE,TRUE),OR(EXACT(Metadata!F333,"missing: not collected"),EXACT(Metadata!F333,"missing: not provided"))),AND(IF(Metadata!F333="",FALSE,TRUE),OR(EXACT(Metadata!F333,"lo"),EXACT(Metadata!F333,"med"),EXACT(Metadata!F333,"hi"))))</f>
        <v>0</v>
      </c>
    </row>
    <row r="334" spans="1:21" x14ac:dyDescent="0.2">
      <c r="A334" s="4" t="str">
        <f ca="1">IF(B334=" "," ",HYPERLINK(CONCATENATE("#metadata!",ADDRESS(INDEX($L$2:$L$1001,MATCH(ROWS($J$2:J334),$J$2:$J$1001,0),0),1)),INDEX($O$2:$O$1001,MATCH(ROWS($J$2:J334),$J$2:$J$1001,0),0)))</f>
        <v xml:space="preserve"> </v>
      </c>
      <c r="B334" s="3" t="str">
        <f ca="1">IF(OR(INDEX($K$2:$K$1001,MATCH(ROWS($J$2:J334),$J$2:$J$1001,0),1)&gt;=100000,INDEX($Q$1005:$U$1005,1,MATCH(COLUMNS($Q$1006:Q1006),$Q$1006:$U$1006,0))&gt;=100000), " ",IF(INDEX($Q$2:$U$1001,MATCH(ROWS($J$2:J334),$J$2:$J$1001,0),MATCH(COLUMNS($Q$1006:Q1006),$Q$1006:$U$1006,0)), HYPERLINK("#",""), HYPERLINK(CONCATENATE("#Metadata!", ADDRESS(INDEX($L$2:$L$1001,MATCH(ROWS($J$2:J334),$J$2:$J$1001,0),0), INDEX($Q$1004:$U$1004,1,MATCH(COLUMNS($Q$1006:Q1006),$Q$1006:$U$1006,0)))),"Fix")))</f>
        <v xml:space="preserve"> </v>
      </c>
      <c r="C334" s="3" t="str">
        <f ca="1">IF(OR(INDEX($K$2:$K$1001,MATCH(ROWS($J$2:J334),$J$2:$J$1001,0),1)&gt;=100000,INDEX($Q$1005:$U$1005,1,MATCH(COLUMNS($Q$1006:R1006),$Q$1006:$U$1006,0))&gt;=100000), " ",IF(INDEX($Q$2:$U$1001,MATCH(ROWS($J$2:J334),$J$2:$J$1001,0),MATCH(COLUMNS($Q$1006:R1006),$Q$1006:$U$1006,0)), HYPERLINK("#",""), HYPERLINK(CONCATENATE("#Metadata!", ADDRESS(INDEX($L$2:$L$1001,MATCH(ROWS($J$2:J334),$J$2:$J$1001,0),0), INDEX($Q$1004:$U$1004,1,MATCH(COLUMNS($Q$1006:R1006),$Q$1006:$U$1006,0)))),"Fix")))</f>
        <v xml:space="preserve"> </v>
      </c>
      <c r="D334" s="3" t="str">
        <f ca="1">IF(OR(INDEX($K$2:$K$1001,MATCH(ROWS($J$2:J334),$J$2:$J$1001,0),1)&gt;=100000,INDEX($Q$1005:$U$1005,1,MATCH(COLUMNS($Q$1006:S1006),$Q$1006:$U$1006,0))&gt;=100000), " ",IF(INDEX($Q$2:$U$1001,MATCH(ROWS($J$2:J334),$J$2:$J$1001,0),MATCH(COLUMNS($Q$1006:S1006),$Q$1006:$U$1006,0)), HYPERLINK("#",""), HYPERLINK(CONCATENATE("#Metadata!", ADDRESS(INDEX($L$2:$L$1001,MATCH(ROWS($J$2:J334),$J$2:$J$1001,0),0), INDEX($Q$1004:$U$1004,1,MATCH(COLUMNS($Q$1006:S1006),$Q$1006:$U$1006,0)))),"Fix")))</f>
        <v xml:space="preserve"> </v>
      </c>
      <c r="E334" s="3" t="str">
        <f ca="1">IF(OR(INDEX($K$2:$K$1001,MATCH(ROWS($J$2:J334),$J$2:$J$1001,0),1)&gt;=100000,INDEX($Q$1005:$U$1005,1,MATCH(COLUMNS($Q$1006:T1006),$Q$1006:$U$1006,0))&gt;=100000), " ",IF(INDEX($Q$2:$U$1001,MATCH(ROWS($J$2:J334),$J$2:$J$1001,0),MATCH(COLUMNS($Q$1006:T1006),$Q$1006:$U$1006,0)), HYPERLINK("#",""), HYPERLINK(CONCATENATE("#Metadata!", ADDRESS(INDEX($L$2:$L$1001,MATCH(ROWS($J$2:J334),$J$2:$J$1001,0),0), INDEX($Q$1004:$U$1004,1,MATCH(COLUMNS($Q$1006:T1006),$Q$1006:$U$1006,0)))),"Fix")))</f>
        <v xml:space="preserve"> </v>
      </c>
      <c r="F334" s="3" t="str">
        <f ca="1">IF(OR(INDEX($K$2:$K$1001,MATCH(ROWS($J$2:J334),$J$2:$J$1001,0),1)&gt;=100000,INDEX($Q$1005:$U$1005,1,MATCH(COLUMNS($Q$1006:U1006),$Q$1006:$U$1006,0))&gt;=100000), " ",IF(INDEX($Q$2:$U$1001,MATCH(ROWS($J$2:J334),$J$2:$J$1001,0),MATCH(COLUMNS($Q$1006:U1006),$Q$1006:$U$1006,0)), HYPERLINK("#",""), HYPERLINK(CONCATENATE("#Metadata!", ADDRESS(INDEX($L$2:$L$1001,MATCH(ROWS($J$2:J334),$J$2:$J$1001,0),0), INDEX($Q$1004:$U$1004,1,MATCH(COLUMNS($Q$1006:U1006),$Q$1006:$U$1006,0)))),"Fix")))</f>
        <v xml:space="preserve"> </v>
      </c>
      <c r="J334">
        <f ca="1"/>
        <v>333</v>
      </c>
      <c r="K334">
        <v>100334</v>
      </c>
      <c r="L334">
        <v>334</v>
      </c>
      <c r="M334" t="b">
        <f t="shared" si="5"/>
        <v>1</v>
      </c>
      <c r="N334" t="b">
        <f>COUNTBLANK(Metadata!B334:F334)=COLUMNS(Metadata!B334:F334)</f>
        <v>1</v>
      </c>
      <c r="O334" t="str">
        <v/>
      </c>
      <c r="Q334" t="b">
        <f ca="1"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R334" t="b">
        <f>IF(Metadata!C334="",FALSE,TRUE)</f>
        <v>0</v>
      </c>
      <c r="S334" t="b">
        <f>OR(AND(IF(Metadata!D334="",FALSE,TRUE),EXACT(Metadata!D334,"missing: not collected")),AND(IF(Metadata!D334="",FALSE,TRUE),OR(EXACT(Metadata!D334,"t"),EXACT(Metadata!D334,"f"))))</f>
        <v>0</v>
      </c>
      <c r="T334" t="b">
        <f>AND(IF(Metadata!E334="",FALSE,TRUE),OR(EXACT(Metadata!E334,"a"),EXACT(Metadata!E334,"b")))</f>
        <v>0</v>
      </c>
      <c r="U334" t="b">
        <f>OR(AND(IF(Metadata!F334="",FALSE,TRUE),OR(EXACT(Metadata!F334,"missing: not collected"),EXACT(Metadata!F334,"missing: not provided"))),AND(IF(Metadata!F334="",FALSE,TRUE),OR(EXACT(Metadata!F334,"lo"),EXACT(Metadata!F334,"med"),EXACT(Metadata!F334,"hi"))))</f>
        <v>0</v>
      </c>
    </row>
    <row r="335" spans="1:21" x14ac:dyDescent="0.2">
      <c r="A335" s="4" t="str">
        <f ca="1">IF(B335=" "," ",HYPERLINK(CONCATENATE("#metadata!",ADDRESS(INDEX($L$2:$L$1001,MATCH(ROWS($J$2:J335),$J$2:$J$1001,0),0),1)),INDEX($O$2:$O$1001,MATCH(ROWS($J$2:J335),$J$2:$J$1001,0),0)))</f>
        <v xml:space="preserve"> </v>
      </c>
      <c r="B335" s="3" t="str">
        <f ca="1">IF(OR(INDEX($K$2:$K$1001,MATCH(ROWS($J$2:J335),$J$2:$J$1001,0),1)&gt;=100000,INDEX($Q$1005:$U$1005,1,MATCH(COLUMNS($Q$1006:Q1006),$Q$1006:$U$1006,0))&gt;=100000), " ",IF(INDEX($Q$2:$U$1001,MATCH(ROWS($J$2:J335),$J$2:$J$1001,0),MATCH(COLUMNS($Q$1006:Q1006),$Q$1006:$U$1006,0)), HYPERLINK("#",""), HYPERLINK(CONCATENATE("#Metadata!", ADDRESS(INDEX($L$2:$L$1001,MATCH(ROWS($J$2:J335),$J$2:$J$1001,0),0), INDEX($Q$1004:$U$1004,1,MATCH(COLUMNS($Q$1006:Q1006),$Q$1006:$U$1006,0)))),"Fix")))</f>
        <v xml:space="preserve"> </v>
      </c>
      <c r="C335" s="3" t="str">
        <f ca="1">IF(OR(INDEX($K$2:$K$1001,MATCH(ROWS($J$2:J335),$J$2:$J$1001,0),1)&gt;=100000,INDEX($Q$1005:$U$1005,1,MATCH(COLUMNS($Q$1006:R1006),$Q$1006:$U$1006,0))&gt;=100000), " ",IF(INDEX($Q$2:$U$1001,MATCH(ROWS($J$2:J335),$J$2:$J$1001,0),MATCH(COLUMNS($Q$1006:R1006),$Q$1006:$U$1006,0)), HYPERLINK("#",""), HYPERLINK(CONCATENATE("#Metadata!", ADDRESS(INDEX($L$2:$L$1001,MATCH(ROWS($J$2:J335),$J$2:$J$1001,0),0), INDEX($Q$1004:$U$1004,1,MATCH(COLUMNS($Q$1006:R1006),$Q$1006:$U$1006,0)))),"Fix")))</f>
        <v xml:space="preserve"> </v>
      </c>
      <c r="D335" s="3" t="str">
        <f ca="1">IF(OR(INDEX($K$2:$K$1001,MATCH(ROWS($J$2:J335),$J$2:$J$1001,0),1)&gt;=100000,INDEX($Q$1005:$U$1005,1,MATCH(COLUMNS($Q$1006:S1006),$Q$1006:$U$1006,0))&gt;=100000), " ",IF(INDEX($Q$2:$U$1001,MATCH(ROWS($J$2:J335),$J$2:$J$1001,0),MATCH(COLUMNS($Q$1006:S1006),$Q$1006:$U$1006,0)), HYPERLINK("#",""), HYPERLINK(CONCATENATE("#Metadata!", ADDRESS(INDEX($L$2:$L$1001,MATCH(ROWS($J$2:J335),$J$2:$J$1001,0),0), INDEX($Q$1004:$U$1004,1,MATCH(COLUMNS($Q$1006:S1006),$Q$1006:$U$1006,0)))),"Fix")))</f>
        <v xml:space="preserve"> </v>
      </c>
      <c r="E335" s="3" t="str">
        <f ca="1">IF(OR(INDEX($K$2:$K$1001,MATCH(ROWS($J$2:J335),$J$2:$J$1001,0),1)&gt;=100000,INDEX($Q$1005:$U$1005,1,MATCH(COLUMNS($Q$1006:T1006),$Q$1006:$U$1006,0))&gt;=100000), " ",IF(INDEX($Q$2:$U$1001,MATCH(ROWS($J$2:J335),$J$2:$J$1001,0),MATCH(COLUMNS($Q$1006:T1006),$Q$1006:$U$1006,0)), HYPERLINK("#",""), HYPERLINK(CONCATENATE("#Metadata!", ADDRESS(INDEX($L$2:$L$1001,MATCH(ROWS($J$2:J335),$J$2:$J$1001,0),0), INDEX($Q$1004:$U$1004,1,MATCH(COLUMNS($Q$1006:T1006),$Q$1006:$U$1006,0)))),"Fix")))</f>
        <v xml:space="preserve"> </v>
      </c>
      <c r="F335" s="3" t="str">
        <f ca="1">IF(OR(INDEX($K$2:$K$1001,MATCH(ROWS($J$2:J335),$J$2:$J$1001,0),1)&gt;=100000,INDEX($Q$1005:$U$1005,1,MATCH(COLUMNS($Q$1006:U1006),$Q$1006:$U$1006,0))&gt;=100000), " ",IF(INDEX($Q$2:$U$1001,MATCH(ROWS($J$2:J335),$J$2:$J$1001,0),MATCH(COLUMNS($Q$1006:U1006),$Q$1006:$U$1006,0)), HYPERLINK("#",""), HYPERLINK(CONCATENATE("#Metadata!", ADDRESS(INDEX($L$2:$L$1001,MATCH(ROWS($J$2:J335),$J$2:$J$1001,0),0), INDEX($Q$1004:$U$1004,1,MATCH(COLUMNS($Q$1006:U1006),$Q$1006:$U$1006,0)))),"Fix")))</f>
        <v xml:space="preserve"> </v>
      </c>
      <c r="J335">
        <f ca="1"/>
        <v>334</v>
      </c>
      <c r="K335">
        <v>100335</v>
      </c>
      <c r="L335">
        <v>335</v>
      </c>
      <c r="M335" t="b">
        <f t="shared" si="5"/>
        <v>1</v>
      </c>
      <c r="N335" t="b">
        <f>COUNTBLANK(Metadata!B335:F335)=COLUMNS(Metadata!B335:F335)</f>
        <v>1</v>
      </c>
      <c r="O335" t="str">
        <v/>
      </c>
      <c r="Q335" t="b">
        <f ca="1"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R335" t="b">
        <f>IF(Metadata!C335="",FALSE,TRUE)</f>
        <v>0</v>
      </c>
      <c r="S335" t="b">
        <f>OR(AND(IF(Metadata!D335="",FALSE,TRUE),EXACT(Metadata!D335,"missing: not collected")),AND(IF(Metadata!D335="",FALSE,TRUE),OR(EXACT(Metadata!D335,"t"),EXACT(Metadata!D335,"f"))))</f>
        <v>0</v>
      </c>
      <c r="T335" t="b">
        <f>AND(IF(Metadata!E335="",FALSE,TRUE),OR(EXACT(Metadata!E335,"a"),EXACT(Metadata!E335,"b")))</f>
        <v>0</v>
      </c>
      <c r="U335" t="b">
        <f>OR(AND(IF(Metadata!F335="",FALSE,TRUE),OR(EXACT(Metadata!F335,"missing: not collected"),EXACT(Metadata!F335,"missing: not provided"))),AND(IF(Metadata!F335="",FALSE,TRUE),OR(EXACT(Metadata!F335,"lo"),EXACT(Metadata!F335,"med"),EXACT(Metadata!F335,"hi"))))</f>
        <v>0</v>
      </c>
    </row>
    <row r="336" spans="1:21" x14ac:dyDescent="0.2">
      <c r="A336" s="4" t="str">
        <f ca="1">IF(B336=" "," ",HYPERLINK(CONCATENATE("#metadata!",ADDRESS(INDEX($L$2:$L$1001,MATCH(ROWS($J$2:J336),$J$2:$J$1001,0),0),1)),INDEX($O$2:$O$1001,MATCH(ROWS($J$2:J336),$J$2:$J$1001,0),0)))</f>
        <v xml:space="preserve"> </v>
      </c>
      <c r="B336" s="3" t="str">
        <f ca="1">IF(OR(INDEX($K$2:$K$1001,MATCH(ROWS($J$2:J336),$J$2:$J$1001,0),1)&gt;=100000,INDEX($Q$1005:$U$1005,1,MATCH(COLUMNS($Q$1006:Q1006),$Q$1006:$U$1006,0))&gt;=100000), " ",IF(INDEX($Q$2:$U$1001,MATCH(ROWS($J$2:J336),$J$2:$J$1001,0),MATCH(COLUMNS($Q$1006:Q1006),$Q$1006:$U$1006,0)), HYPERLINK("#",""), HYPERLINK(CONCATENATE("#Metadata!", ADDRESS(INDEX($L$2:$L$1001,MATCH(ROWS($J$2:J336),$J$2:$J$1001,0),0), INDEX($Q$1004:$U$1004,1,MATCH(COLUMNS($Q$1006:Q1006),$Q$1006:$U$1006,0)))),"Fix")))</f>
        <v xml:space="preserve"> </v>
      </c>
      <c r="C336" s="3" t="str">
        <f ca="1">IF(OR(INDEX($K$2:$K$1001,MATCH(ROWS($J$2:J336),$J$2:$J$1001,0),1)&gt;=100000,INDEX($Q$1005:$U$1005,1,MATCH(COLUMNS($Q$1006:R1006),$Q$1006:$U$1006,0))&gt;=100000), " ",IF(INDEX($Q$2:$U$1001,MATCH(ROWS($J$2:J336),$J$2:$J$1001,0),MATCH(COLUMNS($Q$1006:R1006),$Q$1006:$U$1006,0)), HYPERLINK("#",""), HYPERLINK(CONCATENATE("#Metadata!", ADDRESS(INDEX($L$2:$L$1001,MATCH(ROWS($J$2:J336),$J$2:$J$1001,0),0), INDEX($Q$1004:$U$1004,1,MATCH(COLUMNS($Q$1006:R1006),$Q$1006:$U$1006,0)))),"Fix")))</f>
        <v xml:space="preserve"> </v>
      </c>
      <c r="D336" s="3" t="str">
        <f ca="1">IF(OR(INDEX($K$2:$K$1001,MATCH(ROWS($J$2:J336),$J$2:$J$1001,0),1)&gt;=100000,INDEX($Q$1005:$U$1005,1,MATCH(COLUMNS($Q$1006:S1006),$Q$1006:$U$1006,0))&gt;=100000), " ",IF(INDEX($Q$2:$U$1001,MATCH(ROWS($J$2:J336),$J$2:$J$1001,0),MATCH(COLUMNS($Q$1006:S1006),$Q$1006:$U$1006,0)), HYPERLINK("#",""), HYPERLINK(CONCATENATE("#Metadata!", ADDRESS(INDEX($L$2:$L$1001,MATCH(ROWS($J$2:J336),$J$2:$J$1001,0),0), INDEX($Q$1004:$U$1004,1,MATCH(COLUMNS($Q$1006:S1006),$Q$1006:$U$1006,0)))),"Fix")))</f>
        <v xml:space="preserve"> </v>
      </c>
      <c r="E336" s="3" t="str">
        <f ca="1">IF(OR(INDEX($K$2:$K$1001,MATCH(ROWS($J$2:J336),$J$2:$J$1001,0),1)&gt;=100000,INDEX($Q$1005:$U$1005,1,MATCH(COLUMNS($Q$1006:T1006),$Q$1006:$U$1006,0))&gt;=100000), " ",IF(INDEX($Q$2:$U$1001,MATCH(ROWS($J$2:J336),$J$2:$J$1001,0),MATCH(COLUMNS($Q$1006:T1006),$Q$1006:$U$1006,0)), HYPERLINK("#",""), HYPERLINK(CONCATENATE("#Metadata!", ADDRESS(INDEX($L$2:$L$1001,MATCH(ROWS($J$2:J336),$J$2:$J$1001,0),0), INDEX($Q$1004:$U$1004,1,MATCH(COLUMNS($Q$1006:T1006),$Q$1006:$U$1006,0)))),"Fix")))</f>
        <v xml:space="preserve"> </v>
      </c>
      <c r="F336" s="3" t="str">
        <f ca="1">IF(OR(INDEX($K$2:$K$1001,MATCH(ROWS($J$2:J336),$J$2:$J$1001,0),1)&gt;=100000,INDEX($Q$1005:$U$1005,1,MATCH(COLUMNS($Q$1006:U1006),$Q$1006:$U$1006,0))&gt;=100000), " ",IF(INDEX($Q$2:$U$1001,MATCH(ROWS($J$2:J336),$J$2:$J$1001,0),MATCH(COLUMNS($Q$1006:U1006),$Q$1006:$U$1006,0)), HYPERLINK("#",""), HYPERLINK(CONCATENATE("#Metadata!", ADDRESS(INDEX($L$2:$L$1001,MATCH(ROWS($J$2:J336),$J$2:$J$1001,0),0), INDEX($Q$1004:$U$1004,1,MATCH(COLUMNS($Q$1006:U1006),$Q$1006:$U$1006,0)))),"Fix")))</f>
        <v xml:space="preserve"> </v>
      </c>
      <c r="J336">
        <f ca="1"/>
        <v>335</v>
      </c>
      <c r="K336">
        <v>100336</v>
      </c>
      <c r="L336">
        <v>336</v>
      </c>
      <c r="M336" t="b">
        <f t="shared" si="5"/>
        <v>1</v>
      </c>
      <c r="N336" t="b">
        <f>COUNTBLANK(Metadata!B336:F336)=COLUMNS(Metadata!B336:F336)</f>
        <v>1</v>
      </c>
      <c r="O336" t="str">
        <v/>
      </c>
      <c r="Q336" t="b">
        <f ca="1"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R336" t="b">
        <f>IF(Metadata!C336="",FALSE,TRUE)</f>
        <v>0</v>
      </c>
      <c r="S336" t="b">
        <f>OR(AND(IF(Metadata!D336="",FALSE,TRUE),EXACT(Metadata!D336,"missing: not collected")),AND(IF(Metadata!D336="",FALSE,TRUE),OR(EXACT(Metadata!D336,"t"),EXACT(Metadata!D336,"f"))))</f>
        <v>0</v>
      </c>
      <c r="T336" t="b">
        <f>AND(IF(Metadata!E336="",FALSE,TRUE),OR(EXACT(Metadata!E336,"a"),EXACT(Metadata!E336,"b")))</f>
        <v>0</v>
      </c>
      <c r="U336" t="b">
        <f>OR(AND(IF(Metadata!F336="",FALSE,TRUE),OR(EXACT(Metadata!F336,"missing: not collected"),EXACT(Metadata!F336,"missing: not provided"))),AND(IF(Metadata!F336="",FALSE,TRUE),OR(EXACT(Metadata!F336,"lo"),EXACT(Metadata!F336,"med"),EXACT(Metadata!F336,"hi"))))</f>
        <v>0</v>
      </c>
    </row>
    <row r="337" spans="1:21" x14ac:dyDescent="0.2">
      <c r="A337" s="4" t="str">
        <f ca="1">IF(B337=" "," ",HYPERLINK(CONCATENATE("#metadata!",ADDRESS(INDEX($L$2:$L$1001,MATCH(ROWS($J$2:J337),$J$2:$J$1001,0),0),1)),INDEX($O$2:$O$1001,MATCH(ROWS($J$2:J337),$J$2:$J$1001,0),0)))</f>
        <v xml:space="preserve"> </v>
      </c>
      <c r="B337" s="3" t="str">
        <f ca="1">IF(OR(INDEX($K$2:$K$1001,MATCH(ROWS($J$2:J337),$J$2:$J$1001,0),1)&gt;=100000,INDEX($Q$1005:$U$1005,1,MATCH(COLUMNS($Q$1006:Q1006),$Q$1006:$U$1006,0))&gt;=100000), " ",IF(INDEX($Q$2:$U$1001,MATCH(ROWS($J$2:J337),$J$2:$J$1001,0),MATCH(COLUMNS($Q$1006:Q1006),$Q$1006:$U$1006,0)), HYPERLINK("#",""), HYPERLINK(CONCATENATE("#Metadata!", ADDRESS(INDEX($L$2:$L$1001,MATCH(ROWS($J$2:J337),$J$2:$J$1001,0),0), INDEX($Q$1004:$U$1004,1,MATCH(COLUMNS($Q$1006:Q1006),$Q$1006:$U$1006,0)))),"Fix")))</f>
        <v xml:space="preserve"> </v>
      </c>
      <c r="C337" s="3" t="str">
        <f ca="1">IF(OR(INDEX($K$2:$K$1001,MATCH(ROWS($J$2:J337),$J$2:$J$1001,0),1)&gt;=100000,INDEX($Q$1005:$U$1005,1,MATCH(COLUMNS($Q$1006:R1006),$Q$1006:$U$1006,0))&gt;=100000), " ",IF(INDEX($Q$2:$U$1001,MATCH(ROWS($J$2:J337),$J$2:$J$1001,0),MATCH(COLUMNS($Q$1006:R1006),$Q$1006:$U$1006,0)), HYPERLINK("#",""), HYPERLINK(CONCATENATE("#Metadata!", ADDRESS(INDEX($L$2:$L$1001,MATCH(ROWS($J$2:J337),$J$2:$J$1001,0),0), INDEX($Q$1004:$U$1004,1,MATCH(COLUMNS($Q$1006:R1006),$Q$1006:$U$1006,0)))),"Fix")))</f>
        <v xml:space="preserve"> </v>
      </c>
      <c r="D337" s="3" t="str">
        <f ca="1">IF(OR(INDEX($K$2:$K$1001,MATCH(ROWS($J$2:J337),$J$2:$J$1001,0),1)&gt;=100000,INDEX($Q$1005:$U$1005,1,MATCH(COLUMNS($Q$1006:S1006),$Q$1006:$U$1006,0))&gt;=100000), " ",IF(INDEX($Q$2:$U$1001,MATCH(ROWS($J$2:J337),$J$2:$J$1001,0),MATCH(COLUMNS($Q$1006:S1006),$Q$1006:$U$1006,0)), HYPERLINK("#",""), HYPERLINK(CONCATENATE("#Metadata!", ADDRESS(INDEX($L$2:$L$1001,MATCH(ROWS($J$2:J337),$J$2:$J$1001,0),0), INDEX($Q$1004:$U$1004,1,MATCH(COLUMNS($Q$1006:S1006),$Q$1006:$U$1006,0)))),"Fix")))</f>
        <v xml:space="preserve"> </v>
      </c>
      <c r="E337" s="3" t="str">
        <f ca="1">IF(OR(INDEX($K$2:$K$1001,MATCH(ROWS($J$2:J337),$J$2:$J$1001,0),1)&gt;=100000,INDEX($Q$1005:$U$1005,1,MATCH(COLUMNS($Q$1006:T1006),$Q$1006:$U$1006,0))&gt;=100000), " ",IF(INDEX($Q$2:$U$1001,MATCH(ROWS($J$2:J337),$J$2:$J$1001,0),MATCH(COLUMNS($Q$1006:T1006),$Q$1006:$U$1006,0)), HYPERLINK("#",""), HYPERLINK(CONCATENATE("#Metadata!", ADDRESS(INDEX($L$2:$L$1001,MATCH(ROWS($J$2:J337),$J$2:$J$1001,0),0), INDEX($Q$1004:$U$1004,1,MATCH(COLUMNS($Q$1006:T1006),$Q$1006:$U$1006,0)))),"Fix")))</f>
        <v xml:space="preserve"> </v>
      </c>
      <c r="F337" s="3" t="str">
        <f ca="1">IF(OR(INDEX($K$2:$K$1001,MATCH(ROWS($J$2:J337),$J$2:$J$1001,0),1)&gt;=100000,INDEX($Q$1005:$U$1005,1,MATCH(COLUMNS($Q$1006:U1006),$Q$1006:$U$1006,0))&gt;=100000), " ",IF(INDEX($Q$2:$U$1001,MATCH(ROWS($J$2:J337),$J$2:$J$1001,0),MATCH(COLUMNS($Q$1006:U1006),$Q$1006:$U$1006,0)), HYPERLINK("#",""), HYPERLINK(CONCATENATE("#Metadata!", ADDRESS(INDEX($L$2:$L$1001,MATCH(ROWS($J$2:J337),$J$2:$J$1001,0),0), INDEX($Q$1004:$U$1004,1,MATCH(COLUMNS($Q$1006:U1006),$Q$1006:$U$1006,0)))),"Fix")))</f>
        <v xml:space="preserve"> </v>
      </c>
      <c r="J337">
        <f ca="1"/>
        <v>336</v>
      </c>
      <c r="K337">
        <v>100337</v>
      </c>
      <c r="L337">
        <v>337</v>
      </c>
      <c r="M337" t="b">
        <f t="shared" si="5"/>
        <v>1</v>
      </c>
      <c r="N337" t="b">
        <f>COUNTBLANK(Metadata!B337:F337)=COLUMNS(Metadata!B337:F337)</f>
        <v>1</v>
      </c>
      <c r="O337" t="str">
        <v/>
      </c>
      <c r="Q337" t="b">
        <f ca="1"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R337" t="b">
        <f>IF(Metadata!C337="",FALSE,TRUE)</f>
        <v>0</v>
      </c>
      <c r="S337" t="b">
        <f>OR(AND(IF(Metadata!D337="",FALSE,TRUE),EXACT(Metadata!D337,"missing: not collected")),AND(IF(Metadata!D337="",FALSE,TRUE),OR(EXACT(Metadata!D337,"t"),EXACT(Metadata!D337,"f"))))</f>
        <v>0</v>
      </c>
      <c r="T337" t="b">
        <f>AND(IF(Metadata!E337="",FALSE,TRUE),OR(EXACT(Metadata!E337,"a"),EXACT(Metadata!E337,"b")))</f>
        <v>0</v>
      </c>
      <c r="U337" t="b">
        <f>OR(AND(IF(Metadata!F337="",FALSE,TRUE),OR(EXACT(Metadata!F337,"missing: not collected"),EXACT(Metadata!F337,"missing: not provided"))),AND(IF(Metadata!F337="",FALSE,TRUE),OR(EXACT(Metadata!F337,"lo"),EXACT(Metadata!F337,"med"),EXACT(Metadata!F337,"hi"))))</f>
        <v>0</v>
      </c>
    </row>
    <row r="338" spans="1:21" x14ac:dyDescent="0.2">
      <c r="A338" s="4" t="str">
        <f ca="1">IF(B338=" "," ",HYPERLINK(CONCATENATE("#metadata!",ADDRESS(INDEX($L$2:$L$1001,MATCH(ROWS($J$2:J338),$J$2:$J$1001,0),0),1)),INDEX($O$2:$O$1001,MATCH(ROWS($J$2:J338),$J$2:$J$1001,0),0)))</f>
        <v xml:space="preserve"> </v>
      </c>
      <c r="B338" s="3" t="str">
        <f ca="1">IF(OR(INDEX($K$2:$K$1001,MATCH(ROWS($J$2:J338),$J$2:$J$1001,0),1)&gt;=100000,INDEX($Q$1005:$U$1005,1,MATCH(COLUMNS($Q$1006:Q1006),$Q$1006:$U$1006,0))&gt;=100000), " ",IF(INDEX($Q$2:$U$1001,MATCH(ROWS($J$2:J338),$J$2:$J$1001,0),MATCH(COLUMNS($Q$1006:Q1006),$Q$1006:$U$1006,0)), HYPERLINK("#",""), HYPERLINK(CONCATENATE("#Metadata!", ADDRESS(INDEX($L$2:$L$1001,MATCH(ROWS($J$2:J338),$J$2:$J$1001,0),0), INDEX($Q$1004:$U$1004,1,MATCH(COLUMNS($Q$1006:Q1006),$Q$1006:$U$1006,0)))),"Fix")))</f>
        <v xml:space="preserve"> </v>
      </c>
      <c r="C338" s="3" t="str">
        <f ca="1">IF(OR(INDEX($K$2:$K$1001,MATCH(ROWS($J$2:J338),$J$2:$J$1001,0),1)&gt;=100000,INDEX($Q$1005:$U$1005,1,MATCH(COLUMNS($Q$1006:R1006),$Q$1006:$U$1006,0))&gt;=100000), " ",IF(INDEX($Q$2:$U$1001,MATCH(ROWS($J$2:J338),$J$2:$J$1001,0),MATCH(COLUMNS($Q$1006:R1006),$Q$1006:$U$1006,0)), HYPERLINK("#",""), HYPERLINK(CONCATENATE("#Metadata!", ADDRESS(INDEX($L$2:$L$1001,MATCH(ROWS($J$2:J338),$J$2:$J$1001,0),0), INDEX($Q$1004:$U$1004,1,MATCH(COLUMNS($Q$1006:R1006),$Q$1006:$U$1006,0)))),"Fix")))</f>
        <v xml:space="preserve"> </v>
      </c>
      <c r="D338" s="3" t="str">
        <f ca="1">IF(OR(INDEX($K$2:$K$1001,MATCH(ROWS($J$2:J338),$J$2:$J$1001,0),1)&gt;=100000,INDEX($Q$1005:$U$1005,1,MATCH(COLUMNS($Q$1006:S1006),$Q$1006:$U$1006,0))&gt;=100000), " ",IF(INDEX($Q$2:$U$1001,MATCH(ROWS($J$2:J338),$J$2:$J$1001,0),MATCH(COLUMNS($Q$1006:S1006),$Q$1006:$U$1006,0)), HYPERLINK("#",""), HYPERLINK(CONCATENATE("#Metadata!", ADDRESS(INDEX($L$2:$L$1001,MATCH(ROWS($J$2:J338),$J$2:$J$1001,0),0), INDEX($Q$1004:$U$1004,1,MATCH(COLUMNS($Q$1006:S1006),$Q$1006:$U$1006,0)))),"Fix")))</f>
        <v xml:space="preserve"> </v>
      </c>
      <c r="E338" s="3" t="str">
        <f ca="1">IF(OR(INDEX($K$2:$K$1001,MATCH(ROWS($J$2:J338),$J$2:$J$1001,0),1)&gt;=100000,INDEX($Q$1005:$U$1005,1,MATCH(COLUMNS($Q$1006:T1006),$Q$1006:$U$1006,0))&gt;=100000), " ",IF(INDEX($Q$2:$U$1001,MATCH(ROWS($J$2:J338),$J$2:$J$1001,0),MATCH(COLUMNS($Q$1006:T1006),$Q$1006:$U$1006,0)), HYPERLINK("#",""), HYPERLINK(CONCATENATE("#Metadata!", ADDRESS(INDEX($L$2:$L$1001,MATCH(ROWS($J$2:J338),$J$2:$J$1001,0),0), INDEX($Q$1004:$U$1004,1,MATCH(COLUMNS($Q$1006:T1006),$Q$1006:$U$1006,0)))),"Fix")))</f>
        <v xml:space="preserve"> </v>
      </c>
      <c r="F338" s="3" t="str">
        <f ca="1">IF(OR(INDEX($K$2:$K$1001,MATCH(ROWS($J$2:J338),$J$2:$J$1001,0),1)&gt;=100000,INDEX($Q$1005:$U$1005,1,MATCH(COLUMNS($Q$1006:U1006),$Q$1006:$U$1006,0))&gt;=100000), " ",IF(INDEX($Q$2:$U$1001,MATCH(ROWS($J$2:J338),$J$2:$J$1001,0),MATCH(COLUMNS($Q$1006:U1006),$Q$1006:$U$1006,0)), HYPERLINK("#",""), HYPERLINK(CONCATENATE("#Metadata!", ADDRESS(INDEX($L$2:$L$1001,MATCH(ROWS($J$2:J338),$J$2:$J$1001,0),0), INDEX($Q$1004:$U$1004,1,MATCH(COLUMNS($Q$1006:U1006),$Q$1006:$U$1006,0)))),"Fix")))</f>
        <v xml:space="preserve"> </v>
      </c>
      <c r="J338">
        <f ca="1"/>
        <v>337</v>
      </c>
      <c r="K338">
        <v>100338</v>
      </c>
      <c r="L338">
        <v>338</v>
      </c>
      <c r="M338" t="b">
        <f t="shared" si="5"/>
        <v>1</v>
      </c>
      <c r="N338" t="b">
        <f>COUNTBLANK(Metadata!B338:F338)=COLUMNS(Metadata!B338:F338)</f>
        <v>1</v>
      </c>
      <c r="O338" t="str">
        <v/>
      </c>
      <c r="Q338" t="b">
        <f ca="1"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R338" t="b">
        <f>IF(Metadata!C338="",FALSE,TRUE)</f>
        <v>0</v>
      </c>
      <c r="S338" t="b">
        <f>OR(AND(IF(Metadata!D338="",FALSE,TRUE),EXACT(Metadata!D338,"missing: not collected")),AND(IF(Metadata!D338="",FALSE,TRUE),OR(EXACT(Metadata!D338,"t"),EXACT(Metadata!D338,"f"))))</f>
        <v>0</v>
      </c>
      <c r="T338" t="b">
        <f>AND(IF(Metadata!E338="",FALSE,TRUE),OR(EXACT(Metadata!E338,"a"),EXACT(Metadata!E338,"b")))</f>
        <v>0</v>
      </c>
      <c r="U338" t="b">
        <f>OR(AND(IF(Metadata!F338="",FALSE,TRUE),OR(EXACT(Metadata!F338,"missing: not collected"),EXACT(Metadata!F338,"missing: not provided"))),AND(IF(Metadata!F338="",FALSE,TRUE),OR(EXACT(Metadata!F338,"lo"),EXACT(Metadata!F338,"med"),EXACT(Metadata!F338,"hi"))))</f>
        <v>0</v>
      </c>
    </row>
    <row r="339" spans="1:21" x14ac:dyDescent="0.2">
      <c r="A339" s="4" t="str">
        <f ca="1">IF(B339=" "," ",HYPERLINK(CONCATENATE("#metadata!",ADDRESS(INDEX($L$2:$L$1001,MATCH(ROWS($J$2:J339),$J$2:$J$1001,0),0),1)),INDEX($O$2:$O$1001,MATCH(ROWS($J$2:J339),$J$2:$J$1001,0),0)))</f>
        <v xml:space="preserve"> </v>
      </c>
      <c r="B339" s="3" t="str">
        <f ca="1">IF(OR(INDEX($K$2:$K$1001,MATCH(ROWS($J$2:J339),$J$2:$J$1001,0),1)&gt;=100000,INDEX($Q$1005:$U$1005,1,MATCH(COLUMNS($Q$1006:Q1006),$Q$1006:$U$1006,0))&gt;=100000), " ",IF(INDEX($Q$2:$U$1001,MATCH(ROWS($J$2:J339),$J$2:$J$1001,0),MATCH(COLUMNS($Q$1006:Q1006),$Q$1006:$U$1006,0)), HYPERLINK("#",""), HYPERLINK(CONCATENATE("#Metadata!", ADDRESS(INDEX($L$2:$L$1001,MATCH(ROWS($J$2:J339),$J$2:$J$1001,0),0), INDEX($Q$1004:$U$1004,1,MATCH(COLUMNS($Q$1006:Q1006),$Q$1006:$U$1006,0)))),"Fix")))</f>
        <v xml:space="preserve"> </v>
      </c>
      <c r="C339" s="3" t="str">
        <f ca="1">IF(OR(INDEX($K$2:$K$1001,MATCH(ROWS($J$2:J339),$J$2:$J$1001,0),1)&gt;=100000,INDEX($Q$1005:$U$1005,1,MATCH(COLUMNS($Q$1006:R1006),$Q$1006:$U$1006,0))&gt;=100000), " ",IF(INDEX($Q$2:$U$1001,MATCH(ROWS($J$2:J339),$J$2:$J$1001,0),MATCH(COLUMNS($Q$1006:R1006),$Q$1006:$U$1006,0)), HYPERLINK("#",""), HYPERLINK(CONCATENATE("#Metadata!", ADDRESS(INDEX($L$2:$L$1001,MATCH(ROWS($J$2:J339),$J$2:$J$1001,0),0), INDEX($Q$1004:$U$1004,1,MATCH(COLUMNS($Q$1006:R1006),$Q$1006:$U$1006,0)))),"Fix")))</f>
        <v xml:space="preserve"> </v>
      </c>
      <c r="D339" s="3" t="str">
        <f ca="1">IF(OR(INDEX($K$2:$K$1001,MATCH(ROWS($J$2:J339),$J$2:$J$1001,0),1)&gt;=100000,INDEX($Q$1005:$U$1005,1,MATCH(COLUMNS($Q$1006:S1006),$Q$1006:$U$1006,0))&gt;=100000), " ",IF(INDEX($Q$2:$U$1001,MATCH(ROWS($J$2:J339),$J$2:$J$1001,0),MATCH(COLUMNS($Q$1006:S1006),$Q$1006:$U$1006,0)), HYPERLINK("#",""), HYPERLINK(CONCATENATE("#Metadata!", ADDRESS(INDEX($L$2:$L$1001,MATCH(ROWS($J$2:J339),$J$2:$J$1001,0),0), INDEX($Q$1004:$U$1004,1,MATCH(COLUMNS($Q$1006:S1006),$Q$1006:$U$1006,0)))),"Fix")))</f>
        <v xml:space="preserve"> </v>
      </c>
      <c r="E339" s="3" t="str">
        <f ca="1">IF(OR(INDEX($K$2:$K$1001,MATCH(ROWS($J$2:J339),$J$2:$J$1001,0),1)&gt;=100000,INDEX($Q$1005:$U$1005,1,MATCH(COLUMNS($Q$1006:T1006),$Q$1006:$U$1006,0))&gt;=100000), " ",IF(INDEX($Q$2:$U$1001,MATCH(ROWS($J$2:J339),$J$2:$J$1001,0),MATCH(COLUMNS($Q$1006:T1006),$Q$1006:$U$1006,0)), HYPERLINK("#",""), HYPERLINK(CONCATENATE("#Metadata!", ADDRESS(INDEX($L$2:$L$1001,MATCH(ROWS($J$2:J339),$J$2:$J$1001,0),0), INDEX($Q$1004:$U$1004,1,MATCH(COLUMNS($Q$1006:T1006),$Q$1006:$U$1006,0)))),"Fix")))</f>
        <v xml:space="preserve"> </v>
      </c>
      <c r="F339" s="3" t="str">
        <f ca="1">IF(OR(INDEX($K$2:$K$1001,MATCH(ROWS($J$2:J339),$J$2:$J$1001,0),1)&gt;=100000,INDEX($Q$1005:$U$1005,1,MATCH(COLUMNS($Q$1006:U1006),$Q$1006:$U$1006,0))&gt;=100000), " ",IF(INDEX($Q$2:$U$1001,MATCH(ROWS($J$2:J339),$J$2:$J$1001,0),MATCH(COLUMNS($Q$1006:U1006),$Q$1006:$U$1006,0)), HYPERLINK("#",""), HYPERLINK(CONCATENATE("#Metadata!", ADDRESS(INDEX($L$2:$L$1001,MATCH(ROWS($J$2:J339),$J$2:$J$1001,0),0), INDEX($Q$1004:$U$1004,1,MATCH(COLUMNS($Q$1006:U1006),$Q$1006:$U$1006,0)))),"Fix")))</f>
        <v xml:space="preserve"> </v>
      </c>
      <c r="J339">
        <f ca="1"/>
        <v>338</v>
      </c>
      <c r="K339">
        <v>100339</v>
      </c>
      <c r="L339">
        <v>339</v>
      </c>
      <c r="M339" t="b">
        <f t="shared" si="5"/>
        <v>1</v>
      </c>
      <c r="N339" t="b">
        <f>COUNTBLANK(Metadata!B339:F339)=COLUMNS(Metadata!B339:F339)</f>
        <v>1</v>
      </c>
      <c r="O339" t="str">
        <v/>
      </c>
      <c r="Q339" t="b">
        <f ca="1"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R339" t="b">
        <f>IF(Metadata!C339="",FALSE,TRUE)</f>
        <v>0</v>
      </c>
      <c r="S339" t="b">
        <f>OR(AND(IF(Metadata!D339="",FALSE,TRUE),EXACT(Metadata!D339,"missing: not collected")),AND(IF(Metadata!D339="",FALSE,TRUE),OR(EXACT(Metadata!D339,"t"),EXACT(Metadata!D339,"f"))))</f>
        <v>0</v>
      </c>
      <c r="T339" t="b">
        <f>AND(IF(Metadata!E339="",FALSE,TRUE),OR(EXACT(Metadata!E339,"a"),EXACT(Metadata!E339,"b")))</f>
        <v>0</v>
      </c>
      <c r="U339" t="b">
        <f>OR(AND(IF(Metadata!F339="",FALSE,TRUE),OR(EXACT(Metadata!F339,"missing: not collected"),EXACT(Metadata!F339,"missing: not provided"))),AND(IF(Metadata!F339="",FALSE,TRUE),OR(EXACT(Metadata!F339,"lo"),EXACT(Metadata!F339,"med"),EXACT(Metadata!F339,"hi"))))</f>
        <v>0</v>
      </c>
    </row>
    <row r="340" spans="1:21" x14ac:dyDescent="0.2">
      <c r="A340" s="4" t="str">
        <f ca="1">IF(B340=" "," ",HYPERLINK(CONCATENATE("#metadata!",ADDRESS(INDEX($L$2:$L$1001,MATCH(ROWS($J$2:J340),$J$2:$J$1001,0),0),1)),INDEX($O$2:$O$1001,MATCH(ROWS($J$2:J340),$J$2:$J$1001,0),0)))</f>
        <v xml:space="preserve"> </v>
      </c>
      <c r="B340" s="3" t="str">
        <f ca="1">IF(OR(INDEX($K$2:$K$1001,MATCH(ROWS($J$2:J340),$J$2:$J$1001,0),1)&gt;=100000,INDEX($Q$1005:$U$1005,1,MATCH(COLUMNS($Q$1006:Q1006),$Q$1006:$U$1006,0))&gt;=100000), " ",IF(INDEX($Q$2:$U$1001,MATCH(ROWS($J$2:J340),$J$2:$J$1001,0),MATCH(COLUMNS($Q$1006:Q1006),$Q$1006:$U$1006,0)), HYPERLINK("#",""), HYPERLINK(CONCATENATE("#Metadata!", ADDRESS(INDEX($L$2:$L$1001,MATCH(ROWS($J$2:J340),$J$2:$J$1001,0),0), INDEX($Q$1004:$U$1004,1,MATCH(COLUMNS($Q$1006:Q1006),$Q$1006:$U$1006,0)))),"Fix")))</f>
        <v xml:space="preserve"> </v>
      </c>
      <c r="C340" s="3" t="str">
        <f ca="1">IF(OR(INDEX($K$2:$K$1001,MATCH(ROWS($J$2:J340),$J$2:$J$1001,0),1)&gt;=100000,INDEX($Q$1005:$U$1005,1,MATCH(COLUMNS($Q$1006:R1006),$Q$1006:$U$1006,0))&gt;=100000), " ",IF(INDEX($Q$2:$U$1001,MATCH(ROWS($J$2:J340),$J$2:$J$1001,0),MATCH(COLUMNS($Q$1006:R1006),$Q$1006:$U$1006,0)), HYPERLINK("#",""), HYPERLINK(CONCATENATE("#Metadata!", ADDRESS(INDEX($L$2:$L$1001,MATCH(ROWS($J$2:J340),$J$2:$J$1001,0),0), INDEX($Q$1004:$U$1004,1,MATCH(COLUMNS($Q$1006:R1006),$Q$1006:$U$1006,0)))),"Fix")))</f>
        <v xml:space="preserve"> </v>
      </c>
      <c r="D340" s="3" t="str">
        <f ca="1">IF(OR(INDEX($K$2:$K$1001,MATCH(ROWS($J$2:J340),$J$2:$J$1001,0),1)&gt;=100000,INDEX($Q$1005:$U$1005,1,MATCH(COLUMNS($Q$1006:S1006),$Q$1006:$U$1006,0))&gt;=100000), " ",IF(INDEX($Q$2:$U$1001,MATCH(ROWS($J$2:J340),$J$2:$J$1001,0),MATCH(COLUMNS($Q$1006:S1006),$Q$1006:$U$1006,0)), HYPERLINK("#",""), HYPERLINK(CONCATENATE("#Metadata!", ADDRESS(INDEX($L$2:$L$1001,MATCH(ROWS($J$2:J340),$J$2:$J$1001,0),0), INDEX($Q$1004:$U$1004,1,MATCH(COLUMNS($Q$1006:S1006),$Q$1006:$U$1006,0)))),"Fix")))</f>
        <v xml:space="preserve"> </v>
      </c>
      <c r="E340" s="3" t="str">
        <f ca="1">IF(OR(INDEX($K$2:$K$1001,MATCH(ROWS($J$2:J340),$J$2:$J$1001,0),1)&gt;=100000,INDEX($Q$1005:$U$1005,1,MATCH(COLUMNS($Q$1006:T1006),$Q$1006:$U$1006,0))&gt;=100000), " ",IF(INDEX($Q$2:$U$1001,MATCH(ROWS($J$2:J340),$J$2:$J$1001,0),MATCH(COLUMNS($Q$1006:T1006),$Q$1006:$U$1006,0)), HYPERLINK("#",""), HYPERLINK(CONCATENATE("#Metadata!", ADDRESS(INDEX($L$2:$L$1001,MATCH(ROWS($J$2:J340),$J$2:$J$1001,0),0), INDEX($Q$1004:$U$1004,1,MATCH(COLUMNS($Q$1006:T1006),$Q$1006:$U$1006,0)))),"Fix")))</f>
        <v xml:space="preserve"> </v>
      </c>
      <c r="F340" s="3" t="str">
        <f ca="1">IF(OR(INDEX($K$2:$K$1001,MATCH(ROWS($J$2:J340),$J$2:$J$1001,0),1)&gt;=100000,INDEX($Q$1005:$U$1005,1,MATCH(COLUMNS($Q$1006:U1006),$Q$1006:$U$1006,0))&gt;=100000), " ",IF(INDEX($Q$2:$U$1001,MATCH(ROWS($J$2:J340),$J$2:$J$1001,0),MATCH(COLUMNS($Q$1006:U1006),$Q$1006:$U$1006,0)), HYPERLINK("#",""), HYPERLINK(CONCATENATE("#Metadata!", ADDRESS(INDEX($L$2:$L$1001,MATCH(ROWS($J$2:J340),$J$2:$J$1001,0),0), INDEX($Q$1004:$U$1004,1,MATCH(COLUMNS($Q$1006:U1006),$Q$1006:$U$1006,0)))),"Fix")))</f>
        <v xml:space="preserve"> </v>
      </c>
      <c r="J340">
        <f ca="1"/>
        <v>339</v>
      </c>
      <c r="K340">
        <v>100340</v>
      </c>
      <c r="L340">
        <v>340</v>
      </c>
      <c r="M340" t="b">
        <f t="shared" si="5"/>
        <v>1</v>
      </c>
      <c r="N340" t="b">
        <f>COUNTBLANK(Metadata!B340:F340)=COLUMNS(Metadata!B340:F340)</f>
        <v>1</v>
      </c>
      <c r="O340" t="str">
        <v/>
      </c>
      <c r="Q340" t="b">
        <f ca="1"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R340" t="b">
        <f>IF(Metadata!C340="",FALSE,TRUE)</f>
        <v>0</v>
      </c>
      <c r="S340" t="b">
        <f>OR(AND(IF(Metadata!D340="",FALSE,TRUE),EXACT(Metadata!D340,"missing: not collected")),AND(IF(Metadata!D340="",FALSE,TRUE),OR(EXACT(Metadata!D340,"t"),EXACT(Metadata!D340,"f"))))</f>
        <v>0</v>
      </c>
      <c r="T340" t="b">
        <f>AND(IF(Metadata!E340="",FALSE,TRUE),OR(EXACT(Metadata!E340,"a"),EXACT(Metadata!E340,"b")))</f>
        <v>0</v>
      </c>
      <c r="U340" t="b">
        <f>OR(AND(IF(Metadata!F340="",FALSE,TRUE),OR(EXACT(Metadata!F340,"missing: not collected"),EXACT(Metadata!F340,"missing: not provided"))),AND(IF(Metadata!F340="",FALSE,TRUE),OR(EXACT(Metadata!F340,"lo"),EXACT(Metadata!F340,"med"),EXACT(Metadata!F340,"hi"))))</f>
        <v>0</v>
      </c>
    </row>
    <row r="341" spans="1:21" x14ac:dyDescent="0.2">
      <c r="A341" s="4" t="str">
        <f ca="1">IF(B341=" "," ",HYPERLINK(CONCATENATE("#metadata!",ADDRESS(INDEX($L$2:$L$1001,MATCH(ROWS($J$2:J341),$J$2:$J$1001,0),0),1)),INDEX($O$2:$O$1001,MATCH(ROWS($J$2:J341),$J$2:$J$1001,0),0)))</f>
        <v xml:space="preserve"> </v>
      </c>
      <c r="B341" s="3" t="str">
        <f ca="1">IF(OR(INDEX($K$2:$K$1001,MATCH(ROWS($J$2:J341),$J$2:$J$1001,0),1)&gt;=100000,INDEX($Q$1005:$U$1005,1,MATCH(COLUMNS($Q$1006:Q1006),$Q$1006:$U$1006,0))&gt;=100000), " ",IF(INDEX($Q$2:$U$1001,MATCH(ROWS($J$2:J341),$J$2:$J$1001,0),MATCH(COLUMNS($Q$1006:Q1006),$Q$1006:$U$1006,0)), HYPERLINK("#",""), HYPERLINK(CONCATENATE("#Metadata!", ADDRESS(INDEX($L$2:$L$1001,MATCH(ROWS($J$2:J341),$J$2:$J$1001,0),0), INDEX($Q$1004:$U$1004,1,MATCH(COLUMNS($Q$1006:Q1006),$Q$1006:$U$1006,0)))),"Fix")))</f>
        <v xml:space="preserve"> </v>
      </c>
      <c r="C341" s="3" t="str">
        <f ca="1">IF(OR(INDEX($K$2:$K$1001,MATCH(ROWS($J$2:J341),$J$2:$J$1001,0),1)&gt;=100000,INDEX($Q$1005:$U$1005,1,MATCH(COLUMNS($Q$1006:R1006),$Q$1006:$U$1006,0))&gt;=100000), " ",IF(INDEX($Q$2:$U$1001,MATCH(ROWS($J$2:J341),$J$2:$J$1001,0),MATCH(COLUMNS($Q$1006:R1006),$Q$1006:$U$1006,0)), HYPERLINK("#",""), HYPERLINK(CONCATENATE("#Metadata!", ADDRESS(INDEX($L$2:$L$1001,MATCH(ROWS($J$2:J341),$J$2:$J$1001,0),0), INDEX($Q$1004:$U$1004,1,MATCH(COLUMNS($Q$1006:R1006),$Q$1006:$U$1006,0)))),"Fix")))</f>
        <v xml:space="preserve"> </v>
      </c>
      <c r="D341" s="3" t="str">
        <f ca="1">IF(OR(INDEX($K$2:$K$1001,MATCH(ROWS($J$2:J341),$J$2:$J$1001,0),1)&gt;=100000,INDEX($Q$1005:$U$1005,1,MATCH(COLUMNS($Q$1006:S1006),$Q$1006:$U$1006,0))&gt;=100000), " ",IF(INDEX($Q$2:$U$1001,MATCH(ROWS($J$2:J341),$J$2:$J$1001,0),MATCH(COLUMNS($Q$1006:S1006),$Q$1006:$U$1006,0)), HYPERLINK("#",""), HYPERLINK(CONCATENATE("#Metadata!", ADDRESS(INDEX($L$2:$L$1001,MATCH(ROWS($J$2:J341),$J$2:$J$1001,0),0), INDEX($Q$1004:$U$1004,1,MATCH(COLUMNS($Q$1006:S1006),$Q$1006:$U$1006,0)))),"Fix")))</f>
        <v xml:space="preserve"> </v>
      </c>
      <c r="E341" s="3" t="str">
        <f ca="1">IF(OR(INDEX($K$2:$K$1001,MATCH(ROWS($J$2:J341),$J$2:$J$1001,0),1)&gt;=100000,INDEX($Q$1005:$U$1005,1,MATCH(COLUMNS($Q$1006:T1006),$Q$1006:$U$1006,0))&gt;=100000), " ",IF(INDEX($Q$2:$U$1001,MATCH(ROWS($J$2:J341),$J$2:$J$1001,0),MATCH(COLUMNS($Q$1006:T1006),$Q$1006:$U$1006,0)), HYPERLINK("#",""), HYPERLINK(CONCATENATE("#Metadata!", ADDRESS(INDEX($L$2:$L$1001,MATCH(ROWS($J$2:J341),$J$2:$J$1001,0),0), INDEX($Q$1004:$U$1004,1,MATCH(COLUMNS($Q$1006:T1006),$Q$1006:$U$1006,0)))),"Fix")))</f>
        <v xml:space="preserve"> </v>
      </c>
      <c r="F341" s="3" t="str">
        <f ca="1">IF(OR(INDEX($K$2:$K$1001,MATCH(ROWS($J$2:J341),$J$2:$J$1001,0),1)&gt;=100000,INDEX($Q$1005:$U$1005,1,MATCH(COLUMNS($Q$1006:U1006),$Q$1006:$U$1006,0))&gt;=100000), " ",IF(INDEX($Q$2:$U$1001,MATCH(ROWS($J$2:J341),$J$2:$J$1001,0),MATCH(COLUMNS($Q$1006:U1006),$Q$1006:$U$1006,0)), HYPERLINK("#",""), HYPERLINK(CONCATENATE("#Metadata!", ADDRESS(INDEX($L$2:$L$1001,MATCH(ROWS($J$2:J341),$J$2:$J$1001,0),0), INDEX($Q$1004:$U$1004,1,MATCH(COLUMNS($Q$1006:U1006),$Q$1006:$U$1006,0)))),"Fix")))</f>
        <v xml:space="preserve"> </v>
      </c>
      <c r="J341">
        <f ca="1"/>
        <v>340</v>
      </c>
      <c r="K341">
        <v>100341</v>
      </c>
      <c r="L341">
        <v>341</v>
      </c>
      <c r="M341" t="b">
        <f t="shared" si="5"/>
        <v>1</v>
      </c>
      <c r="N341" t="b">
        <f>COUNTBLANK(Metadata!B341:F341)=COLUMNS(Metadata!B341:F341)</f>
        <v>1</v>
      </c>
      <c r="O341" t="str">
        <v/>
      </c>
      <c r="Q341" t="b">
        <f ca="1"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R341" t="b">
        <f>IF(Metadata!C341="",FALSE,TRUE)</f>
        <v>0</v>
      </c>
      <c r="S341" t="b">
        <f>OR(AND(IF(Metadata!D341="",FALSE,TRUE),EXACT(Metadata!D341,"missing: not collected")),AND(IF(Metadata!D341="",FALSE,TRUE),OR(EXACT(Metadata!D341,"t"),EXACT(Metadata!D341,"f"))))</f>
        <v>0</v>
      </c>
      <c r="T341" t="b">
        <f>AND(IF(Metadata!E341="",FALSE,TRUE),OR(EXACT(Metadata!E341,"a"),EXACT(Metadata!E341,"b")))</f>
        <v>0</v>
      </c>
      <c r="U341" t="b">
        <f>OR(AND(IF(Metadata!F341="",FALSE,TRUE),OR(EXACT(Metadata!F341,"missing: not collected"),EXACT(Metadata!F341,"missing: not provided"))),AND(IF(Metadata!F341="",FALSE,TRUE),OR(EXACT(Metadata!F341,"lo"),EXACT(Metadata!F341,"med"),EXACT(Metadata!F341,"hi"))))</f>
        <v>0</v>
      </c>
    </row>
    <row r="342" spans="1:21" x14ac:dyDescent="0.2">
      <c r="A342" s="4" t="str">
        <f ca="1">IF(B342=" "," ",HYPERLINK(CONCATENATE("#metadata!",ADDRESS(INDEX($L$2:$L$1001,MATCH(ROWS($J$2:J342),$J$2:$J$1001,0),0),1)),INDEX($O$2:$O$1001,MATCH(ROWS($J$2:J342),$J$2:$J$1001,0),0)))</f>
        <v xml:space="preserve"> </v>
      </c>
      <c r="B342" s="3" t="str">
        <f ca="1">IF(OR(INDEX($K$2:$K$1001,MATCH(ROWS($J$2:J342),$J$2:$J$1001,0),1)&gt;=100000,INDEX($Q$1005:$U$1005,1,MATCH(COLUMNS($Q$1006:Q1006),$Q$1006:$U$1006,0))&gt;=100000), " ",IF(INDEX($Q$2:$U$1001,MATCH(ROWS($J$2:J342),$J$2:$J$1001,0),MATCH(COLUMNS($Q$1006:Q1006),$Q$1006:$U$1006,0)), HYPERLINK("#",""), HYPERLINK(CONCATENATE("#Metadata!", ADDRESS(INDEX($L$2:$L$1001,MATCH(ROWS($J$2:J342),$J$2:$J$1001,0),0), INDEX($Q$1004:$U$1004,1,MATCH(COLUMNS($Q$1006:Q1006),$Q$1006:$U$1006,0)))),"Fix")))</f>
        <v xml:space="preserve"> </v>
      </c>
      <c r="C342" s="3" t="str">
        <f ca="1">IF(OR(INDEX($K$2:$K$1001,MATCH(ROWS($J$2:J342),$J$2:$J$1001,0),1)&gt;=100000,INDEX($Q$1005:$U$1005,1,MATCH(COLUMNS($Q$1006:R1006),$Q$1006:$U$1006,0))&gt;=100000), " ",IF(INDEX($Q$2:$U$1001,MATCH(ROWS($J$2:J342),$J$2:$J$1001,0),MATCH(COLUMNS($Q$1006:R1006),$Q$1006:$U$1006,0)), HYPERLINK("#",""), HYPERLINK(CONCATENATE("#Metadata!", ADDRESS(INDEX($L$2:$L$1001,MATCH(ROWS($J$2:J342),$J$2:$J$1001,0),0), INDEX($Q$1004:$U$1004,1,MATCH(COLUMNS($Q$1006:R1006),$Q$1006:$U$1006,0)))),"Fix")))</f>
        <v xml:space="preserve"> </v>
      </c>
      <c r="D342" s="3" t="str">
        <f ca="1">IF(OR(INDEX($K$2:$K$1001,MATCH(ROWS($J$2:J342),$J$2:$J$1001,0),1)&gt;=100000,INDEX($Q$1005:$U$1005,1,MATCH(COLUMNS($Q$1006:S1006),$Q$1006:$U$1006,0))&gt;=100000), " ",IF(INDEX($Q$2:$U$1001,MATCH(ROWS($J$2:J342),$J$2:$J$1001,0),MATCH(COLUMNS($Q$1006:S1006),$Q$1006:$U$1006,0)), HYPERLINK("#",""), HYPERLINK(CONCATENATE("#Metadata!", ADDRESS(INDEX($L$2:$L$1001,MATCH(ROWS($J$2:J342),$J$2:$J$1001,0),0), INDEX($Q$1004:$U$1004,1,MATCH(COLUMNS($Q$1006:S1006),$Q$1006:$U$1006,0)))),"Fix")))</f>
        <v xml:space="preserve"> </v>
      </c>
      <c r="E342" s="3" t="str">
        <f ca="1">IF(OR(INDEX($K$2:$K$1001,MATCH(ROWS($J$2:J342),$J$2:$J$1001,0),1)&gt;=100000,INDEX($Q$1005:$U$1005,1,MATCH(COLUMNS($Q$1006:T1006),$Q$1006:$U$1006,0))&gt;=100000), " ",IF(INDEX($Q$2:$U$1001,MATCH(ROWS($J$2:J342),$J$2:$J$1001,0),MATCH(COLUMNS($Q$1006:T1006),$Q$1006:$U$1006,0)), HYPERLINK("#",""), HYPERLINK(CONCATENATE("#Metadata!", ADDRESS(INDEX($L$2:$L$1001,MATCH(ROWS($J$2:J342),$J$2:$J$1001,0),0), INDEX($Q$1004:$U$1004,1,MATCH(COLUMNS($Q$1006:T1006),$Q$1006:$U$1006,0)))),"Fix")))</f>
        <v xml:space="preserve"> </v>
      </c>
      <c r="F342" s="3" t="str">
        <f ca="1">IF(OR(INDEX($K$2:$K$1001,MATCH(ROWS($J$2:J342),$J$2:$J$1001,0),1)&gt;=100000,INDEX($Q$1005:$U$1005,1,MATCH(COLUMNS($Q$1006:U1006),$Q$1006:$U$1006,0))&gt;=100000), " ",IF(INDEX($Q$2:$U$1001,MATCH(ROWS($J$2:J342),$J$2:$J$1001,0),MATCH(COLUMNS($Q$1006:U1006),$Q$1006:$U$1006,0)), HYPERLINK("#",""), HYPERLINK(CONCATENATE("#Metadata!", ADDRESS(INDEX($L$2:$L$1001,MATCH(ROWS($J$2:J342),$J$2:$J$1001,0),0), INDEX($Q$1004:$U$1004,1,MATCH(COLUMNS($Q$1006:U1006),$Q$1006:$U$1006,0)))),"Fix")))</f>
        <v xml:space="preserve"> </v>
      </c>
      <c r="J342">
        <f ca="1"/>
        <v>341</v>
      </c>
      <c r="K342">
        <v>100342</v>
      </c>
      <c r="L342">
        <v>342</v>
      </c>
      <c r="M342" t="b">
        <f t="shared" si="5"/>
        <v>1</v>
      </c>
      <c r="N342" t="b">
        <f>COUNTBLANK(Metadata!B342:F342)=COLUMNS(Metadata!B342:F342)</f>
        <v>1</v>
      </c>
      <c r="O342" t="str">
        <v/>
      </c>
      <c r="Q342" t="b">
        <f ca="1"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R342" t="b">
        <f>IF(Metadata!C342="",FALSE,TRUE)</f>
        <v>0</v>
      </c>
      <c r="S342" t="b">
        <f>OR(AND(IF(Metadata!D342="",FALSE,TRUE),EXACT(Metadata!D342,"missing: not collected")),AND(IF(Metadata!D342="",FALSE,TRUE),OR(EXACT(Metadata!D342,"t"),EXACT(Metadata!D342,"f"))))</f>
        <v>0</v>
      </c>
      <c r="T342" t="b">
        <f>AND(IF(Metadata!E342="",FALSE,TRUE),OR(EXACT(Metadata!E342,"a"),EXACT(Metadata!E342,"b")))</f>
        <v>0</v>
      </c>
      <c r="U342" t="b">
        <f>OR(AND(IF(Metadata!F342="",FALSE,TRUE),OR(EXACT(Metadata!F342,"missing: not collected"),EXACT(Metadata!F342,"missing: not provided"))),AND(IF(Metadata!F342="",FALSE,TRUE),OR(EXACT(Metadata!F342,"lo"),EXACT(Metadata!F342,"med"),EXACT(Metadata!F342,"hi"))))</f>
        <v>0</v>
      </c>
    </row>
    <row r="343" spans="1:21" x14ac:dyDescent="0.2">
      <c r="A343" s="4" t="str">
        <f ca="1">IF(B343=" "," ",HYPERLINK(CONCATENATE("#metadata!",ADDRESS(INDEX($L$2:$L$1001,MATCH(ROWS($J$2:J343),$J$2:$J$1001,0),0),1)),INDEX($O$2:$O$1001,MATCH(ROWS($J$2:J343),$J$2:$J$1001,0),0)))</f>
        <v xml:space="preserve"> </v>
      </c>
      <c r="B343" s="3" t="str">
        <f ca="1">IF(OR(INDEX($K$2:$K$1001,MATCH(ROWS($J$2:J343),$J$2:$J$1001,0),1)&gt;=100000,INDEX($Q$1005:$U$1005,1,MATCH(COLUMNS($Q$1006:Q1006),$Q$1006:$U$1006,0))&gt;=100000), " ",IF(INDEX($Q$2:$U$1001,MATCH(ROWS($J$2:J343),$J$2:$J$1001,0),MATCH(COLUMNS($Q$1006:Q1006),$Q$1006:$U$1006,0)), HYPERLINK("#",""), HYPERLINK(CONCATENATE("#Metadata!", ADDRESS(INDEX($L$2:$L$1001,MATCH(ROWS($J$2:J343),$J$2:$J$1001,0),0), INDEX($Q$1004:$U$1004,1,MATCH(COLUMNS($Q$1006:Q1006),$Q$1006:$U$1006,0)))),"Fix")))</f>
        <v xml:space="preserve"> </v>
      </c>
      <c r="C343" s="3" t="str">
        <f ca="1">IF(OR(INDEX($K$2:$K$1001,MATCH(ROWS($J$2:J343),$J$2:$J$1001,0),1)&gt;=100000,INDEX($Q$1005:$U$1005,1,MATCH(COLUMNS($Q$1006:R1006),$Q$1006:$U$1006,0))&gt;=100000), " ",IF(INDEX($Q$2:$U$1001,MATCH(ROWS($J$2:J343),$J$2:$J$1001,0),MATCH(COLUMNS($Q$1006:R1006),$Q$1006:$U$1006,0)), HYPERLINK("#",""), HYPERLINK(CONCATENATE("#Metadata!", ADDRESS(INDEX($L$2:$L$1001,MATCH(ROWS($J$2:J343),$J$2:$J$1001,0),0), INDEX($Q$1004:$U$1004,1,MATCH(COLUMNS($Q$1006:R1006),$Q$1006:$U$1006,0)))),"Fix")))</f>
        <v xml:space="preserve"> </v>
      </c>
      <c r="D343" s="3" t="str">
        <f ca="1">IF(OR(INDEX($K$2:$K$1001,MATCH(ROWS($J$2:J343),$J$2:$J$1001,0),1)&gt;=100000,INDEX($Q$1005:$U$1005,1,MATCH(COLUMNS($Q$1006:S1006),$Q$1006:$U$1006,0))&gt;=100000), " ",IF(INDEX($Q$2:$U$1001,MATCH(ROWS($J$2:J343),$J$2:$J$1001,0),MATCH(COLUMNS($Q$1006:S1006),$Q$1006:$U$1006,0)), HYPERLINK("#",""), HYPERLINK(CONCATENATE("#Metadata!", ADDRESS(INDEX($L$2:$L$1001,MATCH(ROWS($J$2:J343),$J$2:$J$1001,0),0), INDEX($Q$1004:$U$1004,1,MATCH(COLUMNS($Q$1006:S1006),$Q$1006:$U$1006,0)))),"Fix")))</f>
        <v xml:space="preserve"> </v>
      </c>
      <c r="E343" s="3" t="str">
        <f ca="1">IF(OR(INDEX($K$2:$K$1001,MATCH(ROWS($J$2:J343),$J$2:$J$1001,0),1)&gt;=100000,INDEX($Q$1005:$U$1005,1,MATCH(COLUMNS($Q$1006:T1006),$Q$1006:$U$1006,0))&gt;=100000), " ",IF(INDEX($Q$2:$U$1001,MATCH(ROWS($J$2:J343),$J$2:$J$1001,0),MATCH(COLUMNS($Q$1006:T1006),$Q$1006:$U$1006,0)), HYPERLINK("#",""), HYPERLINK(CONCATENATE("#Metadata!", ADDRESS(INDEX($L$2:$L$1001,MATCH(ROWS($J$2:J343),$J$2:$J$1001,0),0), INDEX($Q$1004:$U$1004,1,MATCH(COLUMNS($Q$1006:T1006),$Q$1006:$U$1006,0)))),"Fix")))</f>
        <v xml:space="preserve"> </v>
      </c>
      <c r="F343" s="3" t="str">
        <f ca="1">IF(OR(INDEX($K$2:$K$1001,MATCH(ROWS($J$2:J343),$J$2:$J$1001,0),1)&gt;=100000,INDEX($Q$1005:$U$1005,1,MATCH(COLUMNS($Q$1006:U1006),$Q$1006:$U$1006,0))&gt;=100000), " ",IF(INDEX($Q$2:$U$1001,MATCH(ROWS($J$2:J343),$J$2:$J$1001,0),MATCH(COLUMNS($Q$1006:U1006),$Q$1006:$U$1006,0)), HYPERLINK("#",""), HYPERLINK(CONCATENATE("#Metadata!", ADDRESS(INDEX($L$2:$L$1001,MATCH(ROWS($J$2:J343),$J$2:$J$1001,0),0), INDEX($Q$1004:$U$1004,1,MATCH(COLUMNS($Q$1006:U1006),$Q$1006:$U$1006,0)))),"Fix")))</f>
        <v xml:space="preserve"> </v>
      </c>
      <c r="J343">
        <f ca="1"/>
        <v>342</v>
      </c>
      <c r="K343">
        <v>100343</v>
      </c>
      <c r="L343">
        <v>343</v>
      </c>
      <c r="M343" t="b">
        <f t="shared" si="5"/>
        <v>1</v>
      </c>
      <c r="N343" t="b">
        <f>COUNTBLANK(Metadata!B343:F343)=COLUMNS(Metadata!B343:F343)</f>
        <v>1</v>
      </c>
      <c r="O343" t="str">
        <v/>
      </c>
      <c r="Q343" t="b">
        <f ca="1"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R343" t="b">
        <f>IF(Metadata!C343="",FALSE,TRUE)</f>
        <v>0</v>
      </c>
      <c r="S343" t="b">
        <f>OR(AND(IF(Metadata!D343="",FALSE,TRUE),EXACT(Metadata!D343,"missing: not collected")),AND(IF(Metadata!D343="",FALSE,TRUE),OR(EXACT(Metadata!D343,"t"),EXACT(Metadata!D343,"f"))))</f>
        <v>0</v>
      </c>
      <c r="T343" t="b">
        <f>AND(IF(Metadata!E343="",FALSE,TRUE),OR(EXACT(Metadata!E343,"a"),EXACT(Metadata!E343,"b")))</f>
        <v>0</v>
      </c>
      <c r="U343" t="b">
        <f>OR(AND(IF(Metadata!F343="",FALSE,TRUE),OR(EXACT(Metadata!F343,"missing: not collected"),EXACT(Metadata!F343,"missing: not provided"))),AND(IF(Metadata!F343="",FALSE,TRUE),OR(EXACT(Metadata!F343,"lo"),EXACT(Metadata!F343,"med"),EXACT(Metadata!F343,"hi"))))</f>
        <v>0</v>
      </c>
    </row>
    <row r="344" spans="1:21" x14ac:dyDescent="0.2">
      <c r="A344" s="4" t="str">
        <f ca="1">IF(B344=" "," ",HYPERLINK(CONCATENATE("#metadata!",ADDRESS(INDEX($L$2:$L$1001,MATCH(ROWS($J$2:J344),$J$2:$J$1001,0),0),1)),INDEX($O$2:$O$1001,MATCH(ROWS($J$2:J344),$J$2:$J$1001,0),0)))</f>
        <v xml:space="preserve"> </v>
      </c>
      <c r="B344" s="3" t="str">
        <f ca="1">IF(OR(INDEX($K$2:$K$1001,MATCH(ROWS($J$2:J344),$J$2:$J$1001,0),1)&gt;=100000,INDEX($Q$1005:$U$1005,1,MATCH(COLUMNS($Q$1006:Q1006),$Q$1006:$U$1006,0))&gt;=100000), " ",IF(INDEX($Q$2:$U$1001,MATCH(ROWS($J$2:J344),$J$2:$J$1001,0),MATCH(COLUMNS($Q$1006:Q1006),$Q$1006:$U$1006,0)), HYPERLINK("#",""), HYPERLINK(CONCATENATE("#Metadata!", ADDRESS(INDEX($L$2:$L$1001,MATCH(ROWS($J$2:J344),$J$2:$J$1001,0),0), INDEX($Q$1004:$U$1004,1,MATCH(COLUMNS($Q$1006:Q1006),$Q$1006:$U$1006,0)))),"Fix")))</f>
        <v xml:space="preserve"> </v>
      </c>
      <c r="C344" s="3" t="str">
        <f ca="1">IF(OR(INDEX($K$2:$K$1001,MATCH(ROWS($J$2:J344),$J$2:$J$1001,0),1)&gt;=100000,INDEX($Q$1005:$U$1005,1,MATCH(COLUMNS($Q$1006:R1006),$Q$1006:$U$1006,0))&gt;=100000), " ",IF(INDEX($Q$2:$U$1001,MATCH(ROWS($J$2:J344),$J$2:$J$1001,0),MATCH(COLUMNS($Q$1006:R1006),$Q$1006:$U$1006,0)), HYPERLINK("#",""), HYPERLINK(CONCATENATE("#Metadata!", ADDRESS(INDEX($L$2:$L$1001,MATCH(ROWS($J$2:J344),$J$2:$J$1001,0),0), INDEX($Q$1004:$U$1004,1,MATCH(COLUMNS($Q$1006:R1006),$Q$1006:$U$1006,0)))),"Fix")))</f>
        <v xml:space="preserve"> </v>
      </c>
      <c r="D344" s="3" t="str">
        <f ca="1">IF(OR(INDEX($K$2:$K$1001,MATCH(ROWS($J$2:J344),$J$2:$J$1001,0),1)&gt;=100000,INDEX($Q$1005:$U$1005,1,MATCH(COLUMNS($Q$1006:S1006),$Q$1006:$U$1006,0))&gt;=100000), " ",IF(INDEX($Q$2:$U$1001,MATCH(ROWS($J$2:J344),$J$2:$J$1001,0),MATCH(COLUMNS($Q$1006:S1006),$Q$1006:$U$1006,0)), HYPERLINK("#",""), HYPERLINK(CONCATENATE("#Metadata!", ADDRESS(INDEX($L$2:$L$1001,MATCH(ROWS($J$2:J344),$J$2:$J$1001,0),0), INDEX($Q$1004:$U$1004,1,MATCH(COLUMNS($Q$1006:S1006),$Q$1006:$U$1006,0)))),"Fix")))</f>
        <v xml:space="preserve"> </v>
      </c>
      <c r="E344" s="3" t="str">
        <f ca="1">IF(OR(INDEX($K$2:$K$1001,MATCH(ROWS($J$2:J344),$J$2:$J$1001,0),1)&gt;=100000,INDEX($Q$1005:$U$1005,1,MATCH(COLUMNS($Q$1006:T1006),$Q$1006:$U$1006,0))&gt;=100000), " ",IF(INDEX($Q$2:$U$1001,MATCH(ROWS($J$2:J344),$J$2:$J$1001,0),MATCH(COLUMNS($Q$1006:T1006),$Q$1006:$U$1006,0)), HYPERLINK("#",""), HYPERLINK(CONCATENATE("#Metadata!", ADDRESS(INDEX($L$2:$L$1001,MATCH(ROWS($J$2:J344),$J$2:$J$1001,0),0), INDEX($Q$1004:$U$1004,1,MATCH(COLUMNS($Q$1006:T1006),$Q$1006:$U$1006,0)))),"Fix")))</f>
        <v xml:space="preserve"> </v>
      </c>
      <c r="F344" s="3" t="str">
        <f ca="1">IF(OR(INDEX($K$2:$K$1001,MATCH(ROWS($J$2:J344),$J$2:$J$1001,0),1)&gt;=100000,INDEX($Q$1005:$U$1005,1,MATCH(COLUMNS($Q$1006:U1006),$Q$1006:$U$1006,0))&gt;=100000), " ",IF(INDEX($Q$2:$U$1001,MATCH(ROWS($J$2:J344),$J$2:$J$1001,0),MATCH(COLUMNS($Q$1006:U1006),$Q$1006:$U$1006,0)), HYPERLINK("#",""), HYPERLINK(CONCATENATE("#Metadata!", ADDRESS(INDEX($L$2:$L$1001,MATCH(ROWS($J$2:J344),$J$2:$J$1001,0),0), INDEX($Q$1004:$U$1004,1,MATCH(COLUMNS($Q$1006:U1006),$Q$1006:$U$1006,0)))),"Fix")))</f>
        <v xml:space="preserve"> </v>
      </c>
      <c r="J344">
        <f ca="1"/>
        <v>343</v>
      </c>
      <c r="K344">
        <v>100344</v>
      </c>
      <c r="L344">
        <v>344</v>
      </c>
      <c r="M344" t="b">
        <f t="shared" si="5"/>
        <v>1</v>
      </c>
      <c r="N344" t="b">
        <f>COUNTBLANK(Metadata!B344:F344)=COLUMNS(Metadata!B344:F344)</f>
        <v>1</v>
      </c>
      <c r="O344" t="str">
        <v/>
      </c>
      <c r="Q344" t="b">
        <f ca="1"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R344" t="b">
        <f>IF(Metadata!C344="",FALSE,TRUE)</f>
        <v>0</v>
      </c>
      <c r="S344" t="b">
        <f>OR(AND(IF(Metadata!D344="",FALSE,TRUE),EXACT(Metadata!D344,"missing: not collected")),AND(IF(Metadata!D344="",FALSE,TRUE),OR(EXACT(Metadata!D344,"t"),EXACT(Metadata!D344,"f"))))</f>
        <v>0</v>
      </c>
      <c r="T344" t="b">
        <f>AND(IF(Metadata!E344="",FALSE,TRUE),OR(EXACT(Metadata!E344,"a"),EXACT(Metadata!E344,"b")))</f>
        <v>0</v>
      </c>
      <c r="U344" t="b">
        <f>OR(AND(IF(Metadata!F344="",FALSE,TRUE),OR(EXACT(Metadata!F344,"missing: not collected"),EXACT(Metadata!F344,"missing: not provided"))),AND(IF(Metadata!F344="",FALSE,TRUE),OR(EXACT(Metadata!F344,"lo"),EXACT(Metadata!F344,"med"),EXACT(Metadata!F344,"hi"))))</f>
        <v>0</v>
      </c>
    </row>
    <row r="345" spans="1:21" x14ac:dyDescent="0.2">
      <c r="A345" s="4" t="str">
        <f ca="1">IF(B345=" "," ",HYPERLINK(CONCATENATE("#metadata!",ADDRESS(INDEX($L$2:$L$1001,MATCH(ROWS($J$2:J345),$J$2:$J$1001,0),0),1)),INDEX($O$2:$O$1001,MATCH(ROWS($J$2:J345),$J$2:$J$1001,0),0)))</f>
        <v xml:space="preserve"> </v>
      </c>
      <c r="B345" s="3" t="str">
        <f ca="1">IF(OR(INDEX($K$2:$K$1001,MATCH(ROWS($J$2:J345),$J$2:$J$1001,0),1)&gt;=100000,INDEX($Q$1005:$U$1005,1,MATCH(COLUMNS($Q$1006:Q1006),$Q$1006:$U$1006,0))&gt;=100000), " ",IF(INDEX($Q$2:$U$1001,MATCH(ROWS($J$2:J345),$J$2:$J$1001,0),MATCH(COLUMNS($Q$1006:Q1006),$Q$1006:$U$1006,0)), HYPERLINK("#",""), HYPERLINK(CONCATENATE("#Metadata!", ADDRESS(INDEX($L$2:$L$1001,MATCH(ROWS($J$2:J345),$J$2:$J$1001,0),0), INDEX($Q$1004:$U$1004,1,MATCH(COLUMNS($Q$1006:Q1006),$Q$1006:$U$1006,0)))),"Fix")))</f>
        <v xml:space="preserve"> </v>
      </c>
      <c r="C345" s="3" t="str">
        <f ca="1">IF(OR(INDEX($K$2:$K$1001,MATCH(ROWS($J$2:J345),$J$2:$J$1001,0),1)&gt;=100000,INDEX($Q$1005:$U$1005,1,MATCH(COLUMNS($Q$1006:R1006),$Q$1006:$U$1006,0))&gt;=100000), " ",IF(INDEX($Q$2:$U$1001,MATCH(ROWS($J$2:J345),$J$2:$J$1001,0),MATCH(COLUMNS($Q$1006:R1006),$Q$1006:$U$1006,0)), HYPERLINK("#",""), HYPERLINK(CONCATENATE("#Metadata!", ADDRESS(INDEX($L$2:$L$1001,MATCH(ROWS($J$2:J345),$J$2:$J$1001,0),0), INDEX($Q$1004:$U$1004,1,MATCH(COLUMNS($Q$1006:R1006),$Q$1006:$U$1006,0)))),"Fix")))</f>
        <v xml:space="preserve"> </v>
      </c>
      <c r="D345" s="3" t="str">
        <f ca="1">IF(OR(INDEX($K$2:$K$1001,MATCH(ROWS($J$2:J345),$J$2:$J$1001,0),1)&gt;=100000,INDEX($Q$1005:$U$1005,1,MATCH(COLUMNS($Q$1006:S1006),$Q$1006:$U$1006,0))&gt;=100000), " ",IF(INDEX($Q$2:$U$1001,MATCH(ROWS($J$2:J345),$J$2:$J$1001,0),MATCH(COLUMNS($Q$1006:S1006),$Q$1006:$U$1006,0)), HYPERLINK("#",""), HYPERLINK(CONCATENATE("#Metadata!", ADDRESS(INDEX($L$2:$L$1001,MATCH(ROWS($J$2:J345),$J$2:$J$1001,0),0), INDEX($Q$1004:$U$1004,1,MATCH(COLUMNS($Q$1006:S1006),$Q$1006:$U$1006,0)))),"Fix")))</f>
        <v xml:space="preserve"> </v>
      </c>
      <c r="E345" s="3" t="str">
        <f ca="1">IF(OR(INDEX($K$2:$K$1001,MATCH(ROWS($J$2:J345),$J$2:$J$1001,0),1)&gt;=100000,INDEX($Q$1005:$U$1005,1,MATCH(COLUMNS($Q$1006:T1006),$Q$1006:$U$1006,0))&gt;=100000), " ",IF(INDEX($Q$2:$U$1001,MATCH(ROWS($J$2:J345),$J$2:$J$1001,0),MATCH(COLUMNS($Q$1006:T1006),$Q$1006:$U$1006,0)), HYPERLINK("#",""), HYPERLINK(CONCATENATE("#Metadata!", ADDRESS(INDEX($L$2:$L$1001,MATCH(ROWS($J$2:J345),$J$2:$J$1001,0),0), INDEX($Q$1004:$U$1004,1,MATCH(COLUMNS($Q$1006:T1006),$Q$1006:$U$1006,0)))),"Fix")))</f>
        <v xml:space="preserve"> </v>
      </c>
      <c r="F345" s="3" t="str">
        <f ca="1">IF(OR(INDEX($K$2:$K$1001,MATCH(ROWS($J$2:J345),$J$2:$J$1001,0),1)&gt;=100000,INDEX($Q$1005:$U$1005,1,MATCH(COLUMNS($Q$1006:U1006),$Q$1006:$U$1006,0))&gt;=100000), " ",IF(INDEX($Q$2:$U$1001,MATCH(ROWS($J$2:J345),$J$2:$J$1001,0),MATCH(COLUMNS($Q$1006:U1006),$Q$1006:$U$1006,0)), HYPERLINK("#",""), HYPERLINK(CONCATENATE("#Metadata!", ADDRESS(INDEX($L$2:$L$1001,MATCH(ROWS($J$2:J345),$J$2:$J$1001,0),0), INDEX($Q$1004:$U$1004,1,MATCH(COLUMNS($Q$1006:U1006),$Q$1006:$U$1006,0)))),"Fix")))</f>
        <v xml:space="preserve"> </v>
      </c>
      <c r="J345">
        <f ca="1"/>
        <v>344</v>
      </c>
      <c r="K345">
        <v>100345</v>
      </c>
      <c r="L345">
        <v>345</v>
      </c>
      <c r="M345" t="b">
        <f t="shared" si="5"/>
        <v>1</v>
      </c>
      <c r="N345" t="b">
        <f>COUNTBLANK(Metadata!B345:F345)=COLUMNS(Metadata!B345:F345)</f>
        <v>1</v>
      </c>
      <c r="O345" t="str">
        <v/>
      </c>
      <c r="Q345" t="b">
        <f ca="1"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R345" t="b">
        <f>IF(Metadata!C345="",FALSE,TRUE)</f>
        <v>0</v>
      </c>
      <c r="S345" t="b">
        <f>OR(AND(IF(Metadata!D345="",FALSE,TRUE),EXACT(Metadata!D345,"missing: not collected")),AND(IF(Metadata!D345="",FALSE,TRUE),OR(EXACT(Metadata!D345,"t"),EXACT(Metadata!D345,"f"))))</f>
        <v>0</v>
      </c>
      <c r="T345" t="b">
        <f>AND(IF(Metadata!E345="",FALSE,TRUE),OR(EXACT(Metadata!E345,"a"),EXACT(Metadata!E345,"b")))</f>
        <v>0</v>
      </c>
      <c r="U345" t="b">
        <f>OR(AND(IF(Metadata!F345="",FALSE,TRUE),OR(EXACT(Metadata!F345,"missing: not collected"),EXACT(Metadata!F345,"missing: not provided"))),AND(IF(Metadata!F345="",FALSE,TRUE),OR(EXACT(Metadata!F345,"lo"),EXACT(Metadata!F345,"med"),EXACT(Metadata!F345,"hi"))))</f>
        <v>0</v>
      </c>
    </row>
    <row r="346" spans="1:21" x14ac:dyDescent="0.2">
      <c r="A346" s="4" t="str">
        <f ca="1">IF(B346=" "," ",HYPERLINK(CONCATENATE("#metadata!",ADDRESS(INDEX($L$2:$L$1001,MATCH(ROWS($J$2:J346),$J$2:$J$1001,0),0),1)),INDEX($O$2:$O$1001,MATCH(ROWS($J$2:J346),$J$2:$J$1001,0),0)))</f>
        <v xml:space="preserve"> </v>
      </c>
      <c r="B346" s="3" t="str">
        <f ca="1">IF(OR(INDEX($K$2:$K$1001,MATCH(ROWS($J$2:J346),$J$2:$J$1001,0),1)&gt;=100000,INDEX($Q$1005:$U$1005,1,MATCH(COLUMNS($Q$1006:Q1006),$Q$1006:$U$1006,0))&gt;=100000), " ",IF(INDEX($Q$2:$U$1001,MATCH(ROWS($J$2:J346),$J$2:$J$1001,0),MATCH(COLUMNS($Q$1006:Q1006),$Q$1006:$U$1006,0)), HYPERLINK("#",""), HYPERLINK(CONCATENATE("#Metadata!", ADDRESS(INDEX($L$2:$L$1001,MATCH(ROWS($J$2:J346),$J$2:$J$1001,0),0), INDEX($Q$1004:$U$1004,1,MATCH(COLUMNS($Q$1006:Q1006),$Q$1006:$U$1006,0)))),"Fix")))</f>
        <v xml:space="preserve"> </v>
      </c>
      <c r="C346" s="3" t="str">
        <f ca="1">IF(OR(INDEX($K$2:$K$1001,MATCH(ROWS($J$2:J346),$J$2:$J$1001,0),1)&gt;=100000,INDEX($Q$1005:$U$1005,1,MATCH(COLUMNS($Q$1006:R1006),$Q$1006:$U$1006,0))&gt;=100000), " ",IF(INDEX($Q$2:$U$1001,MATCH(ROWS($J$2:J346),$J$2:$J$1001,0),MATCH(COLUMNS($Q$1006:R1006),$Q$1006:$U$1006,0)), HYPERLINK("#",""), HYPERLINK(CONCATENATE("#Metadata!", ADDRESS(INDEX($L$2:$L$1001,MATCH(ROWS($J$2:J346),$J$2:$J$1001,0),0), INDEX($Q$1004:$U$1004,1,MATCH(COLUMNS($Q$1006:R1006),$Q$1006:$U$1006,0)))),"Fix")))</f>
        <v xml:space="preserve"> </v>
      </c>
      <c r="D346" s="3" t="str">
        <f ca="1">IF(OR(INDEX($K$2:$K$1001,MATCH(ROWS($J$2:J346),$J$2:$J$1001,0),1)&gt;=100000,INDEX($Q$1005:$U$1005,1,MATCH(COLUMNS($Q$1006:S1006),$Q$1006:$U$1006,0))&gt;=100000), " ",IF(INDEX($Q$2:$U$1001,MATCH(ROWS($J$2:J346),$J$2:$J$1001,0),MATCH(COLUMNS($Q$1006:S1006),$Q$1006:$U$1006,0)), HYPERLINK("#",""), HYPERLINK(CONCATENATE("#Metadata!", ADDRESS(INDEX($L$2:$L$1001,MATCH(ROWS($J$2:J346),$J$2:$J$1001,0),0), INDEX($Q$1004:$U$1004,1,MATCH(COLUMNS($Q$1006:S1006),$Q$1006:$U$1006,0)))),"Fix")))</f>
        <v xml:space="preserve"> </v>
      </c>
      <c r="E346" s="3" t="str">
        <f ca="1">IF(OR(INDEX($K$2:$K$1001,MATCH(ROWS($J$2:J346),$J$2:$J$1001,0),1)&gt;=100000,INDEX($Q$1005:$U$1005,1,MATCH(COLUMNS($Q$1006:T1006),$Q$1006:$U$1006,0))&gt;=100000), " ",IF(INDEX($Q$2:$U$1001,MATCH(ROWS($J$2:J346),$J$2:$J$1001,0),MATCH(COLUMNS($Q$1006:T1006),$Q$1006:$U$1006,0)), HYPERLINK("#",""), HYPERLINK(CONCATENATE("#Metadata!", ADDRESS(INDEX($L$2:$L$1001,MATCH(ROWS($J$2:J346),$J$2:$J$1001,0),0), INDEX($Q$1004:$U$1004,1,MATCH(COLUMNS($Q$1006:T1006),$Q$1006:$U$1006,0)))),"Fix")))</f>
        <v xml:space="preserve"> </v>
      </c>
      <c r="F346" s="3" t="str">
        <f ca="1">IF(OR(INDEX($K$2:$K$1001,MATCH(ROWS($J$2:J346),$J$2:$J$1001,0),1)&gt;=100000,INDEX($Q$1005:$U$1005,1,MATCH(COLUMNS($Q$1006:U1006),$Q$1006:$U$1006,0))&gt;=100000), " ",IF(INDEX($Q$2:$U$1001,MATCH(ROWS($J$2:J346),$J$2:$J$1001,0),MATCH(COLUMNS($Q$1006:U1006),$Q$1006:$U$1006,0)), HYPERLINK("#",""), HYPERLINK(CONCATENATE("#Metadata!", ADDRESS(INDEX($L$2:$L$1001,MATCH(ROWS($J$2:J346),$J$2:$J$1001,0),0), INDEX($Q$1004:$U$1004,1,MATCH(COLUMNS($Q$1006:U1006),$Q$1006:$U$1006,0)))),"Fix")))</f>
        <v xml:space="preserve"> </v>
      </c>
      <c r="J346">
        <f ca="1"/>
        <v>345</v>
      </c>
      <c r="K346">
        <v>100346</v>
      </c>
      <c r="L346">
        <v>346</v>
      </c>
      <c r="M346" t="b">
        <f t="shared" si="5"/>
        <v>1</v>
      </c>
      <c r="N346" t="b">
        <f>COUNTBLANK(Metadata!B346:F346)=COLUMNS(Metadata!B346:F346)</f>
        <v>1</v>
      </c>
      <c r="O346" t="str">
        <v/>
      </c>
      <c r="Q346" t="b">
        <f ca="1"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R346" t="b">
        <f>IF(Metadata!C346="",FALSE,TRUE)</f>
        <v>0</v>
      </c>
      <c r="S346" t="b">
        <f>OR(AND(IF(Metadata!D346="",FALSE,TRUE),EXACT(Metadata!D346,"missing: not collected")),AND(IF(Metadata!D346="",FALSE,TRUE),OR(EXACT(Metadata!D346,"t"),EXACT(Metadata!D346,"f"))))</f>
        <v>0</v>
      </c>
      <c r="T346" t="b">
        <f>AND(IF(Metadata!E346="",FALSE,TRUE),OR(EXACT(Metadata!E346,"a"),EXACT(Metadata!E346,"b")))</f>
        <v>0</v>
      </c>
      <c r="U346" t="b">
        <f>OR(AND(IF(Metadata!F346="",FALSE,TRUE),OR(EXACT(Metadata!F346,"missing: not collected"),EXACT(Metadata!F346,"missing: not provided"))),AND(IF(Metadata!F346="",FALSE,TRUE),OR(EXACT(Metadata!F346,"lo"),EXACT(Metadata!F346,"med"),EXACT(Metadata!F346,"hi"))))</f>
        <v>0</v>
      </c>
    </row>
    <row r="347" spans="1:21" x14ac:dyDescent="0.2">
      <c r="A347" s="4" t="str">
        <f ca="1">IF(B347=" "," ",HYPERLINK(CONCATENATE("#metadata!",ADDRESS(INDEX($L$2:$L$1001,MATCH(ROWS($J$2:J347),$J$2:$J$1001,0),0),1)),INDEX($O$2:$O$1001,MATCH(ROWS($J$2:J347),$J$2:$J$1001,0),0)))</f>
        <v xml:space="preserve"> </v>
      </c>
      <c r="B347" s="3" t="str">
        <f ca="1">IF(OR(INDEX($K$2:$K$1001,MATCH(ROWS($J$2:J347),$J$2:$J$1001,0),1)&gt;=100000,INDEX($Q$1005:$U$1005,1,MATCH(COLUMNS($Q$1006:Q1006),$Q$1006:$U$1006,0))&gt;=100000), " ",IF(INDEX($Q$2:$U$1001,MATCH(ROWS($J$2:J347),$J$2:$J$1001,0),MATCH(COLUMNS($Q$1006:Q1006),$Q$1006:$U$1006,0)), HYPERLINK("#",""), HYPERLINK(CONCATENATE("#Metadata!", ADDRESS(INDEX($L$2:$L$1001,MATCH(ROWS($J$2:J347),$J$2:$J$1001,0),0), INDEX($Q$1004:$U$1004,1,MATCH(COLUMNS($Q$1006:Q1006),$Q$1006:$U$1006,0)))),"Fix")))</f>
        <v xml:space="preserve"> </v>
      </c>
      <c r="C347" s="3" t="str">
        <f ca="1">IF(OR(INDEX($K$2:$K$1001,MATCH(ROWS($J$2:J347),$J$2:$J$1001,0),1)&gt;=100000,INDEX($Q$1005:$U$1005,1,MATCH(COLUMNS($Q$1006:R1006),$Q$1006:$U$1006,0))&gt;=100000), " ",IF(INDEX($Q$2:$U$1001,MATCH(ROWS($J$2:J347),$J$2:$J$1001,0),MATCH(COLUMNS($Q$1006:R1006),$Q$1006:$U$1006,0)), HYPERLINK("#",""), HYPERLINK(CONCATENATE("#Metadata!", ADDRESS(INDEX($L$2:$L$1001,MATCH(ROWS($J$2:J347),$J$2:$J$1001,0),0), INDEX($Q$1004:$U$1004,1,MATCH(COLUMNS($Q$1006:R1006),$Q$1006:$U$1006,0)))),"Fix")))</f>
        <v xml:space="preserve"> </v>
      </c>
      <c r="D347" s="3" t="str">
        <f ca="1">IF(OR(INDEX($K$2:$K$1001,MATCH(ROWS($J$2:J347),$J$2:$J$1001,0),1)&gt;=100000,INDEX($Q$1005:$U$1005,1,MATCH(COLUMNS($Q$1006:S1006),$Q$1006:$U$1006,0))&gt;=100000), " ",IF(INDEX($Q$2:$U$1001,MATCH(ROWS($J$2:J347),$J$2:$J$1001,0),MATCH(COLUMNS($Q$1006:S1006),$Q$1006:$U$1006,0)), HYPERLINK("#",""), HYPERLINK(CONCATENATE("#Metadata!", ADDRESS(INDEX($L$2:$L$1001,MATCH(ROWS($J$2:J347),$J$2:$J$1001,0),0), INDEX($Q$1004:$U$1004,1,MATCH(COLUMNS($Q$1006:S1006),$Q$1006:$U$1006,0)))),"Fix")))</f>
        <v xml:space="preserve"> </v>
      </c>
      <c r="E347" s="3" t="str">
        <f ca="1">IF(OR(INDEX($K$2:$K$1001,MATCH(ROWS($J$2:J347),$J$2:$J$1001,0),1)&gt;=100000,INDEX($Q$1005:$U$1005,1,MATCH(COLUMNS($Q$1006:T1006),$Q$1006:$U$1006,0))&gt;=100000), " ",IF(INDEX($Q$2:$U$1001,MATCH(ROWS($J$2:J347),$J$2:$J$1001,0),MATCH(COLUMNS($Q$1006:T1006),$Q$1006:$U$1006,0)), HYPERLINK("#",""), HYPERLINK(CONCATENATE("#Metadata!", ADDRESS(INDEX($L$2:$L$1001,MATCH(ROWS($J$2:J347),$J$2:$J$1001,0),0), INDEX($Q$1004:$U$1004,1,MATCH(COLUMNS($Q$1006:T1006),$Q$1006:$U$1006,0)))),"Fix")))</f>
        <v xml:space="preserve"> </v>
      </c>
      <c r="F347" s="3" t="str">
        <f ca="1">IF(OR(INDEX($K$2:$K$1001,MATCH(ROWS($J$2:J347),$J$2:$J$1001,0),1)&gt;=100000,INDEX($Q$1005:$U$1005,1,MATCH(COLUMNS($Q$1006:U1006),$Q$1006:$U$1006,0))&gt;=100000), " ",IF(INDEX($Q$2:$U$1001,MATCH(ROWS($J$2:J347),$J$2:$J$1001,0),MATCH(COLUMNS($Q$1006:U1006),$Q$1006:$U$1006,0)), HYPERLINK("#",""), HYPERLINK(CONCATENATE("#Metadata!", ADDRESS(INDEX($L$2:$L$1001,MATCH(ROWS($J$2:J347),$J$2:$J$1001,0),0), INDEX($Q$1004:$U$1004,1,MATCH(COLUMNS($Q$1006:U1006),$Q$1006:$U$1006,0)))),"Fix")))</f>
        <v xml:space="preserve"> </v>
      </c>
      <c r="J347">
        <f ca="1"/>
        <v>346</v>
      </c>
      <c r="K347">
        <v>100347</v>
      </c>
      <c r="L347">
        <v>347</v>
      </c>
      <c r="M347" t="b">
        <f t="shared" si="5"/>
        <v>1</v>
      </c>
      <c r="N347" t="b">
        <f>COUNTBLANK(Metadata!B347:F347)=COLUMNS(Metadata!B347:F347)</f>
        <v>1</v>
      </c>
      <c r="O347" t="str">
        <v/>
      </c>
      <c r="Q347" t="b">
        <f ca="1"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R347" t="b">
        <f>IF(Metadata!C347="",FALSE,TRUE)</f>
        <v>0</v>
      </c>
      <c r="S347" t="b">
        <f>OR(AND(IF(Metadata!D347="",FALSE,TRUE),EXACT(Metadata!D347,"missing: not collected")),AND(IF(Metadata!D347="",FALSE,TRUE),OR(EXACT(Metadata!D347,"t"),EXACT(Metadata!D347,"f"))))</f>
        <v>0</v>
      </c>
      <c r="T347" t="b">
        <f>AND(IF(Metadata!E347="",FALSE,TRUE),OR(EXACT(Metadata!E347,"a"),EXACT(Metadata!E347,"b")))</f>
        <v>0</v>
      </c>
      <c r="U347" t="b">
        <f>OR(AND(IF(Metadata!F347="",FALSE,TRUE),OR(EXACT(Metadata!F347,"missing: not collected"),EXACT(Metadata!F347,"missing: not provided"))),AND(IF(Metadata!F347="",FALSE,TRUE),OR(EXACT(Metadata!F347,"lo"),EXACT(Metadata!F347,"med"),EXACT(Metadata!F347,"hi"))))</f>
        <v>0</v>
      </c>
    </row>
    <row r="348" spans="1:21" x14ac:dyDescent="0.2">
      <c r="A348" s="4" t="str">
        <f ca="1">IF(B348=" "," ",HYPERLINK(CONCATENATE("#metadata!",ADDRESS(INDEX($L$2:$L$1001,MATCH(ROWS($J$2:J348),$J$2:$J$1001,0),0),1)),INDEX($O$2:$O$1001,MATCH(ROWS($J$2:J348),$J$2:$J$1001,0),0)))</f>
        <v xml:space="preserve"> </v>
      </c>
      <c r="B348" s="3" t="str">
        <f ca="1">IF(OR(INDEX($K$2:$K$1001,MATCH(ROWS($J$2:J348),$J$2:$J$1001,0),1)&gt;=100000,INDEX($Q$1005:$U$1005,1,MATCH(COLUMNS($Q$1006:Q1006),$Q$1006:$U$1006,0))&gt;=100000), " ",IF(INDEX($Q$2:$U$1001,MATCH(ROWS($J$2:J348),$J$2:$J$1001,0),MATCH(COLUMNS($Q$1006:Q1006),$Q$1006:$U$1006,0)), HYPERLINK("#",""), HYPERLINK(CONCATENATE("#Metadata!", ADDRESS(INDEX($L$2:$L$1001,MATCH(ROWS($J$2:J348),$J$2:$J$1001,0),0), INDEX($Q$1004:$U$1004,1,MATCH(COLUMNS($Q$1006:Q1006),$Q$1006:$U$1006,0)))),"Fix")))</f>
        <v xml:space="preserve"> </v>
      </c>
      <c r="C348" s="3" t="str">
        <f ca="1">IF(OR(INDEX($K$2:$K$1001,MATCH(ROWS($J$2:J348),$J$2:$J$1001,0),1)&gt;=100000,INDEX($Q$1005:$U$1005,1,MATCH(COLUMNS($Q$1006:R1006),$Q$1006:$U$1006,0))&gt;=100000), " ",IF(INDEX($Q$2:$U$1001,MATCH(ROWS($J$2:J348),$J$2:$J$1001,0),MATCH(COLUMNS($Q$1006:R1006),$Q$1006:$U$1006,0)), HYPERLINK("#",""), HYPERLINK(CONCATENATE("#Metadata!", ADDRESS(INDEX($L$2:$L$1001,MATCH(ROWS($J$2:J348),$J$2:$J$1001,0),0), INDEX($Q$1004:$U$1004,1,MATCH(COLUMNS($Q$1006:R1006),$Q$1006:$U$1006,0)))),"Fix")))</f>
        <v xml:space="preserve"> </v>
      </c>
      <c r="D348" s="3" t="str">
        <f ca="1">IF(OR(INDEX($K$2:$K$1001,MATCH(ROWS($J$2:J348),$J$2:$J$1001,0),1)&gt;=100000,INDEX($Q$1005:$U$1005,1,MATCH(COLUMNS($Q$1006:S1006),$Q$1006:$U$1006,0))&gt;=100000), " ",IF(INDEX($Q$2:$U$1001,MATCH(ROWS($J$2:J348),$J$2:$J$1001,0),MATCH(COLUMNS($Q$1006:S1006),$Q$1006:$U$1006,0)), HYPERLINK("#",""), HYPERLINK(CONCATENATE("#Metadata!", ADDRESS(INDEX($L$2:$L$1001,MATCH(ROWS($J$2:J348),$J$2:$J$1001,0),0), INDEX($Q$1004:$U$1004,1,MATCH(COLUMNS($Q$1006:S1006),$Q$1006:$U$1006,0)))),"Fix")))</f>
        <v xml:space="preserve"> </v>
      </c>
      <c r="E348" s="3" t="str">
        <f ca="1">IF(OR(INDEX($K$2:$K$1001,MATCH(ROWS($J$2:J348),$J$2:$J$1001,0),1)&gt;=100000,INDEX($Q$1005:$U$1005,1,MATCH(COLUMNS($Q$1006:T1006),$Q$1006:$U$1006,0))&gt;=100000), " ",IF(INDEX($Q$2:$U$1001,MATCH(ROWS($J$2:J348),$J$2:$J$1001,0),MATCH(COLUMNS($Q$1006:T1006),$Q$1006:$U$1006,0)), HYPERLINK("#",""), HYPERLINK(CONCATENATE("#Metadata!", ADDRESS(INDEX($L$2:$L$1001,MATCH(ROWS($J$2:J348),$J$2:$J$1001,0),0), INDEX($Q$1004:$U$1004,1,MATCH(COLUMNS($Q$1006:T1006),$Q$1006:$U$1006,0)))),"Fix")))</f>
        <v xml:space="preserve"> </v>
      </c>
      <c r="F348" s="3" t="str">
        <f ca="1">IF(OR(INDEX($K$2:$K$1001,MATCH(ROWS($J$2:J348),$J$2:$J$1001,0),1)&gt;=100000,INDEX($Q$1005:$U$1005,1,MATCH(COLUMNS($Q$1006:U1006),$Q$1006:$U$1006,0))&gt;=100000), " ",IF(INDEX($Q$2:$U$1001,MATCH(ROWS($J$2:J348),$J$2:$J$1001,0),MATCH(COLUMNS($Q$1006:U1006),$Q$1006:$U$1006,0)), HYPERLINK("#",""), HYPERLINK(CONCATENATE("#Metadata!", ADDRESS(INDEX($L$2:$L$1001,MATCH(ROWS($J$2:J348),$J$2:$J$1001,0),0), INDEX($Q$1004:$U$1004,1,MATCH(COLUMNS($Q$1006:U1006),$Q$1006:$U$1006,0)))),"Fix")))</f>
        <v xml:space="preserve"> </v>
      </c>
      <c r="J348">
        <f ca="1"/>
        <v>347</v>
      </c>
      <c r="K348">
        <v>100348</v>
      </c>
      <c r="L348">
        <v>348</v>
      </c>
      <c r="M348" t="b">
        <f t="shared" si="5"/>
        <v>1</v>
      </c>
      <c r="N348" t="b">
        <f>COUNTBLANK(Metadata!B348:F348)=COLUMNS(Metadata!B348:F348)</f>
        <v>1</v>
      </c>
      <c r="O348" t="str">
        <v/>
      </c>
      <c r="Q348" t="b">
        <f ca="1"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R348" t="b">
        <f>IF(Metadata!C348="",FALSE,TRUE)</f>
        <v>0</v>
      </c>
      <c r="S348" t="b">
        <f>OR(AND(IF(Metadata!D348="",FALSE,TRUE),EXACT(Metadata!D348,"missing: not collected")),AND(IF(Metadata!D348="",FALSE,TRUE),OR(EXACT(Metadata!D348,"t"),EXACT(Metadata!D348,"f"))))</f>
        <v>0</v>
      </c>
      <c r="T348" t="b">
        <f>AND(IF(Metadata!E348="",FALSE,TRUE),OR(EXACT(Metadata!E348,"a"),EXACT(Metadata!E348,"b")))</f>
        <v>0</v>
      </c>
      <c r="U348" t="b">
        <f>OR(AND(IF(Metadata!F348="",FALSE,TRUE),OR(EXACT(Metadata!F348,"missing: not collected"),EXACT(Metadata!F348,"missing: not provided"))),AND(IF(Metadata!F348="",FALSE,TRUE),OR(EXACT(Metadata!F348,"lo"),EXACT(Metadata!F348,"med"),EXACT(Metadata!F348,"hi"))))</f>
        <v>0</v>
      </c>
    </row>
    <row r="349" spans="1:21" x14ac:dyDescent="0.2">
      <c r="A349" s="4" t="str">
        <f ca="1">IF(B349=" "," ",HYPERLINK(CONCATENATE("#metadata!",ADDRESS(INDEX($L$2:$L$1001,MATCH(ROWS($J$2:J349),$J$2:$J$1001,0),0),1)),INDEX($O$2:$O$1001,MATCH(ROWS($J$2:J349),$J$2:$J$1001,0),0)))</f>
        <v xml:space="preserve"> </v>
      </c>
      <c r="B349" s="3" t="str">
        <f ca="1">IF(OR(INDEX($K$2:$K$1001,MATCH(ROWS($J$2:J349),$J$2:$J$1001,0),1)&gt;=100000,INDEX($Q$1005:$U$1005,1,MATCH(COLUMNS($Q$1006:Q1006),$Q$1006:$U$1006,0))&gt;=100000), " ",IF(INDEX($Q$2:$U$1001,MATCH(ROWS($J$2:J349),$J$2:$J$1001,0),MATCH(COLUMNS($Q$1006:Q1006),$Q$1006:$U$1006,0)), HYPERLINK("#",""), HYPERLINK(CONCATENATE("#Metadata!", ADDRESS(INDEX($L$2:$L$1001,MATCH(ROWS($J$2:J349),$J$2:$J$1001,0),0), INDEX($Q$1004:$U$1004,1,MATCH(COLUMNS($Q$1006:Q1006),$Q$1006:$U$1006,0)))),"Fix")))</f>
        <v xml:space="preserve"> </v>
      </c>
      <c r="C349" s="3" t="str">
        <f ca="1">IF(OR(INDEX($K$2:$K$1001,MATCH(ROWS($J$2:J349),$J$2:$J$1001,0),1)&gt;=100000,INDEX($Q$1005:$U$1005,1,MATCH(COLUMNS($Q$1006:R1006),$Q$1006:$U$1006,0))&gt;=100000), " ",IF(INDEX($Q$2:$U$1001,MATCH(ROWS($J$2:J349),$J$2:$J$1001,0),MATCH(COLUMNS($Q$1006:R1006),$Q$1006:$U$1006,0)), HYPERLINK("#",""), HYPERLINK(CONCATENATE("#Metadata!", ADDRESS(INDEX($L$2:$L$1001,MATCH(ROWS($J$2:J349),$J$2:$J$1001,0),0), INDEX($Q$1004:$U$1004,1,MATCH(COLUMNS($Q$1006:R1006),$Q$1006:$U$1006,0)))),"Fix")))</f>
        <v xml:space="preserve"> </v>
      </c>
      <c r="D349" s="3" t="str">
        <f ca="1">IF(OR(INDEX($K$2:$K$1001,MATCH(ROWS($J$2:J349),$J$2:$J$1001,0),1)&gt;=100000,INDEX($Q$1005:$U$1005,1,MATCH(COLUMNS($Q$1006:S1006),$Q$1006:$U$1006,0))&gt;=100000), " ",IF(INDEX($Q$2:$U$1001,MATCH(ROWS($J$2:J349),$J$2:$J$1001,0),MATCH(COLUMNS($Q$1006:S1006),$Q$1006:$U$1006,0)), HYPERLINK("#",""), HYPERLINK(CONCATENATE("#Metadata!", ADDRESS(INDEX($L$2:$L$1001,MATCH(ROWS($J$2:J349),$J$2:$J$1001,0),0), INDEX($Q$1004:$U$1004,1,MATCH(COLUMNS($Q$1006:S1006),$Q$1006:$U$1006,0)))),"Fix")))</f>
        <v xml:space="preserve"> </v>
      </c>
      <c r="E349" s="3" t="str">
        <f ca="1">IF(OR(INDEX($K$2:$K$1001,MATCH(ROWS($J$2:J349),$J$2:$J$1001,0),1)&gt;=100000,INDEX($Q$1005:$U$1005,1,MATCH(COLUMNS($Q$1006:T1006),$Q$1006:$U$1006,0))&gt;=100000), " ",IF(INDEX($Q$2:$U$1001,MATCH(ROWS($J$2:J349),$J$2:$J$1001,0),MATCH(COLUMNS($Q$1006:T1006),$Q$1006:$U$1006,0)), HYPERLINK("#",""), HYPERLINK(CONCATENATE("#Metadata!", ADDRESS(INDEX($L$2:$L$1001,MATCH(ROWS($J$2:J349),$J$2:$J$1001,0),0), INDEX($Q$1004:$U$1004,1,MATCH(COLUMNS($Q$1006:T1006),$Q$1006:$U$1006,0)))),"Fix")))</f>
        <v xml:space="preserve"> </v>
      </c>
      <c r="F349" s="3" t="str">
        <f ca="1">IF(OR(INDEX($K$2:$K$1001,MATCH(ROWS($J$2:J349),$J$2:$J$1001,0),1)&gt;=100000,INDEX($Q$1005:$U$1005,1,MATCH(COLUMNS($Q$1006:U1006),$Q$1006:$U$1006,0))&gt;=100000), " ",IF(INDEX($Q$2:$U$1001,MATCH(ROWS($J$2:J349),$J$2:$J$1001,0),MATCH(COLUMNS($Q$1006:U1006),$Q$1006:$U$1006,0)), HYPERLINK("#",""), HYPERLINK(CONCATENATE("#Metadata!", ADDRESS(INDEX($L$2:$L$1001,MATCH(ROWS($J$2:J349),$J$2:$J$1001,0),0), INDEX($Q$1004:$U$1004,1,MATCH(COLUMNS($Q$1006:U1006),$Q$1006:$U$1006,0)))),"Fix")))</f>
        <v xml:space="preserve"> </v>
      </c>
      <c r="J349">
        <f ca="1"/>
        <v>348</v>
      </c>
      <c r="K349">
        <v>100349</v>
      </c>
      <c r="L349">
        <v>349</v>
      </c>
      <c r="M349" t="b">
        <f t="shared" si="5"/>
        <v>1</v>
      </c>
      <c r="N349" t="b">
        <f>COUNTBLANK(Metadata!B349:F349)=COLUMNS(Metadata!B349:F349)</f>
        <v>1</v>
      </c>
      <c r="O349" t="str">
        <v/>
      </c>
      <c r="Q349" t="b">
        <f ca="1"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R349" t="b">
        <f>IF(Metadata!C349="",FALSE,TRUE)</f>
        <v>0</v>
      </c>
      <c r="S349" t="b">
        <f>OR(AND(IF(Metadata!D349="",FALSE,TRUE),EXACT(Metadata!D349,"missing: not collected")),AND(IF(Metadata!D349="",FALSE,TRUE),OR(EXACT(Metadata!D349,"t"),EXACT(Metadata!D349,"f"))))</f>
        <v>0</v>
      </c>
      <c r="T349" t="b">
        <f>AND(IF(Metadata!E349="",FALSE,TRUE),OR(EXACT(Metadata!E349,"a"),EXACT(Metadata!E349,"b")))</f>
        <v>0</v>
      </c>
      <c r="U349" t="b">
        <f>OR(AND(IF(Metadata!F349="",FALSE,TRUE),OR(EXACT(Metadata!F349,"missing: not collected"),EXACT(Metadata!F349,"missing: not provided"))),AND(IF(Metadata!F349="",FALSE,TRUE),OR(EXACT(Metadata!F349,"lo"),EXACT(Metadata!F349,"med"),EXACT(Metadata!F349,"hi"))))</f>
        <v>0</v>
      </c>
    </row>
    <row r="350" spans="1:21" x14ac:dyDescent="0.2">
      <c r="A350" s="4" t="str">
        <f ca="1">IF(B350=" "," ",HYPERLINK(CONCATENATE("#metadata!",ADDRESS(INDEX($L$2:$L$1001,MATCH(ROWS($J$2:J350),$J$2:$J$1001,0),0),1)),INDEX($O$2:$O$1001,MATCH(ROWS($J$2:J350),$J$2:$J$1001,0),0)))</f>
        <v xml:space="preserve"> </v>
      </c>
      <c r="B350" s="3" t="str">
        <f ca="1">IF(OR(INDEX($K$2:$K$1001,MATCH(ROWS($J$2:J350),$J$2:$J$1001,0),1)&gt;=100000,INDEX($Q$1005:$U$1005,1,MATCH(COLUMNS($Q$1006:Q1006),$Q$1006:$U$1006,0))&gt;=100000), " ",IF(INDEX($Q$2:$U$1001,MATCH(ROWS($J$2:J350),$J$2:$J$1001,0),MATCH(COLUMNS($Q$1006:Q1006),$Q$1006:$U$1006,0)), HYPERLINK("#",""), HYPERLINK(CONCATENATE("#Metadata!", ADDRESS(INDEX($L$2:$L$1001,MATCH(ROWS($J$2:J350),$J$2:$J$1001,0),0), INDEX($Q$1004:$U$1004,1,MATCH(COLUMNS($Q$1006:Q1006),$Q$1006:$U$1006,0)))),"Fix")))</f>
        <v xml:space="preserve"> </v>
      </c>
      <c r="C350" s="3" t="str">
        <f ca="1">IF(OR(INDEX($K$2:$K$1001,MATCH(ROWS($J$2:J350),$J$2:$J$1001,0),1)&gt;=100000,INDEX($Q$1005:$U$1005,1,MATCH(COLUMNS($Q$1006:R1006),$Q$1006:$U$1006,0))&gt;=100000), " ",IF(INDEX($Q$2:$U$1001,MATCH(ROWS($J$2:J350),$J$2:$J$1001,0),MATCH(COLUMNS($Q$1006:R1006),$Q$1006:$U$1006,0)), HYPERLINK("#",""), HYPERLINK(CONCATENATE("#Metadata!", ADDRESS(INDEX($L$2:$L$1001,MATCH(ROWS($J$2:J350),$J$2:$J$1001,0),0), INDEX($Q$1004:$U$1004,1,MATCH(COLUMNS($Q$1006:R1006),$Q$1006:$U$1006,0)))),"Fix")))</f>
        <v xml:space="preserve"> </v>
      </c>
      <c r="D350" s="3" t="str">
        <f ca="1">IF(OR(INDEX($K$2:$K$1001,MATCH(ROWS($J$2:J350),$J$2:$J$1001,0),1)&gt;=100000,INDEX($Q$1005:$U$1005,1,MATCH(COLUMNS($Q$1006:S1006),$Q$1006:$U$1006,0))&gt;=100000), " ",IF(INDEX($Q$2:$U$1001,MATCH(ROWS($J$2:J350),$J$2:$J$1001,0),MATCH(COLUMNS($Q$1006:S1006),$Q$1006:$U$1006,0)), HYPERLINK("#",""), HYPERLINK(CONCATENATE("#Metadata!", ADDRESS(INDEX($L$2:$L$1001,MATCH(ROWS($J$2:J350),$J$2:$J$1001,0),0), INDEX($Q$1004:$U$1004,1,MATCH(COLUMNS($Q$1006:S1006),$Q$1006:$U$1006,0)))),"Fix")))</f>
        <v xml:space="preserve"> </v>
      </c>
      <c r="E350" s="3" t="str">
        <f ca="1">IF(OR(INDEX($K$2:$K$1001,MATCH(ROWS($J$2:J350),$J$2:$J$1001,0),1)&gt;=100000,INDEX($Q$1005:$U$1005,1,MATCH(COLUMNS($Q$1006:T1006),$Q$1006:$U$1006,0))&gt;=100000), " ",IF(INDEX($Q$2:$U$1001,MATCH(ROWS($J$2:J350),$J$2:$J$1001,0),MATCH(COLUMNS($Q$1006:T1006),$Q$1006:$U$1006,0)), HYPERLINK("#",""), HYPERLINK(CONCATENATE("#Metadata!", ADDRESS(INDEX($L$2:$L$1001,MATCH(ROWS($J$2:J350),$J$2:$J$1001,0),0), INDEX($Q$1004:$U$1004,1,MATCH(COLUMNS($Q$1006:T1006),$Q$1006:$U$1006,0)))),"Fix")))</f>
        <v xml:space="preserve"> </v>
      </c>
      <c r="F350" s="3" t="str">
        <f ca="1">IF(OR(INDEX($K$2:$K$1001,MATCH(ROWS($J$2:J350),$J$2:$J$1001,0),1)&gt;=100000,INDEX($Q$1005:$U$1005,1,MATCH(COLUMNS($Q$1006:U1006),$Q$1006:$U$1006,0))&gt;=100000), " ",IF(INDEX($Q$2:$U$1001,MATCH(ROWS($J$2:J350),$J$2:$J$1001,0),MATCH(COLUMNS($Q$1006:U1006),$Q$1006:$U$1006,0)), HYPERLINK("#",""), HYPERLINK(CONCATENATE("#Metadata!", ADDRESS(INDEX($L$2:$L$1001,MATCH(ROWS($J$2:J350),$J$2:$J$1001,0),0), INDEX($Q$1004:$U$1004,1,MATCH(COLUMNS($Q$1006:U1006),$Q$1006:$U$1006,0)))),"Fix")))</f>
        <v xml:space="preserve"> </v>
      </c>
      <c r="J350">
        <f ca="1"/>
        <v>349</v>
      </c>
      <c r="K350">
        <v>100350</v>
      </c>
      <c r="L350">
        <v>350</v>
      </c>
      <c r="M350" t="b">
        <f t="shared" si="5"/>
        <v>1</v>
      </c>
      <c r="N350" t="b">
        <f>COUNTBLANK(Metadata!B350:F350)=COLUMNS(Metadata!B350:F350)</f>
        <v>1</v>
      </c>
      <c r="O350" t="str">
        <v/>
      </c>
      <c r="Q350" t="b">
        <f ca="1"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R350" t="b">
        <f>IF(Metadata!C350="",FALSE,TRUE)</f>
        <v>0</v>
      </c>
      <c r="S350" t="b">
        <f>OR(AND(IF(Metadata!D350="",FALSE,TRUE),EXACT(Metadata!D350,"missing: not collected")),AND(IF(Metadata!D350="",FALSE,TRUE),OR(EXACT(Metadata!D350,"t"),EXACT(Metadata!D350,"f"))))</f>
        <v>0</v>
      </c>
      <c r="T350" t="b">
        <f>AND(IF(Metadata!E350="",FALSE,TRUE),OR(EXACT(Metadata!E350,"a"),EXACT(Metadata!E350,"b")))</f>
        <v>0</v>
      </c>
      <c r="U350" t="b">
        <f>OR(AND(IF(Metadata!F350="",FALSE,TRUE),OR(EXACT(Metadata!F350,"missing: not collected"),EXACT(Metadata!F350,"missing: not provided"))),AND(IF(Metadata!F350="",FALSE,TRUE),OR(EXACT(Metadata!F350,"lo"),EXACT(Metadata!F350,"med"),EXACT(Metadata!F350,"hi"))))</f>
        <v>0</v>
      </c>
    </row>
    <row r="351" spans="1:21" x14ac:dyDescent="0.2">
      <c r="A351" s="4" t="str">
        <f ca="1">IF(B351=" "," ",HYPERLINK(CONCATENATE("#metadata!",ADDRESS(INDEX($L$2:$L$1001,MATCH(ROWS($J$2:J351),$J$2:$J$1001,0),0),1)),INDEX($O$2:$O$1001,MATCH(ROWS($J$2:J351),$J$2:$J$1001,0),0)))</f>
        <v xml:space="preserve"> </v>
      </c>
      <c r="B351" s="3" t="str">
        <f ca="1">IF(OR(INDEX($K$2:$K$1001,MATCH(ROWS($J$2:J351),$J$2:$J$1001,0),1)&gt;=100000,INDEX($Q$1005:$U$1005,1,MATCH(COLUMNS($Q$1006:Q1006),$Q$1006:$U$1006,0))&gt;=100000), " ",IF(INDEX($Q$2:$U$1001,MATCH(ROWS($J$2:J351),$J$2:$J$1001,0),MATCH(COLUMNS($Q$1006:Q1006),$Q$1006:$U$1006,0)), HYPERLINK("#",""), HYPERLINK(CONCATENATE("#Metadata!", ADDRESS(INDEX($L$2:$L$1001,MATCH(ROWS($J$2:J351),$J$2:$J$1001,0),0), INDEX($Q$1004:$U$1004,1,MATCH(COLUMNS($Q$1006:Q1006),$Q$1006:$U$1006,0)))),"Fix")))</f>
        <v xml:space="preserve"> </v>
      </c>
      <c r="C351" s="3" t="str">
        <f ca="1">IF(OR(INDEX($K$2:$K$1001,MATCH(ROWS($J$2:J351),$J$2:$J$1001,0),1)&gt;=100000,INDEX($Q$1005:$U$1005,1,MATCH(COLUMNS($Q$1006:R1006),$Q$1006:$U$1006,0))&gt;=100000), " ",IF(INDEX($Q$2:$U$1001,MATCH(ROWS($J$2:J351),$J$2:$J$1001,0),MATCH(COLUMNS($Q$1006:R1006),$Q$1006:$U$1006,0)), HYPERLINK("#",""), HYPERLINK(CONCATENATE("#Metadata!", ADDRESS(INDEX($L$2:$L$1001,MATCH(ROWS($J$2:J351),$J$2:$J$1001,0),0), INDEX($Q$1004:$U$1004,1,MATCH(COLUMNS($Q$1006:R1006),$Q$1006:$U$1006,0)))),"Fix")))</f>
        <v xml:space="preserve"> </v>
      </c>
      <c r="D351" s="3" t="str">
        <f ca="1">IF(OR(INDEX($K$2:$K$1001,MATCH(ROWS($J$2:J351),$J$2:$J$1001,0),1)&gt;=100000,INDEX($Q$1005:$U$1005,1,MATCH(COLUMNS($Q$1006:S1006),$Q$1006:$U$1006,0))&gt;=100000), " ",IF(INDEX($Q$2:$U$1001,MATCH(ROWS($J$2:J351),$J$2:$J$1001,0),MATCH(COLUMNS($Q$1006:S1006),$Q$1006:$U$1006,0)), HYPERLINK("#",""), HYPERLINK(CONCATENATE("#Metadata!", ADDRESS(INDEX($L$2:$L$1001,MATCH(ROWS($J$2:J351),$J$2:$J$1001,0),0), INDEX($Q$1004:$U$1004,1,MATCH(COLUMNS($Q$1006:S1006),$Q$1006:$U$1006,0)))),"Fix")))</f>
        <v xml:space="preserve"> </v>
      </c>
      <c r="E351" s="3" t="str">
        <f ca="1">IF(OR(INDEX($K$2:$K$1001,MATCH(ROWS($J$2:J351),$J$2:$J$1001,0),1)&gt;=100000,INDEX($Q$1005:$U$1005,1,MATCH(COLUMNS($Q$1006:T1006),$Q$1006:$U$1006,0))&gt;=100000), " ",IF(INDEX($Q$2:$U$1001,MATCH(ROWS($J$2:J351),$J$2:$J$1001,0),MATCH(COLUMNS($Q$1006:T1006),$Q$1006:$U$1006,0)), HYPERLINK("#",""), HYPERLINK(CONCATENATE("#Metadata!", ADDRESS(INDEX($L$2:$L$1001,MATCH(ROWS($J$2:J351),$J$2:$J$1001,0),0), INDEX($Q$1004:$U$1004,1,MATCH(COLUMNS($Q$1006:T1006),$Q$1006:$U$1006,0)))),"Fix")))</f>
        <v xml:space="preserve"> </v>
      </c>
      <c r="F351" s="3" t="str">
        <f ca="1">IF(OR(INDEX($K$2:$K$1001,MATCH(ROWS($J$2:J351),$J$2:$J$1001,0),1)&gt;=100000,INDEX($Q$1005:$U$1005,1,MATCH(COLUMNS($Q$1006:U1006),$Q$1006:$U$1006,0))&gt;=100000), " ",IF(INDEX($Q$2:$U$1001,MATCH(ROWS($J$2:J351),$J$2:$J$1001,0),MATCH(COLUMNS($Q$1006:U1006),$Q$1006:$U$1006,0)), HYPERLINK("#",""), HYPERLINK(CONCATENATE("#Metadata!", ADDRESS(INDEX($L$2:$L$1001,MATCH(ROWS($J$2:J351),$J$2:$J$1001,0),0), INDEX($Q$1004:$U$1004,1,MATCH(COLUMNS($Q$1006:U1006),$Q$1006:$U$1006,0)))),"Fix")))</f>
        <v xml:space="preserve"> </v>
      </c>
      <c r="J351">
        <f ca="1"/>
        <v>350</v>
      </c>
      <c r="K351">
        <v>100351</v>
      </c>
      <c r="L351">
        <v>351</v>
      </c>
      <c r="M351" t="b">
        <f t="shared" si="5"/>
        <v>1</v>
      </c>
      <c r="N351" t="b">
        <f>COUNTBLANK(Metadata!B351:F351)=COLUMNS(Metadata!B351:F351)</f>
        <v>1</v>
      </c>
      <c r="O351" t="str">
        <v/>
      </c>
      <c r="Q351" t="b">
        <f ca="1"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R351" t="b">
        <f>IF(Metadata!C351="",FALSE,TRUE)</f>
        <v>0</v>
      </c>
      <c r="S351" t="b">
        <f>OR(AND(IF(Metadata!D351="",FALSE,TRUE),EXACT(Metadata!D351,"missing: not collected")),AND(IF(Metadata!D351="",FALSE,TRUE),OR(EXACT(Metadata!D351,"t"),EXACT(Metadata!D351,"f"))))</f>
        <v>0</v>
      </c>
      <c r="T351" t="b">
        <f>AND(IF(Metadata!E351="",FALSE,TRUE),OR(EXACT(Metadata!E351,"a"),EXACT(Metadata!E351,"b")))</f>
        <v>0</v>
      </c>
      <c r="U351" t="b">
        <f>OR(AND(IF(Metadata!F351="",FALSE,TRUE),OR(EXACT(Metadata!F351,"missing: not collected"),EXACT(Metadata!F351,"missing: not provided"))),AND(IF(Metadata!F351="",FALSE,TRUE),OR(EXACT(Metadata!F351,"lo"),EXACT(Metadata!F351,"med"),EXACT(Metadata!F351,"hi"))))</f>
        <v>0</v>
      </c>
    </row>
    <row r="352" spans="1:21" x14ac:dyDescent="0.2">
      <c r="A352" s="4" t="str">
        <f ca="1">IF(B352=" "," ",HYPERLINK(CONCATENATE("#metadata!",ADDRESS(INDEX($L$2:$L$1001,MATCH(ROWS($J$2:J352),$J$2:$J$1001,0),0),1)),INDEX($O$2:$O$1001,MATCH(ROWS($J$2:J352),$J$2:$J$1001,0),0)))</f>
        <v xml:space="preserve"> </v>
      </c>
      <c r="B352" s="3" t="str">
        <f ca="1">IF(OR(INDEX($K$2:$K$1001,MATCH(ROWS($J$2:J352),$J$2:$J$1001,0),1)&gt;=100000,INDEX($Q$1005:$U$1005,1,MATCH(COLUMNS($Q$1006:Q1006),$Q$1006:$U$1006,0))&gt;=100000), " ",IF(INDEX($Q$2:$U$1001,MATCH(ROWS($J$2:J352),$J$2:$J$1001,0),MATCH(COLUMNS($Q$1006:Q1006),$Q$1006:$U$1006,0)), HYPERLINK("#",""), HYPERLINK(CONCATENATE("#Metadata!", ADDRESS(INDEX($L$2:$L$1001,MATCH(ROWS($J$2:J352),$J$2:$J$1001,0),0), INDEX($Q$1004:$U$1004,1,MATCH(COLUMNS($Q$1006:Q1006),$Q$1006:$U$1006,0)))),"Fix")))</f>
        <v xml:space="preserve"> </v>
      </c>
      <c r="C352" s="3" t="str">
        <f ca="1">IF(OR(INDEX($K$2:$K$1001,MATCH(ROWS($J$2:J352),$J$2:$J$1001,0),1)&gt;=100000,INDEX($Q$1005:$U$1005,1,MATCH(COLUMNS($Q$1006:R1006),$Q$1006:$U$1006,0))&gt;=100000), " ",IF(INDEX($Q$2:$U$1001,MATCH(ROWS($J$2:J352),$J$2:$J$1001,0),MATCH(COLUMNS($Q$1006:R1006),$Q$1006:$U$1006,0)), HYPERLINK("#",""), HYPERLINK(CONCATENATE("#Metadata!", ADDRESS(INDEX($L$2:$L$1001,MATCH(ROWS($J$2:J352),$J$2:$J$1001,0),0), INDEX($Q$1004:$U$1004,1,MATCH(COLUMNS($Q$1006:R1006),$Q$1006:$U$1006,0)))),"Fix")))</f>
        <v xml:space="preserve"> </v>
      </c>
      <c r="D352" s="3" t="str">
        <f ca="1">IF(OR(INDEX($K$2:$K$1001,MATCH(ROWS($J$2:J352),$J$2:$J$1001,0),1)&gt;=100000,INDEX($Q$1005:$U$1005,1,MATCH(COLUMNS($Q$1006:S1006),$Q$1006:$U$1006,0))&gt;=100000), " ",IF(INDEX($Q$2:$U$1001,MATCH(ROWS($J$2:J352),$J$2:$J$1001,0),MATCH(COLUMNS($Q$1006:S1006),$Q$1006:$U$1006,0)), HYPERLINK("#",""), HYPERLINK(CONCATENATE("#Metadata!", ADDRESS(INDEX($L$2:$L$1001,MATCH(ROWS($J$2:J352),$J$2:$J$1001,0),0), INDEX($Q$1004:$U$1004,1,MATCH(COLUMNS($Q$1006:S1006),$Q$1006:$U$1006,0)))),"Fix")))</f>
        <v xml:space="preserve"> </v>
      </c>
      <c r="E352" s="3" t="str">
        <f ca="1">IF(OR(INDEX($K$2:$K$1001,MATCH(ROWS($J$2:J352),$J$2:$J$1001,0),1)&gt;=100000,INDEX($Q$1005:$U$1005,1,MATCH(COLUMNS($Q$1006:T1006),$Q$1006:$U$1006,0))&gt;=100000), " ",IF(INDEX($Q$2:$U$1001,MATCH(ROWS($J$2:J352),$J$2:$J$1001,0),MATCH(COLUMNS($Q$1006:T1006),$Q$1006:$U$1006,0)), HYPERLINK("#",""), HYPERLINK(CONCATENATE("#Metadata!", ADDRESS(INDEX($L$2:$L$1001,MATCH(ROWS($J$2:J352),$J$2:$J$1001,0),0), INDEX($Q$1004:$U$1004,1,MATCH(COLUMNS($Q$1006:T1006),$Q$1006:$U$1006,0)))),"Fix")))</f>
        <v xml:space="preserve"> </v>
      </c>
      <c r="F352" s="3" t="str">
        <f ca="1">IF(OR(INDEX($K$2:$K$1001,MATCH(ROWS($J$2:J352),$J$2:$J$1001,0),1)&gt;=100000,INDEX($Q$1005:$U$1005,1,MATCH(COLUMNS($Q$1006:U1006),$Q$1006:$U$1006,0))&gt;=100000), " ",IF(INDEX($Q$2:$U$1001,MATCH(ROWS($J$2:J352),$J$2:$J$1001,0),MATCH(COLUMNS($Q$1006:U1006),$Q$1006:$U$1006,0)), HYPERLINK("#",""), HYPERLINK(CONCATENATE("#Metadata!", ADDRESS(INDEX($L$2:$L$1001,MATCH(ROWS($J$2:J352),$J$2:$J$1001,0),0), INDEX($Q$1004:$U$1004,1,MATCH(COLUMNS($Q$1006:U1006),$Q$1006:$U$1006,0)))),"Fix")))</f>
        <v xml:space="preserve"> </v>
      </c>
      <c r="J352">
        <f ca="1"/>
        <v>351</v>
      </c>
      <c r="K352">
        <v>100352</v>
      </c>
      <c r="L352">
        <v>352</v>
      </c>
      <c r="M352" t="b">
        <f t="shared" si="5"/>
        <v>1</v>
      </c>
      <c r="N352" t="b">
        <f>COUNTBLANK(Metadata!B352:F352)=COLUMNS(Metadata!B352:F352)</f>
        <v>1</v>
      </c>
      <c r="O352" t="str">
        <v/>
      </c>
      <c r="Q352" t="b">
        <f ca="1"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R352" t="b">
        <f>IF(Metadata!C352="",FALSE,TRUE)</f>
        <v>0</v>
      </c>
      <c r="S352" t="b">
        <f>OR(AND(IF(Metadata!D352="",FALSE,TRUE),EXACT(Metadata!D352,"missing: not collected")),AND(IF(Metadata!D352="",FALSE,TRUE),OR(EXACT(Metadata!D352,"t"),EXACT(Metadata!D352,"f"))))</f>
        <v>0</v>
      </c>
      <c r="T352" t="b">
        <f>AND(IF(Metadata!E352="",FALSE,TRUE),OR(EXACT(Metadata!E352,"a"),EXACT(Metadata!E352,"b")))</f>
        <v>0</v>
      </c>
      <c r="U352" t="b">
        <f>OR(AND(IF(Metadata!F352="",FALSE,TRUE),OR(EXACT(Metadata!F352,"missing: not collected"),EXACT(Metadata!F352,"missing: not provided"))),AND(IF(Metadata!F352="",FALSE,TRUE),OR(EXACT(Metadata!F352,"lo"),EXACT(Metadata!F352,"med"),EXACT(Metadata!F352,"hi"))))</f>
        <v>0</v>
      </c>
    </row>
    <row r="353" spans="1:21" x14ac:dyDescent="0.2">
      <c r="A353" s="4" t="str">
        <f ca="1">IF(B353=" "," ",HYPERLINK(CONCATENATE("#metadata!",ADDRESS(INDEX($L$2:$L$1001,MATCH(ROWS($J$2:J353),$J$2:$J$1001,0),0),1)),INDEX($O$2:$O$1001,MATCH(ROWS($J$2:J353),$J$2:$J$1001,0),0)))</f>
        <v xml:space="preserve"> </v>
      </c>
      <c r="B353" s="3" t="str">
        <f ca="1">IF(OR(INDEX($K$2:$K$1001,MATCH(ROWS($J$2:J353),$J$2:$J$1001,0),1)&gt;=100000,INDEX($Q$1005:$U$1005,1,MATCH(COLUMNS($Q$1006:Q1006),$Q$1006:$U$1006,0))&gt;=100000), " ",IF(INDEX($Q$2:$U$1001,MATCH(ROWS($J$2:J353),$J$2:$J$1001,0),MATCH(COLUMNS($Q$1006:Q1006),$Q$1006:$U$1006,0)), HYPERLINK("#",""), HYPERLINK(CONCATENATE("#Metadata!", ADDRESS(INDEX($L$2:$L$1001,MATCH(ROWS($J$2:J353),$J$2:$J$1001,0),0), INDEX($Q$1004:$U$1004,1,MATCH(COLUMNS($Q$1006:Q1006),$Q$1006:$U$1006,0)))),"Fix")))</f>
        <v xml:space="preserve"> </v>
      </c>
      <c r="C353" s="3" t="str">
        <f ca="1">IF(OR(INDEX($K$2:$K$1001,MATCH(ROWS($J$2:J353),$J$2:$J$1001,0),1)&gt;=100000,INDEX($Q$1005:$U$1005,1,MATCH(COLUMNS($Q$1006:R1006),$Q$1006:$U$1006,0))&gt;=100000), " ",IF(INDEX($Q$2:$U$1001,MATCH(ROWS($J$2:J353),$J$2:$J$1001,0),MATCH(COLUMNS($Q$1006:R1006),$Q$1006:$U$1006,0)), HYPERLINK("#",""), HYPERLINK(CONCATENATE("#Metadata!", ADDRESS(INDEX($L$2:$L$1001,MATCH(ROWS($J$2:J353),$J$2:$J$1001,0),0), INDEX($Q$1004:$U$1004,1,MATCH(COLUMNS($Q$1006:R1006),$Q$1006:$U$1006,0)))),"Fix")))</f>
        <v xml:space="preserve"> </v>
      </c>
      <c r="D353" s="3" t="str">
        <f ca="1">IF(OR(INDEX($K$2:$K$1001,MATCH(ROWS($J$2:J353),$J$2:$J$1001,0),1)&gt;=100000,INDEX($Q$1005:$U$1005,1,MATCH(COLUMNS($Q$1006:S1006),$Q$1006:$U$1006,0))&gt;=100000), " ",IF(INDEX($Q$2:$U$1001,MATCH(ROWS($J$2:J353),$J$2:$J$1001,0),MATCH(COLUMNS($Q$1006:S1006),$Q$1006:$U$1006,0)), HYPERLINK("#",""), HYPERLINK(CONCATENATE("#Metadata!", ADDRESS(INDEX($L$2:$L$1001,MATCH(ROWS($J$2:J353),$J$2:$J$1001,0),0), INDEX($Q$1004:$U$1004,1,MATCH(COLUMNS($Q$1006:S1006),$Q$1006:$U$1006,0)))),"Fix")))</f>
        <v xml:space="preserve"> </v>
      </c>
      <c r="E353" s="3" t="str">
        <f ca="1">IF(OR(INDEX($K$2:$K$1001,MATCH(ROWS($J$2:J353),$J$2:$J$1001,0),1)&gt;=100000,INDEX($Q$1005:$U$1005,1,MATCH(COLUMNS($Q$1006:T1006),$Q$1006:$U$1006,0))&gt;=100000), " ",IF(INDEX($Q$2:$U$1001,MATCH(ROWS($J$2:J353),$J$2:$J$1001,0),MATCH(COLUMNS($Q$1006:T1006),$Q$1006:$U$1006,0)), HYPERLINK("#",""), HYPERLINK(CONCATENATE("#Metadata!", ADDRESS(INDEX($L$2:$L$1001,MATCH(ROWS($J$2:J353),$J$2:$J$1001,0),0), INDEX($Q$1004:$U$1004,1,MATCH(COLUMNS($Q$1006:T1006),$Q$1006:$U$1006,0)))),"Fix")))</f>
        <v xml:space="preserve"> </v>
      </c>
      <c r="F353" s="3" t="str">
        <f ca="1">IF(OR(INDEX($K$2:$K$1001,MATCH(ROWS($J$2:J353),$J$2:$J$1001,0),1)&gt;=100000,INDEX($Q$1005:$U$1005,1,MATCH(COLUMNS($Q$1006:U1006),$Q$1006:$U$1006,0))&gt;=100000), " ",IF(INDEX($Q$2:$U$1001,MATCH(ROWS($J$2:J353),$J$2:$J$1001,0),MATCH(COLUMNS($Q$1006:U1006),$Q$1006:$U$1006,0)), HYPERLINK("#",""), HYPERLINK(CONCATENATE("#Metadata!", ADDRESS(INDEX($L$2:$L$1001,MATCH(ROWS($J$2:J353),$J$2:$J$1001,0),0), INDEX($Q$1004:$U$1004,1,MATCH(COLUMNS($Q$1006:U1006),$Q$1006:$U$1006,0)))),"Fix")))</f>
        <v xml:space="preserve"> </v>
      </c>
      <c r="J353">
        <f ca="1"/>
        <v>352</v>
      </c>
      <c r="K353">
        <v>100353</v>
      </c>
      <c r="L353">
        <v>353</v>
      </c>
      <c r="M353" t="b">
        <f t="shared" si="5"/>
        <v>1</v>
      </c>
      <c r="N353" t="b">
        <f>COUNTBLANK(Metadata!B353:F353)=COLUMNS(Metadata!B353:F353)</f>
        <v>1</v>
      </c>
      <c r="O353" t="str">
        <v/>
      </c>
      <c r="Q353" t="b">
        <f ca="1"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R353" t="b">
        <f>IF(Metadata!C353="",FALSE,TRUE)</f>
        <v>0</v>
      </c>
      <c r="S353" t="b">
        <f>OR(AND(IF(Metadata!D353="",FALSE,TRUE),EXACT(Metadata!D353,"missing: not collected")),AND(IF(Metadata!D353="",FALSE,TRUE),OR(EXACT(Metadata!D353,"t"),EXACT(Metadata!D353,"f"))))</f>
        <v>0</v>
      </c>
      <c r="T353" t="b">
        <f>AND(IF(Metadata!E353="",FALSE,TRUE),OR(EXACT(Metadata!E353,"a"),EXACT(Metadata!E353,"b")))</f>
        <v>0</v>
      </c>
      <c r="U353" t="b">
        <f>OR(AND(IF(Metadata!F353="",FALSE,TRUE),OR(EXACT(Metadata!F353,"missing: not collected"),EXACT(Metadata!F353,"missing: not provided"))),AND(IF(Metadata!F353="",FALSE,TRUE),OR(EXACT(Metadata!F353,"lo"),EXACT(Metadata!F353,"med"),EXACT(Metadata!F353,"hi"))))</f>
        <v>0</v>
      </c>
    </row>
    <row r="354" spans="1:21" x14ac:dyDescent="0.2">
      <c r="A354" s="4" t="str">
        <f ca="1">IF(B354=" "," ",HYPERLINK(CONCATENATE("#metadata!",ADDRESS(INDEX($L$2:$L$1001,MATCH(ROWS($J$2:J354),$J$2:$J$1001,0),0),1)),INDEX($O$2:$O$1001,MATCH(ROWS($J$2:J354),$J$2:$J$1001,0),0)))</f>
        <v xml:space="preserve"> </v>
      </c>
      <c r="B354" s="3" t="str">
        <f ca="1">IF(OR(INDEX($K$2:$K$1001,MATCH(ROWS($J$2:J354),$J$2:$J$1001,0),1)&gt;=100000,INDEX($Q$1005:$U$1005,1,MATCH(COLUMNS($Q$1006:Q1006),$Q$1006:$U$1006,0))&gt;=100000), " ",IF(INDEX($Q$2:$U$1001,MATCH(ROWS($J$2:J354),$J$2:$J$1001,0),MATCH(COLUMNS($Q$1006:Q1006),$Q$1006:$U$1006,0)), HYPERLINK("#",""), HYPERLINK(CONCATENATE("#Metadata!", ADDRESS(INDEX($L$2:$L$1001,MATCH(ROWS($J$2:J354),$J$2:$J$1001,0),0), INDEX($Q$1004:$U$1004,1,MATCH(COLUMNS($Q$1006:Q1006),$Q$1006:$U$1006,0)))),"Fix")))</f>
        <v xml:space="preserve"> </v>
      </c>
      <c r="C354" s="3" t="str">
        <f ca="1">IF(OR(INDEX($K$2:$K$1001,MATCH(ROWS($J$2:J354),$J$2:$J$1001,0),1)&gt;=100000,INDEX($Q$1005:$U$1005,1,MATCH(COLUMNS($Q$1006:R1006),$Q$1006:$U$1006,0))&gt;=100000), " ",IF(INDEX($Q$2:$U$1001,MATCH(ROWS($J$2:J354),$J$2:$J$1001,0),MATCH(COLUMNS($Q$1006:R1006),$Q$1006:$U$1006,0)), HYPERLINK("#",""), HYPERLINK(CONCATENATE("#Metadata!", ADDRESS(INDEX($L$2:$L$1001,MATCH(ROWS($J$2:J354),$J$2:$J$1001,0),0), INDEX($Q$1004:$U$1004,1,MATCH(COLUMNS($Q$1006:R1006),$Q$1006:$U$1006,0)))),"Fix")))</f>
        <v xml:space="preserve"> </v>
      </c>
      <c r="D354" s="3" t="str">
        <f ca="1">IF(OR(INDEX($K$2:$K$1001,MATCH(ROWS($J$2:J354),$J$2:$J$1001,0),1)&gt;=100000,INDEX($Q$1005:$U$1005,1,MATCH(COLUMNS($Q$1006:S1006),$Q$1006:$U$1006,0))&gt;=100000), " ",IF(INDEX($Q$2:$U$1001,MATCH(ROWS($J$2:J354),$J$2:$J$1001,0),MATCH(COLUMNS($Q$1006:S1006),$Q$1006:$U$1006,0)), HYPERLINK("#",""), HYPERLINK(CONCATENATE("#Metadata!", ADDRESS(INDEX($L$2:$L$1001,MATCH(ROWS($J$2:J354),$J$2:$J$1001,0),0), INDEX($Q$1004:$U$1004,1,MATCH(COLUMNS($Q$1006:S1006),$Q$1006:$U$1006,0)))),"Fix")))</f>
        <v xml:space="preserve"> </v>
      </c>
      <c r="E354" s="3" t="str">
        <f ca="1">IF(OR(INDEX($K$2:$K$1001,MATCH(ROWS($J$2:J354),$J$2:$J$1001,0),1)&gt;=100000,INDEX($Q$1005:$U$1005,1,MATCH(COLUMNS($Q$1006:T1006),$Q$1006:$U$1006,0))&gt;=100000), " ",IF(INDEX($Q$2:$U$1001,MATCH(ROWS($J$2:J354),$J$2:$J$1001,0),MATCH(COLUMNS($Q$1006:T1006),$Q$1006:$U$1006,0)), HYPERLINK("#",""), HYPERLINK(CONCATENATE("#Metadata!", ADDRESS(INDEX($L$2:$L$1001,MATCH(ROWS($J$2:J354),$J$2:$J$1001,0),0), INDEX($Q$1004:$U$1004,1,MATCH(COLUMNS($Q$1006:T1006),$Q$1006:$U$1006,0)))),"Fix")))</f>
        <v xml:space="preserve"> </v>
      </c>
      <c r="F354" s="3" t="str">
        <f ca="1">IF(OR(INDEX($K$2:$K$1001,MATCH(ROWS($J$2:J354),$J$2:$J$1001,0),1)&gt;=100000,INDEX($Q$1005:$U$1005,1,MATCH(COLUMNS($Q$1006:U1006),$Q$1006:$U$1006,0))&gt;=100000), " ",IF(INDEX($Q$2:$U$1001,MATCH(ROWS($J$2:J354),$J$2:$J$1001,0),MATCH(COLUMNS($Q$1006:U1006),$Q$1006:$U$1006,0)), HYPERLINK("#",""), HYPERLINK(CONCATENATE("#Metadata!", ADDRESS(INDEX($L$2:$L$1001,MATCH(ROWS($J$2:J354),$J$2:$J$1001,0),0), INDEX($Q$1004:$U$1004,1,MATCH(COLUMNS($Q$1006:U1006),$Q$1006:$U$1006,0)))),"Fix")))</f>
        <v xml:space="preserve"> </v>
      </c>
      <c r="J354">
        <f ca="1"/>
        <v>353</v>
      </c>
      <c r="K354">
        <v>100354</v>
      </c>
      <c r="L354">
        <v>354</v>
      </c>
      <c r="M354" t="b">
        <f t="shared" si="5"/>
        <v>1</v>
      </c>
      <c r="N354" t="b">
        <f>COUNTBLANK(Metadata!B354:F354)=COLUMNS(Metadata!B354:F354)</f>
        <v>1</v>
      </c>
      <c r="O354" t="str">
        <v/>
      </c>
      <c r="Q354" t="b">
        <f ca="1"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R354" t="b">
        <f>IF(Metadata!C354="",FALSE,TRUE)</f>
        <v>0</v>
      </c>
      <c r="S354" t="b">
        <f>OR(AND(IF(Metadata!D354="",FALSE,TRUE),EXACT(Metadata!D354,"missing: not collected")),AND(IF(Metadata!D354="",FALSE,TRUE),OR(EXACT(Metadata!D354,"t"),EXACT(Metadata!D354,"f"))))</f>
        <v>0</v>
      </c>
      <c r="T354" t="b">
        <f>AND(IF(Metadata!E354="",FALSE,TRUE),OR(EXACT(Metadata!E354,"a"),EXACT(Metadata!E354,"b")))</f>
        <v>0</v>
      </c>
      <c r="U354" t="b">
        <f>OR(AND(IF(Metadata!F354="",FALSE,TRUE),OR(EXACT(Metadata!F354,"missing: not collected"),EXACT(Metadata!F354,"missing: not provided"))),AND(IF(Metadata!F354="",FALSE,TRUE),OR(EXACT(Metadata!F354,"lo"),EXACT(Metadata!F354,"med"),EXACT(Metadata!F354,"hi"))))</f>
        <v>0</v>
      </c>
    </row>
    <row r="355" spans="1:21" x14ac:dyDescent="0.2">
      <c r="A355" s="4" t="str">
        <f ca="1">IF(B355=" "," ",HYPERLINK(CONCATENATE("#metadata!",ADDRESS(INDEX($L$2:$L$1001,MATCH(ROWS($J$2:J355),$J$2:$J$1001,0),0),1)),INDEX($O$2:$O$1001,MATCH(ROWS($J$2:J355),$J$2:$J$1001,0),0)))</f>
        <v xml:space="preserve"> </v>
      </c>
      <c r="B355" s="3" t="str">
        <f ca="1">IF(OR(INDEX($K$2:$K$1001,MATCH(ROWS($J$2:J355),$J$2:$J$1001,0),1)&gt;=100000,INDEX($Q$1005:$U$1005,1,MATCH(COLUMNS($Q$1006:Q1006),$Q$1006:$U$1006,0))&gt;=100000), " ",IF(INDEX($Q$2:$U$1001,MATCH(ROWS($J$2:J355),$J$2:$J$1001,0),MATCH(COLUMNS($Q$1006:Q1006),$Q$1006:$U$1006,0)), HYPERLINK("#",""), HYPERLINK(CONCATENATE("#Metadata!", ADDRESS(INDEX($L$2:$L$1001,MATCH(ROWS($J$2:J355),$J$2:$J$1001,0),0), INDEX($Q$1004:$U$1004,1,MATCH(COLUMNS($Q$1006:Q1006),$Q$1006:$U$1006,0)))),"Fix")))</f>
        <v xml:space="preserve"> </v>
      </c>
      <c r="C355" s="3" t="str">
        <f ca="1">IF(OR(INDEX($K$2:$K$1001,MATCH(ROWS($J$2:J355),$J$2:$J$1001,0),1)&gt;=100000,INDEX($Q$1005:$U$1005,1,MATCH(COLUMNS($Q$1006:R1006),$Q$1006:$U$1006,0))&gt;=100000), " ",IF(INDEX($Q$2:$U$1001,MATCH(ROWS($J$2:J355),$J$2:$J$1001,0),MATCH(COLUMNS($Q$1006:R1006),$Q$1006:$U$1006,0)), HYPERLINK("#",""), HYPERLINK(CONCATENATE("#Metadata!", ADDRESS(INDEX($L$2:$L$1001,MATCH(ROWS($J$2:J355),$J$2:$J$1001,0),0), INDEX($Q$1004:$U$1004,1,MATCH(COLUMNS($Q$1006:R1006),$Q$1006:$U$1006,0)))),"Fix")))</f>
        <v xml:space="preserve"> </v>
      </c>
      <c r="D355" s="3" t="str">
        <f ca="1">IF(OR(INDEX($K$2:$K$1001,MATCH(ROWS($J$2:J355),$J$2:$J$1001,0),1)&gt;=100000,INDEX($Q$1005:$U$1005,1,MATCH(COLUMNS($Q$1006:S1006),$Q$1006:$U$1006,0))&gt;=100000), " ",IF(INDEX($Q$2:$U$1001,MATCH(ROWS($J$2:J355),$J$2:$J$1001,0),MATCH(COLUMNS($Q$1006:S1006),$Q$1006:$U$1006,0)), HYPERLINK("#",""), HYPERLINK(CONCATENATE("#Metadata!", ADDRESS(INDEX($L$2:$L$1001,MATCH(ROWS($J$2:J355),$J$2:$J$1001,0),0), INDEX($Q$1004:$U$1004,1,MATCH(COLUMNS($Q$1006:S1006),$Q$1006:$U$1006,0)))),"Fix")))</f>
        <v xml:space="preserve"> </v>
      </c>
      <c r="E355" s="3" t="str">
        <f ca="1">IF(OR(INDEX($K$2:$K$1001,MATCH(ROWS($J$2:J355),$J$2:$J$1001,0),1)&gt;=100000,INDEX($Q$1005:$U$1005,1,MATCH(COLUMNS($Q$1006:T1006),$Q$1006:$U$1006,0))&gt;=100000), " ",IF(INDEX($Q$2:$U$1001,MATCH(ROWS($J$2:J355),$J$2:$J$1001,0),MATCH(COLUMNS($Q$1006:T1006),$Q$1006:$U$1006,0)), HYPERLINK("#",""), HYPERLINK(CONCATENATE("#Metadata!", ADDRESS(INDEX($L$2:$L$1001,MATCH(ROWS($J$2:J355),$J$2:$J$1001,0),0), INDEX($Q$1004:$U$1004,1,MATCH(COLUMNS($Q$1006:T1006),$Q$1006:$U$1006,0)))),"Fix")))</f>
        <v xml:space="preserve"> </v>
      </c>
      <c r="F355" s="3" t="str">
        <f ca="1">IF(OR(INDEX($K$2:$K$1001,MATCH(ROWS($J$2:J355),$J$2:$J$1001,0),1)&gt;=100000,INDEX($Q$1005:$U$1005,1,MATCH(COLUMNS($Q$1006:U1006),$Q$1006:$U$1006,0))&gt;=100000), " ",IF(INDEX($Q$2:$U$1001,MATCH(ROWS($J$2:J355),$J$2:$J$1001,0),MATCH(COLUMNS($Q$1006:U1006),$Q$1006:$U$1006,0)), HYPERLINK("#",""), HYPERLINK(CONCATENATE("#Metadata!", ADDRESS(INDEX($L$2:$L$1001,MATCH(ROWS($J$2:J355),$J$2:$J$1001,0),0), INDEX($Q$1004:$U$1004,1,MATCH(COLUMNS($Q$1006:U1006),$Q$1006:$U$1006,0)))),"Fix")))</f>
        <v xml:space="preserve"> </v>
      </c>
      <c r="J355">
        <f ca="1"/>
        <v>354</v>
      </c>
      <c r="K355">
        <v>100355</v>
      </c>
      <c r="L355">
        <v>355</v>
      </c>
      <c r="M355" t="b">
        <f t="shared" si="5"/>
        <v>1</v>
      </c>
      <c r="N355" t="b">
        <f>COUNTBLANK(Metadata!B355:F355)=COLUMNS(Metadata!B355:F355)</f>
        <v>1</v>
      </c>
      <c r="O355" t="str">
        <v/>
      </c>
      <c r="Q355" t="b">
        <f ca="1"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R355" t="b">
        <f>IF(Metadata!C355="",FALSE,TRUE)</f>
        <v>0</v>
      </c>
      <c r="S355" t="b">
        <f>OR(AND(IF(Metadata!D355="",FALSE,TRUE),EXACT(Metadata!D355,"missing: not collected")),AND(IF(Metadata!D355="",FALSE,TRUE),OR(EXACT(Metadata!D355,"t"),EXACT(Metadata!D355,"f"))))</f>
        <v>0</v>
      </c>
      <c r="T355" t="b">
        <f>AND(IF(Metadata!E355="",FALSE,TRUE),OR(EXACT(Metadata!E355,"a"),EXACT(Metadata!E355,"b")))</f>
        <v>0</v>
      </c>
      <c r="U355" t="b">
        <f>OR(AND(IF(Metadata!F355="",FALSE,TRUE),OR(EXACT(Metadata!F355,"missing: not collected"),EXACT(Metadata!F355,"missing: not provided"))),AND(IF(Metadata!F355="",FALSE,TRUE),OR(EXACT(Metadata!F355,"lo"),EXACT(Metadata!F355,"med"),EXACT(Metadata!F355,"hi"))))</f>
        <v>0</v>
      </c>
    </row>
    <row r="356" spans="1:21" x14ac:dyDescent="0.2">
      <c r="A356" s="4" t="str">
        <f ca="1">IF(B356=" "," ",HYPERLINK(CONCATENATE("#metadata!",ADDRESS(INDEX($L$2:$L$1001,MATCH(ROWS($J$2:J356),$J$2:$J$1001,0),0),1)),INDEX($O$2:$O$1001,MATCH(ROWS($J$2:J356),$J$2:$J$1001,0),0)))</f>
        <v xml:space="preserve"> </v>
      </c>
      <c r="B356" s="3" t="str">
        <f ca="1">IF(OR(INDEX($K$2:$K$1001,MATCH(ROWS($J$2:J356),$J$2:$J$1001,0),1)&gt;=100000,INDEX($Q$1005:$U$1005,1,MATCH(COLUMNS($Q$1006:Q1006),$Q$1006:$U$1006,0))&gt;=100000), " ",IF(INDEX($Q$2:$U$1001,MATCH(ROWS($J$2:J356),$J$2:$J$1001,0),MATCH(COLUMNS($Q$1006:Q1006),$Q$1006:$U$1006,0)), HYPERLINK("#",""), HYPERLINK(CONCATENATE("#Metadata!", ADDRESS(INDEX($L$2:$L$1001,MATCH(ROWS($J$2:J356),$J$2:$J$1001,0),0), INDEX($Q$1004:$U$1004,1,MATCH(COLUMNS($Q$1006:Q1006),$Q$1006:$U$1006,0)))),"Fix")))</f>
        <v xml:space="preserve"> </v>
      </c>
      <c r="C356" s="3" t="str">
        <f ca="1">IF(OR(INDEX($K$2:$K$1001,MATCH(ROWS($J$2:J356),$J$2:$J$1001,0),1)&gt;=100000,INDEX($Q$1005:$U$1005,1,MATCH(COLUMNS($Q$1006:R1006),$Q$1006:$U$1006,0))&gt;=100000), " ",IF(INDEX($Q$2:$U$1001,MATCH(ROWS($J$2:J356),$J$2:$J$1001,0),MATCH(COLUMNS($Q$1006:R1006),$Q$1006:$U$1006,0)), HYPERLINK("#",""), HYPERLINK(CONCATENATE("#Metadata!", ADDRESS(INDEX($L$2:$L$1001,MATCH(ROWS($J$2:J356),$J$2:$J$1001,0),0), INDEX($Q$1004:$U$1004,1,MATCH(COLUMNS($Q$1006:R1006),$Q$1006:$U$1006,0)))),"Fix")))</f>
        <v xml:space="preserve"> </v>
      </c>
      <c r="D356" s="3" t="str">
        <f ca="1">IF(OR(INDEX($K$2:$K$1001,MATCH(ROWS($J$2:J356),$J$2:$J$1001,0),1)&gt;=100000,INDEX($Q$1005:$U$1005,1,MATCH(COLUMNS($Q$1006:S1006),$Q$1006:$U$1006,0))&gt;=100000), " ",IF(INDEX($Q$2:$U$1001,MATCH(ROWS($J$2:J356),$J$2:$J$1001,0),MATCH(COLUMNS($Q$1006:S1006),$Q$1006:$U$1006,0)), HYPERLINK("#",""), HYPERLINK(CONCATENATE("#Metadata!", ADDRESS(INDEX($L$2:$L$1001,MATCH(ROWS($J$2:J356),$J$2:$J$1001,0),0), INDEX($Q$1004:$U$1004,1,MATCH(COLUMNS($Q$1006:S1006),$Q$1006:$U$1006,0)))),"Fix")))</f>
        <v xml:space="preserve"> </v>
      </c>
      <c r="E356" s="3" t="str">
        <f ca="1">IF(OR(INDEX($K$2:$K$1001,MATCH(ROWS($J$2:J356),$J$2:$J$1001,0),1)&gt;=100000,INDEX($Q$1005:$U$1005,1,MATCH(COLUMNS($Q$1006:T1006),$Q$1006:$U$1006,0))&gt;=100000), " ",IF(INDEX($Q$2:$U$1001,MATCH(ROWS($J$2:J356),$J$2:$J$1001,0),MATCH(COLUMNS($Q$1006:T1006),$Q$1006:$U$1006,0)), HYPERLINK("#",""), HYPERLINK(CONCATENATE("#Metadata!", ADDRESS(INDEX($L$2:$L$1001,MATCH(ROWS($J$2:J356),$J$2:$J$1001,0),0), INDEX($Q$1004:$U$1004,1,MATCH(COLUMNS($Q$1006:T1006),$Q$1006:$U$1006,0)))),"Fix")))</f>
        <v xml:space="preserve"> </v>
      </c>
      <c r="F356" s="3" t="str">
        <f ca="1">IF(OR(INDEX($K$2:$K$1001,MATCH(ROWS($J$2:J356),$J$2:$J$1001,0),1)&gt;=100000,INDEX($Q$1005:$U$1005,1,MATCH(COLUMNS($Q$1006:U1006),$Q$1006:$U$1006,0))&gt;=100000), " ",IF(INDEX($Q$2:$U$1001,MATCH(ROWS($J$2:J356),$J$2:$J$1001,0),MATCH(COLUMNS($Q$1006:U1006),$Q$1006:$U$1006,0)), HYPERLINK("#",""), HYPERLINK(CONCATENATE("#Metadata!", ADDRESS(INDEX($L$2:$L$1001,MATCH(ROWS($J$2:J356),$J$2:$J$1001,0),0), INDEX($Q$1004:$U$1004,1,MATCH(COLUMNS($Q$1006:U1006),$Q$1006:$U$1006,0)))),"Fix")))</f>
        <v xml:space="preserve"> </v>
      </c>
      <c r="J356">
        <f ca="1"/>
        <v>355</v>
      </c>
      <c r="K356">
        <v>100356</v>
      </c>
      <c r="L356">
        <v>356</v>
      </c>
      <c r="M356" t="b">
        <f t="shared" si="5"/>
        <v>1</v>
      </c>
      <c r="N356" t="b">
        <f>COUNTBLANK(Metadata!B356:F356)=COLUMNS(Metadata!B356:F356)</f>
        <v>1</v>
      </c>
      <c r="O356" t="str">
        <v/>
      </c>
      <c r="Q356" t="b">
        <f ca="1"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R356" t="b">
        <f>IF(Metadata!C356="",FALSE,TRUE)</f>
        <v>0</v>
      </c>
      <c r="S356" t="b">
        <f>OR(AND(IF(Metadata!D356="",FALSE,TRUE),EXACT(Metadata!D356,"missing: not collected")),AND(IF(Metadata!D356="",FALSE,TRUE),OR(EXACT(Metadata!D356,"t"),EXACT(Metadata!D356,"f"))))</f>
        <v>0</v>
      </c>
      <c r="T356" t="b">
        <f>AND(IF(Metadata!E356="",FALSE,TRUE),OR(EXACT(Metadata!E356,"a"),EXACT(Metadata!E356,"b")))</f>
        <v>0</v>
      </c>
      <c r="U356" t="b">
        <f>OR(AND(IF(Metadata!F356="",FALSE,TRUE),OR(EXACT(Metadata!F356,"missing: not collected"),EXACT(Metadata!F356,"missing: not provided"))),AND(IF(Metadata!F356="",FALSE,TRUE),OR(EXACT(Metadata!F356,"lo"),EXACT(Metadata!F356,"med"),EXACT(Metadata!F356,"hi"))))</f>
        <v>0</v>
      </c>
    </row>
    <row r="357" spans="1:21" x14ac:dyDescent="0.2">
      <c r="A357" s="4" t="str">
        <f ca="1">IF(B357=" "," ",HYPERLINK(CONCATENATE("#metadata!",ADDRESS(INDEX($L$2:$L$1001,MATCH(ROWS($J$2:J357),$J$2:$J$1001,0),0),1)),INDEX($O$2:$O$1001,MATCH(ROWS($J$2:J357),$J$2:$J$1001,0),0)))</f>
        <v xml:space="preserve"> </v>
      </c>
      <c r="B357" s="3" t="str">
        <f ca="1">IF(OR(INDEX($K$2:$K$1001,MATCH(ROWS($J$2:J357),$J$2:$J$1001,0),1)&gt;=100000,INDEX($Q$1005:$U$1005,1,MATCH(COLUMNS($Q$1006:Q1006),$Q$1006:$U$1006,0))&gt;=100000), " ",IF(INDEX($Q$2:$U$1001,MATCH(ROWS($J$2:J357),$J$2:$J$1001,0),MATCH(COLUMNS($Q$1006:Q1006),$Q$1006:$U$1006,0)), HYPERLINK("#",""), HYPERLINK(CONCATENATE("#Metadata!", ADDRESS(INDEX($L$2:$L$1001,MATCH(ROWS($J$2:J357),$J$2:$J$1001,0),0), INDEX($Q$1004:$U$1004,1,MATCH(COLUMNS($Q$1006:Q1006),$Q$1006:$U$1006,0)))),"Fix")))</f>
        <v xml:space="preserve"> </v>
      </c>
      <c r="C357" s="3" t="str">
        <f ca="1">IF(OR(INDEX($K$2:$K$1001,MATCH(ROWS($J$2:J357),$J$2:$J$1001,0),1)&gt;=100000,INDEX($Q$1005:$U$1005,1,MATCH(COLUMNS($Q$1006:R1006),$Q$1006:$U$1006,0))&gt;=100000), " ",IF(INDEX($Q$2:$U$1001,MATCH(ROWS($J$2:J357),$J$2:$J$1001,0),MATCH(COLUMNS($Q$1006:R1006),$Q$1006:$U$1006,0)), HYPERLINK("#",""), HYPERLINK(CONCATENATE("#Metadata!", ADDRESS(INDEX($L$2:$L$1001,MATCH(ROWS($J$2:J357),$J$2:$J$1001,0),0), INDEX($Q$1004:$U$1004,1,MATCH(COLUMNS($Q$1006:R1006),$Q$1006:$U$1006,0)))),"Fix")))</f>
        <v xml:space="preserve"> </v>
      </c>
      <c r="D357" s="3" t="str">
        <f ca="1">IF(OR(INDEX($K$2:$K$1001,MATCH(ROWS($J$2:J357),$J$2:$J$1001,0),1)&gt;=100000,INDEX($Q$1005:$U$1005,1,MATCH(COLUMNS($Q$1006:S1006),$Q$1006:$U$1006,0))&gt;=100000), " ",IF(INDEX($Q$2:$U$1001,MATCH(ROWS($J$2:J357),$J$2:$J$1001,0),MATCH(COLUMNS($Q$1006:S1006),$Q$1006:$U$1006,0)), HYPERLINK("#",""), HYPERLINK(CONCATENATE("#Metadata!", ADDRESS(INDEX($L$2:$L$1001,MATCH(ROWS($J$2:J357),$J$2:$J$1001,0),0), INDEX($Q$1004:$U$1004,1,MATCH(COLUMNS($Q$1006:S1006),$Q$1006:$U$1006,0)))),"Fix")))</f>
        <v xml:space="preserve"> </v>
      </c>
      <c r="E357" s="3" t="str">
        <f ca="1">IF(OR(INDEX($K$2:$K$1001,MATCH(ROWS($J$2:J357),$J$2:$J$1001,0),1)&gt;=100000,INDEX($Q$1005:$U$1005,1,MATCH(COLUMNS($Q$1006:T1006),$Q$1006:$U$1006,0))&gt;=100000), " ",IF(INDEX($Q$2:$U$1001,MATCH(ROWS($J$2:J357),$J$2:$J$1001,0),MATCH(COLUMNS($Q$1006:T1006),$Q$1006:$U$1006,0)), HYPERLINK("#",""), HYPERLINK(CONCATENATE("#Metadata!", ADDRESS(INDEX($L$2:$L$1001,MATCH(ROWS($J$2:J357),$J$2:$J$1001,0),0), INDEX($Q$1004:$U$1004,1,MATCH(COLUMNS($Q$1006:T1006),$Q$1006:$U$1006,0)))),"Fix")))</f>
        <v xml:space="preserve"> </v>
      </c>
      <c r="F357" s="3" t="str">
        <f ca="1">IF(OR(INDEX($K$2:$K$1001,MATCH(ROWS($J$2:J357),$J$2:$J$1001,0),1)&gt;=100000,INDEX($Q$1005:$U$1005,1,MATCH(COLUMNS($Q$1006:U1006),$Q$1006:$U$1006,0))&gt;=100000), " ",IF(INDEX($Q$2:$U$1001,MATCH(ROWS($J$2:J357),$J$2:$J$1001,0),MATCH(COLUMNS($Q$1006:U1006),$Q$1006:$U$1006,0)), HYPERLINK("#",""), HYPERLINK(CONCATENATE("#Metadata!", ADDRESS(INDEX($L$2:$L$1001,MATCH(ROWS($J$2:J357),$J$2:$J$1001,0),0), INDEX($Q$1004:$U$1004,1,MATCH(COLUMNS($Q$1006:U1006),$Q$1006:$U$1006,0)))),"Fix")))</f>
        <v xml:space="preserve"> </v>
      </c>
      <c r="J357">
        <f ca="1"/>
        <v>356</v>
      </c>
      <c r="K357">
        <v>100357</v>
      </c>
      <c r="L357">
        <v>357</v>
      </c>
      <c r="M357" t="b">
        <f t="shared" si="5"/>
        <v>1</v>
      </c>
      <c r="N357" t="b">
        <f>COUNTBLANK(Metadata!B357:F357)=COLUMNS(Metadata!B357:F357)</f>
        <v>1</v>
      </c>
      <c r="O357" t="str">
        <v/>
      </c>
      <c r="Q357" t="b">
        <f ca="1"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R357" t="b">
        <f>IF(Metadata!C357="",FALSE,TRUE)</f>
        <v>0</v>
      </c>
      <c r="S357" t="b">
        <f>OR(AND(IF(Metadata!D357="",FALSE,TRUE),EXACT(Metadata!D357,"missing: not collected")),AND(IF(Metadata!D357="",FALSE,TRUE),OR(EXACT(Metadata!D357,"t"),EXACT(Metadata!D357,"f"))))</f>
        <v>0</v>
      </c>
      <c r="T357" t="b">
        <f>AND(IF(Metadata!E357="",FALSE,TRUE),OR(EXACT(Metadata!E357,"a"),EXACT(Metadata!E357,"b")))</f>
        <v>0</v>
      </c>
      <c r="U357" t="b">
        <f>OR(AND(IF(Metadata!F357="",FALSE,TRUE),OR(EXACT(Metadata!F357,"missing: not collected"),EXACT(Metadata!F357,"missing: not provided"))),AND(IF(Metadata!F357="",FALSE,TRUE),OR(EXACT(Metadata!F357,"lo"),EXACT(Metadata!F357,"med"),EXACT(Metadata!F357,"hi"))))</f>
        <v>0</v>
      </c>
    </row>
    <row r="358" spans="1:21" x14ac:dyDescent="0.2">
      <c r="A358" s="4" t="str">
        <f ca="1">IF(B358=" "," ",HYPERLINK(CONCATENATE("#metadata!",ADDRESS(INDEX($L$2:$L$1001,MATCH(ROWS($J$2:J358),$J$2:$J$1001,0),0),1)),INDEX($O$2:$O$1001,MATCH(ROWS($J$2:J358),$J$2:$J$1001,0),0)))</f>
        <v xml:space="preserve"> </v>
      </c>
      <c r="B358" s="3" t="str">
        <f ca="1">IF(OR(INDEX($K$2:$K$1001,MATCH(ROWS($J$2:J358),$J$2:$J$1001,0),1)&gt;=100000,INDEX($Q$1005:$U$1005,1,MATCH(COLUMNS($Q$1006:Q1006),$Q$1006:$U$1006,0))&gt;=100000), " ",IF(INDEX($Q$2:$U$1001,MATCH(ROWS($J$2:J358),$J$2:$J$1001,0),MATCH(COLUMNS($Q$1006:Q1006),$Q$1006:$U$1006,0)), HYPERLINK("#",""), HYPERLINK(CONCATENATE("#Metadata!", ADDRESS(INDEX($L$2:$L$1001,MATCH(ROWS($J$2:J358),$J$2:$J$1001,0),0), INDEX($Q$1004:$U$1004,1,MATCH(COLUMNS($Q$1006:Q1006),$Q$1006:$U$1006,0)))),"Fix")))</f>
        <v xml:space="preserve"> </v>
      </c>
      <c r="C358" s="3" t="str">
        <f ca="1">IF(OR(INDEX($K$2:$K$1001,MATCH(ROWS($J$2:J358),$J$2:$J$1001,0),1)&gt;=100000,INDEX($Q$1005:$U$1005,1,MATCH(COLUMNS($Q$1006:R1006),$Q$1006:$U$1006,0))&gt;=100000), " ",IF(INDEX($Q$2:$U$1001,MATCH(ROWS($J$2:J358),$J$2:$J$1001,0),MATCH(COLUMNS($Q$1006:R1006),$Q$1006:$U$1006,0)), HYPERLINK("#",""), HYPERLINK(CONCATENATE("#Metadata!", ADDRESS(INDEX($L$2:$L$1001,MATCH(ROWS($J$2:J358),$J$2:$J$1001,0),0), INDEX($Q$1004:$U$1004,1,MATCH(COLUMNS($Q$1006:R1006),$Q$1006:$U$1006,0)))),"Fix")))</f>
        <v xml:space="preserve"> </v>
      </c>
      <c r="D358" s="3" t="str">
        <f ca="1">IF(OR(INDEX($K$2:$K$1001,MATCH(ROWS($J$2:J358),$J$2:$J$1001,0),1)&gt;=100000,INDEX($Q$1005:$U$1005,1,MATCH(COLUMNS($Q$1006:S1006),$Q$1006:$U$1006,0))&gt;=100000), " ",IF(INDEX($Q$2:$U$1001,MATCH(ROWS($J$2:J358),$J$2:$J$1001,0),MATCH(COLUMNS($Q$1006:S1006),$Q$1006:$U$1006,0)), HYPERLINK("#",""), HYPERLINK(CONCATENATE("#Metadata!", ADDRESS(INDEX($L$2:$L$1001,MATCH(ROWS($J$2:J358),$J$2:$J$1001,0),0), INDEX($Q$1004:$U$1004,1,MATCH(COLUMNS($Q$1006:S1006),$Q$1006:$U$1006,0)))),"Fix")))</f>
        <v xml:space="preserve"> </v>
      </c>
      <c r="E358" s="3" t="str">
        <f ca="1">IF(OR(INDEX($K$2:$K$1001,MATCH(ROWS($J$2:J358),$J$2:$J$1001,0),1)&gt;=100000,INDEX($Q$1005:$U$1005,1,MATCH(COLUMNS($Q$1006:T1006),$Q$1006:$U$1006,0))&gt;=100000), " ",IF(INDEX($Q$2:$U$1001,MATCH(ROWS($J$2:J358),$J$2:$J$1001,0),MATCH(COLUMNS($Q$1006:T1006),$Q$1006:$U$1006,0)), HYPERLINK("#",""), HYPERLINK(CONCATENATE("#Metadata!", ADDRESS(INDEX($L$2:$L$1001,MATCH(ROWS($J$2:J358),$J$2:$J$1001,0),0), INDEX($Q$1004:$U$1004,1,MATCH(COLUMNS($Q$1006:T1006),$Q$1006:$U$1006,0)))),"Fix")))</f>
        <v xml:space="preserve"> </v>
      </c>
      <c r="F358" s="3" t="str">
        <f ca="1">IF(OR(INDEX($K$2:$K$1001,MATCH(ROWS($J$2:J358),$J$2:$J$1001,0),1)&gt;=100000,INDEX($Q$1005:$U$1005,1,MATCH(COLUMNS($Q$1006:U1006),$Q$1006:$U$1006,0))&gt;=100000), " ",IF(INDEX($Q$2:$U$1001,MATCH(ROWS($J$2:J358),$J$2:$J$1001,0),MATCH(COLUMNS($Q$1006:U1006),$Q$1006:$U$1006,0)), HYPERLINK("#",""), HYPERLINK(CONCATENATE("#Metadata!", ADDRESS(INDEX($L$2:$L$1001,MATCH(ROWS($J$2:J358),$J$2:$J$1001,0),0), INDEX($Q$1004:$U$1004,1,MATCH(COLUMNS($Q$1006:U1006),$Q$1006:$U$1006,0)))),"Fix")))</f>
        <v xml:space="preserve"> </v>
      </c>
      <c r="J358">
        <f ca="1"/>
        <v>357</v>
      </c>
      <c r="K358">
        <v>100358</v>
      </c>
      <c r="L358">
        <v>358</v>
      </c>
      <c r="M358" t="b">
        <f t="shared" si="5"/>
        <v>1</v>
      </c>
      <c r="N358" t="b">
        <f>COUNTBLANK(Metadata!B358:F358)=COLUMNS(Metadata!B358:F358)</f>
        <v>1</v>
      </c>
      <c r="O358" t="str">
        <v/>
      </c>
      <c r="Q358" t="b">
        <f ca="1"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R358" t="b">
        <f>IF(Metadata!C358="",FALSE,TRUE)</f>
        <v>0</v>
      </c>
      <c r="S358" t="b">
        <f>OR(AND(IF(Metadata!D358="",FALSE,TRUE),EXACT(Metadata!D358,"missing: not collected")),AND(IF(Metadata!D358="",FALSE,TRUE),OR(EXACT(Metadata!D358,"t"),EXACT(Metadata!D358,"f"))))</f>
        <v>0</v>
      </c>
      <c r="T358" t="b">
        <f>AND(IF(Metadata!E358="",FALSE,TRUE),OR(EXACT(Metadata!E358,"a"),EXACT(Metadata!E358,"b")))</f>
        <v>0</v>
      </c>
      <c r="U358" t="b">
        <f>OR(AND(IF(Metadata!F358="",FALSE,TRUE),OR(EXACT(Metadata!F358,"missing: not collected"),EXACT(Metadata!F358,"missing: not provided"))),AND(IF(Metadata!F358="",FALSE,TRUE),OR(EXACT(Metadata!F358,"lo"),EXACT(Metadata!F358,"med"),EXACT(Metadata!F358,"hi"))))</f>
        <v>0</v>
      </c>
    </row>
    <row r="359" spans="1:21" x14ac:dyDescent="0.2">
      <c r="A359" s="4" t="str">
        <f ca="1">IF(B359=" "," ",HYPERLINK(CONCATENATE("#metadata!",ADDRESS(INDEX($L$2:$L$1001,MATCH(ROWS($J$2:J359),$J$2:$J$1001,0),0),1)),INDEX($O$2:$O$1001,MATCH(ROWS($J$2:J359),$J$2:$J$1001,0),0)))</f>
        <v xml:space="preserve"> </v>
      </c>
      <c r="B359" s="3" t="str">
        <f ca="1">IF(OR(INDEX($K$2:$K$1001,MATCH(ROWS($J$2:J359),$J$2:$J$1001,0),1)&gt;=100000,INDEX($Q$1005:$U$1005,1,MATCH(COLUMNS($Q$1006:Q1006),$Q$1006:$U$1006,0))&gt;=100000), " ",IF(INDEX($Q$2:$U$1001,MATCH(ROWS($J$2:J359),$J$2:$J$1001,0),MATCH(COLUMNS($Q$1006:Q1006),$Q$1006:$U$1006,0)), HYPERLINK("#",""), HYPERLINK(CONCATENATE("#Metadata!", ADDRESS(INDEX($L$2:$L$1001,MATCH(ROWS($J$2:J359),$J$2:$J$1001,0),0), INDEX($Q$1004:$U$1004,1,MATCH(COLUMNS($Q$1006:Q1006),$Q$1006:$U$1006,0)))),"Fix")))</f>
        <v xml:space="preserve"> </v>
      </c>
      <c r="C359" s="3" t="str">
        <f ca="1">IF(OR(INDEX($K$2:$K$1001,MATCH(ROWS($J$2:J359),$J$2:$J$1001,0),1)&gt;=100000,INDEX($Q$1005:$U$1005,1,MATCH(COLUMNS($Q$1006:R1006),$Q$1006:$U$1006,0))&gt;=100000), " ",IF(INDEX($Q$2:$U$1001,MATCH(ROWS($J$2:J359),$J$2:$J$1001,0),MATCH(COLUMNS($Q$1006:R1006),$Q$1006:$U$1006,0)), HYPERLINK("#",""), HYPERLINK(CONCATENATE("#Metadata!", ADDRESS(INDEX($L$2:$L$1001,MATCH(ROWS($J$2:J359),$J$2:$J$1001,0),0), INDEX($Q$1004:$U$1004,1,MATCH(COLUMNS($Q$1006:R1006),$Q$1006:$U$1006,0)))),"Fix")))</f>
        <v xml:space="preserve"> </v>
      </c>
      <c r="D359" s="3" t="str">
        <f ca="1">IF(OR(INDEX($K$2:$K$1001,MATCH(ROWS($J$2:J359),$J$2:$J$1001,0),1)&gt;=100000,INDEX($Q$1005:$U$1005,1,MATCH(COLUMNS($Q$1006:S1006),$Q$1006:$U$1006,0))&gt;=100000), " ",IF(INDEX($Q$2:$U$1001,MATCH(ROWS($J$2:J359),$J$2:$J$1001,0),MATCH(COLUMNS($Q$1006:S1006),$Q$1006:$U$1006,0)), HYPERLINK("#",""), HYPERLINK(CONCATENATE("#Metadata!", ADDRESS(INDEX($L$2:$L$1001,MATCH(ROWS($J$2:J359),$J$2:$J$1001,0),0), INDEX($Q$1004:$U$1004,1,MATCH(COLUMNS($Q$1006:S1006),$Q$1006:$U$1006,0)))),"Fix")))</f>
        <v xml:space="preserve"> </v>
      </c>
      <c r="E359" s="3" t="str">
        <f ca="1">IF(OR(INDEX($K$2:$K$1001,MATCH(ROWS($J$2:J359),$J$2:$J$1001,0),1)&gt;=100000,INDEX($Q$1005:$U$1005,1,MATCH(COLUMNS($Q$1006:T1006),$Q$1006:$U$1006,0))&gt;=100000), " ",IF(INDEX($Q$2:$U$1001,MATCH(ROWS($J$2:J359),$J$2:$J$1001,0),MATCH(COLUMNS($Q$1006:T1006),$Q$1006:$U$1006,0)), HYPERLINK("#",""), HYPERLINK(CONCATENATE("#Metadata!", ADDRESS(INDEX($L$2:$L$1001,MATCH(ROWS($J$2:J359),$J$2:$J$1001,0),0), INDEX($Q$1004:$U$1004,1,MATCH(COLUMNS($Q$1006:T1006),$Q$1006:$U$1006,0)))),"Fix")))</f>
        <v xml:space="preserve"> </v>
      </c>
      <c r="F359" s="3" t="str">
        <f ca="1">IF(OR(INDEX($K$2:$K$1001,MATCH(ROWS($J$2:J359),$J$2:$J$1001,0),1)&gt;=100000,INDEX($Q$1005:$U$1005,1,MATCH(COLUMNS($Q$1006:U1006),$Q$1006:$U$1006,0))&gt;=100000), " ",IF(INDEX($Q$2:$U$1001,MATCH(ROWS($J$2:J359),$J$2:$J$1001,0),MATCH(COLUMNS($Q$1006:U1006),$Q$1006:$U$1006,0)), HYPERLINK("#",""), HYPERLINK(CONCATENATE("#Metadata!", ADDRESS(INDEX($L$2:$L$1001,MATCH(ROWS($J$2:J359),$J$2:$J$1001,0),0), INDEX($Q$1004:$U$1004,1,MATCH(COLUMNS($Q$1006:U1006),$Q$1006:$U$1006,0)))),"Fix")))</f>
        <v xml:space="preserve"> </v>
      </c>
      <c r="J359">
        <f ca="1"/>
        <v>358</v>
      </c>
      <c r="K359">
        <v>100359</v>
      </c>
      <c r="L359">
        <v>359</v>
      </c>
      <c r="M359" t="b">
        <f t="shared" si="5"/>
        <v>1</v>
      </c>
      <c r="N359" t="b">
        <f>COUNTBLANK(Metadata!B359:F359)=COLUMNS(Metadata!B359:F359)</f>
        <v>1</v>
      </c>
      <c r="O359" t="str">
        <v/>
      </c>
      <c r="Q359" t="b">
        <f ca="1"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R359" t="b">
        <f>IF(Metadata!C359="",FALSE,TRUE)</f>
        <v>0</v>
      </c>
      <c r="S359" t="b">
        <f>OR(AND(IF(Metadata!D359="",FALSE,TRUE),EXACT(Metadata!D359,"missing: not collected")),AND(IF(Metadata!D359="",FALSE,TRUE),OR(EXACT(Metadata!D359,"t"),EXACT(Metadata!D359,"f"))))</f>
        <v>0</v>
      </c>
      <c r="T359" t="b">
        <f>AND(IF(Metadata!E359="",FALSE,TRUE),OR(EXACT(Metadata!E359,"a"),EXACT(Metadata!E359,"b")))</f>
        <v>0</v>
      </c>
      <c r="U359" t="b">
        <f>OR(AND(IF(Metadata!F359="",FALSE,TRUE),OR(EXACT(Metadata!F359,"missing: not collected"),EXACT(Metadata!F359,"missing: not provided"))),AND(IF(Metadata!F359="",FALSE,TRUE),OR(EXACT(Metadata!F359,"lo"),EXACT(Metadata!F359,"med"),EXACT(Metadata!F359,"hi"))))</f>
        <v>0</v>
      </c>
    </row>
    <row r="360" spans="1:21" x14ac:dyDescent="0.2">
      <c r="A360" s="4" t="str">
        <f ca="1">IF(B360=" "," ",HYPERLINK(CONCATENATE("#metadata!",ADDRESS(INDEX($L$2:$L$1001,MATCH(ROWS($J$2:J360),$J$2:$J$1001,0),0),1)),INDEX($O$2:$O$1001,MATCH(ROWS($J$2:J360),$J$2:$J$1001,0),0)))</f>
        <v xml:space="preserve"> </v>
      </c>
      <c r="B360" s="3" t="str">
        <f ca="1">IF(OR(INDEX($K$2:$K$1001,MATCH(ROWS($J$2:J360),$J$2:$J$1001,0),1)&gt;=100000,INDEX($Q$1005:$U$1005,1,MATCH(COLUMNS($Q$1006:Q1006),$Q$1006:$U$1006,0))&gt;=100000), " ",IF(INDEX($Q$2:$U$1001,MATCH(ROWS($J$2:J360),$J$2:$J$1001,0),MATCH(COLUMNS($Q$1006:Q1006),$Q$1006:$U$1006,0)), HYPERLINK("#",""), HYPERLINK(CONCATENATE("#Metadata!", ADDRESS(INDEX($L$2:$L$1001,MATCH(ROWS($J$2:J360),$J$2:$J$1001,0),0), INDEX($Q$1004:$U$1004,1,MATCH(COLUMNS($Q$1006:Q1006),$Q$1006:$U$1006,0)))),"Fix")))</f>
        <v xml:space="preserve"> </v>
      </c>
      <c r="C360" s="3" t="str">
        <f ca="1">IF(OR(INDEX($K$2:$K$1001,MATCH(ROWS($J$2:J360),$J$2:$J$1001,0),1)&gt;=100000,INDEX($Q$1005:$U$1005,1,MATCH(COLUMNS($Q$1006:R1006),$Q$1006:$U$1006,0))&gt;=100000), " ",IF(INDEX($Q$2:$U$1001,MATCH(ROWS($J$2:J360),$J$2:$J$1001,0),MATCH(COLUMNS($Q$1006:R1006),$Q$1006:$U$1006,0)), HYPERLINK("#",""), HYPERLINK(CONCATENATE("#Metadata!", ADDRESS(INDEX($L$2:$L$1001,MATCH(ROWS($J$2:J360),$J$2:$J$1001,0),0), INDEX($Q$1004:$U$1004,1,MATCH(COLUMNS($Q$1006:R1006),$Q$1006:$U$1006,0)))),"Fix")))</f>
        <v xml:space="preserve"> </v>
      </c>
      <c r="D360" s="3" t="str">
        <f ca="1">IF(OR(INDEX($K$2:$K$1001,MATCH(ROWS($J$2:J360),$J$2:$J$1001,0),1)&gt;=100000,INDEX($Q$1005:$U$1005,1,MATCH(COLUMNS($Q$1006:S1006),$Q$1006:$U$1006,0))&gt;=100000), " ",IF(INDEX($Q$2:$U$1001,MATCH(ROWS($J$2:J360),$J$2:$J$1001,0),MATCH(COLUMNS($Q$1006:S1006),$Q$1006:$U$1006,0)), HYPERLINK("#",""), HYPERLINK(CONCATENATE("#Metadata!", ADDRESS(INDEX($L$2:$L$1001,MATCH(ROWS($J$2:J360),$J$2:$J$1001,0),0), INDEX($Q$1004:$U$1004,1,MATCH(COLUMNS($Q$1006:S1006),$Q$1006:$U$1006,0)))),"Fix")))</f>
        <v xml:space="preserve"> </v>
      </c>
      <c r="E360" s="3" t="str">
        <f ca="1">IF(OR(INDEX($K$2:$K$1001,MATCH(ROWS($J$2:J360),$J$2:$J$1001,0),1)&gt;=100000,INDEX($Q$1005:$U$1005,1,MATCH(COLUMNS($Q$1006:T1006),$Q$1006:$U$1006,0))&gt;=100000), " ",IF(INDEX($Q$2:$U$1001,MATCH(ROWS($J$2:J360),$J$2:$J$1001,0),MATCH(COLUMNS($Q$1006:T1006),$Q$1006:$U$1006,0)), HYPERLINK("#",""), HYPERLINK(CONCATENATE("#Metadata!", ADDRESS(INDEX($L$2:$L$1001,MATCH(ROWS($J$2:J360),$J$2:$J$1001,0),0), INDEX($Q$1004:$U$1004,1,MATCH(COLUMNS($Q$1006:T1006),$Q$1006:$U$1006,0)))),"Fix")))</f>
        <v xml:space="preserve"> </v>
      </c>
      <c r="F360" s="3" t="str">
        <f ca="1">IF(OR(INDEX($K$2:$K$1001,MATCH(ROWS($J$2:J360),$J$2:$J$1001,0),1)&gt;=100000,INDEX($Q$1005:$U$1005,1,MATCH(COLUMNS($Q$1006:U1006),$Q$1006:$U$1006,0))&gt;=100000), " ",IF(INDEX($Q$2:$U$1001,MATCH(ROWS($J$2:J360),$J$2:$J$1001,0),MATCH(COLUMNS($Q$1006:U1006),$Q$1006:$U$1006,0)), HYPERLINK("#",""), HYPERLINK(CONCATENATE("#Metadata!", ADDRESS(INDEX($L$2:$L$1001,MATCH(ROWS($J$2:J360),$J$2:$J$1001,0),0), INDEX($Q$1004:$U$1004,1,MATCH(COLUMNS($Q$1006:U1006),$Q$1006:$U$1006,0)))),"Fix")))</f>
        <v xml:space="preserve"> </v>
      </c>
      <c r="J360">
        <f ca="1"/>
        <v>359</v>
      </c>
      <c r="K360">
        <v>100360</v>
      </c>
      <c r="L360">
        <v>360</v>
      </c>
      <c r="M360" t="b">
        <f t="shared" si="5"/>
        <v>1</v>
      </c>
      <c r="N360" t="b">
        <f>COUNTBLANK(Metadata!B360:F360)=COLUMNS(Metadata!B360:F360)</f>
        <v>1</v>
      </c>
      <c r="O360" t="str">
        <v/>
      </c>
      <c r="Q360" t="b">
        <f ca="1"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R360" t="b">
        <f>IF(Metadata!C360="",FALSE,TRUE)</f>
        <v>0</v>
      </c>
      <c r="S360" t="b">
        <f>OR(AND(IF(Metadata!D360="",FALSE,TRUE),EXACT(Metadata!D360,"missing: not collected")),AND(IF(Metadata!D360="",FALSE,TRUE),OR(EXACT(Metadata!D360,"t"),EXACT(Metadata!D360,"f"))))</f>
        <v>0</v>
      </c>
      <c r="T360" t="b">
        <f>AND(IF(Metadata!E360="",FALSE,TRUE),OR(EXACT(Metadata!E360,"a"),EXACT(Metadata!E360,"b")))</f>
        <v>0</v>
      </c>
      <c r="U360" t="b">
        <f>OR(AND(IF(Metadata!F360="",FALSE,TRUE),OR(EXACT(Metadata!F360,"missing: not collected"),EXACT(Metadata!F360,"missing: not provided"))),AND(IF(Metadata!F360="",FALSE,TRUE),OR(EXACT(Metadata!F360,"lo"),EXACT(Metadata!F360,"med"),EXACT(Metadata!F360,"hi"))))</f>
        <v>0</v>
      </c>
    </row>
    <row r="361" spans="1:21" x14ac:dyDescent="0.2">
      <c r="A361" s="4" t="str">
        <f ca="1">IF(B361=" "," ",HYPERLINK(CONCATENATE("#metadata!",ADDRESS(INDEX($L$2:$L$1001,MATCH(ROWS($J$2:J361),$J$2:$J$1001,0),0),1)),INDEX($O$2:$O$1001,MATCH(ROWS($J$2:J361),$J$2:$J$1001,0),0)))</f>
        <v xml:space="preserve"> </v>
      </c>
      <c r="B361" s="3" t="str">
        <f ca="1">IF(OR(INDEX($K$2:$K$1001,MATCH(ROWS($J$2:J361),$J$2:$J$1001,0),1)&gt;=100000,INDEX($Q$1005:$U$1005,1,MATCH(COLUMNS($Q$1006:Q1006),$Q$1006:$U$1006,0))&gt;=100000), " ",IF(INDEX($Q$2:$U$1001,MATCH(ROWS($J$2:J361),$J$2:$J$1001,0),MATCH(COLUMNS($Q$1006:Q1006),$Q$1006:$U$1006,0)), HYPERLINK("#",""), HYPERLINK(CONCATENATE("#Metadata!", ADDRESS(INDEX($L$2:$L$1001,MATCH(ROWS($J$2:J361),$J$2:$J$1001,0),0), INDEX($Q$1004:$U$1004,1,MATCH(COLUMNS($Q$1006:Q1006),$Q$1006:$U$1006,0)))),"Fix")))</f>
        <v xml:space="preserve"> </v>
      </c>
      <c r="C361" s="3" t="str">
        <f ca="1">IF(OR(INDEX($K$2:$K$1001,MATCH(ROWS($J$2:J361),$J$2:$J$1001,0),1)&gt;=100000,INDEX($Q$1005:$U$1005,1,MATCH(COLUMNS($Q$1006:R1006),$Q$1006:$U$1006,0))&gt;=100000), " ",IF(INDEX($Q$2:$U$1001,MATCH(ROWS($J$2:J361),$J$2:$J$1001,0),MATCH(COLUMNS($Q$1006:R1006),$Q$1006:$U$1006,0)), HYPERLINK("#",""), HYPERLINK(CONCATENATE("#Metadata!", ADDRESS(INDEX($L$2:$L$1001,MATCH(ROWS($J$2:J361),$J$2:$J$1001,0),0), INDEX($Q$1004:$U$1004,1,MATCH(COLUMNS($Q$1006:R1006),$Q$1006:$U$1006,0)))),"Fix")))</f>
        <v xml:space="preserve"> </v>
      </c>
      <c r="D361" s="3" t="str">
        <f ca="1">IF(OR(INDEX($K$2:$K$1001,MATCH(ROWS($J$2:J361),$J$2:$J$1001,0),1)&gt;=100000,INDEX($Q$1005:$U$1005,1,MATCH(COLUMNS($Q$1006:S1006),$Q$1006:$U$1006,0))&gt;=100000), " ",IF(INDEX($Q$2:$U$1001,MATCH(ROWS($J$2:J361),$J$2:$J$1001,0),MATCH(COLUMNS($Q$1006:S1006),$Q$1006:$U$1006,0)), HYPERLINK("#",""), HYPERLINK(CONCATENATE("#Metadata!", ADDRESS(INDEX($L$2:$L$1001,MATCH(ROWS($J$2:J361),$J$2:$J$1001,0),0), INDEX($Q$1004:$U$1004,1,MATCH(COLUMNS($Q$1006:S1006),$Q$1006:$U$1006,0)))),"Fix")))</f>
        <v xml:space="preserve"> </v>
      </c>
      <c r="E361" s="3" t="str">
        <f ca="1">IF(OR(INDEX($K$2:$K$1001,MATCH(ROWS($J$2:J361),$J$2:$J$1001,0),1)&gt;=100000,INDEX($Q$1005:$U$1005,1,MATCH(COLUMNS($Q$1006:T1006),$Q$1006:$U$1006,0))&gt;=100000), " ",IF(INDEX($Q$2:$U$1001,MATCH(ROWS($J$2:J361),$J$2:$J$1001,0),MATCH(COLUMNS($Q$1006:T1006),$Q$1006:$U$1006,0)), HYPERLINK("#",""), HYPERLINK(CONCATENATE("#Metadata!", ADDRESS(INDEX($L$2:$L$1001,MATCH(ROWS($J$2:J361),$J$2:$J$1001,0),0), INDEX($Q$1004:$U$1004,1,MATCH(COLUMNS($Q$1006:T1006),$Q$1006:$U$1006,0)))),"Fix")))</f>
        <v xml:space="preserve"> </v>
      </c>
      <c r="F361" s="3" t="str">
        <f ca="1">IF(OR(INDEX($K$2:$K$1001,MATCH(ROWS($J$2:J361),$J$2:$J$1001,0),1)&gt;=100000,INDEX($Q$1005:$U$1005,1,MATCH(COLUMNS($Q$1006:U1006),$Q$1006:$U$1006,0))&gt;=100000), " ",IF(INDEX($Q$2:$U$1001,MATCH(ROWS($J$2:J361),$J$2:$J$1001,0),MATCH(COLUMNS($Q$1006:U1006),$Q$1006:$U$1006,0)), HYPERLINK("#",""), HYPERLINK(CONCATENATE("#Metadata!", ADDRESS(INDEX($L$2:$L$1001,MATCH(ROWS($J$2:J361),$J$2:$J$1001,0),0), INDEX($Q$1004:$U$1004,1,MATCH(COLUMNS($Q$1006:U1006),$Q$1006:$U$1006,0)))),"Fix")))</f>
        <v xml:space="preserve"> </v>
      </c>
      <c r="J361">
        <f ca="1"/>
        <v>360</v>
      </c>
      <c r="K361">
        <v>100361</v>
      </c>
      <c r="L361">
        <v>361</v>
      </c>
      <c r="M361" t="b">
        <f t="shared" si="5"/>
        <v>1</v>
      </c>
      <c r="N361" t="b">
        <f>COUNTBLANK(Metadata!B361:F361)=COLUMNS(Metadata!B361:F361)</f>
        <v>1</v>
      </c>
      <c r="O361" t="str">
        <v/>
      </c>
      <c r="Q361" t="b">
        <f ca="1"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R361" t="b">
        <f>IF(Metadata!C361="",FALSE,TRUE)</f>
        <v>0</v>
      </c>
      <c r="S361" t="b">
        <f>OR(AND(IF(Metadata!D361="",FALSE,TRUE),EXACT(Metadata!D361,"missing: not collected")),AND(IF(Metadata!D361="",FALSE,TRUE),OR(EXACT(Metadata!D361,"t"),EXACT(Metadata!D361,"f"))))</f>
        <v>0</v>
      </c>
      <c r="T361" t="b">
        <f>AND(IF(Metadata!E361="",FALSE,TRUE),OR(EXACT(Metadata!E361,"a"),EXACT(Metadata!E361,"b")))</f>
        <v>0</v>
      </c>
      <c r="U361" t="b">
        <f>OR(AND(IF(Metadata!F361="",FALSE,TRUE),OR(EXACT(Metadata!F361,"missing: not collected"),EXACT(Metadata!F361,"missing: not provided"))),AND(IF(Metadata!F361="",FALSE,TRUE),OR(EXACT(Metadata!F361,"lo"),EXACT(Metadata!F361,"med"),EXACT(Metadata!F361,"hi"))))</f>
        <v>0</v>
      </c>
    </row>
    <row r="362" spans="1:21" x14ac:dyDescent="0.2">
      <c r="A362" s="4" t="str">
        <f ca="1">IF(B362=" "," ",HYPERLINK(CONCATENATE("#metadata!",ADDRESS(INDEX($L$2:$L$1001,MATCH(ROWS($J$2:J362),$J$2:$J$1001,0),0),1)),INDEX($O$2:$O$1001,MATCH(ROWS($J$2:J362),$J$2:$J$1001,0),0)))</f>
        <v xml:space="preserve"> </v>
      </c>
      <c r="B362" s="3" t="str">
        <f ca="1">IF(OR(INDEX($K$2:$K$1001,MATCH(ROWS($J$2:J362),$J$2:$J$1001,0),1)&gt;=100000,INDEX($Q$1005:$U$1005,1,MATCH(COLUMNS($Q$1006:Q1006),$Q$1006:$U$1006,0))&gt;=100000), " ",IF(INDEX($Q$2:$U$1001,MATCH(ROWS($J$2:J362),$J$2:$J$1001,0),MATCH(COLUMNS($Q$1006:Q1006),$Q$1006:$U$1006,0)), HYPERLINK("#",""), HYPERLINK(CONCATENATE("#Metadata!", ADDRESS(INDEX($L$2:$L$1001,MATCH(ROWS($J$2:J362),$J$2:$J$1001,0),0), INDEX($Q$1004:$U$1004,1,MATCH(COLUMNS($Q$1006:Q1006),$Q$1006:$U$1006,0)))),"Fix")))</f>
        <v xml:space="preserve"> </v>
      </c>
      <c r="C362" s="3" t="str">
        <f ca="1">IF(OR(INDEX($K$2:$K$1001,MATCH(ROWS($J$2:J362),$J$2:$J$1001,0),1)&gt;=100000,INDEX($Q$1005:$U$1005,1,MATCH(COLUMNS($Q$1006:R1006),$Q$1006:$U$1006,0))&gt;=100000), " ",IF(INDEX($Q$2:$U$1001,MATCH(ROWS($J$2:J362),$J$2:$J$1001,0),MATCH(COLUMNS($Q$1006:R1006),$Q$1006:$U$1006,0)), HYPERLINK("#",""), HYPERLINK(CONCATENATE("#Metadata!", ADDRESS(INDEX($L$2:$L$1001,MATCH(ROWS($J$2:J362),$J$2:$J$1001,0),0), INDEX($Q$1004:$U$1004,1,MATCH(COLUMNS($Q$1006:R1006),$Q$1006:$U$1006,0)))),"Fix")))</f>
        <v xml:space="preserve"> </v>
      </c>
      <c r="D362" s="3" t="str">
        <f ca="1">IF(OR(INDEX($K$2:$K$1001,MATCH(ROWS($J$2:J362),$J$2:$J$1001,0),1)&gt;=100000,INDEX($Q$1005:$U$1005,1,MATCH(COLUMNS($Q$1006:S1006),$Q$1006:$U$1006,0))&gt;=100000), " ",IF(INDEX($Q$2:$U$1001,MATCH(ROWS($J$2:J362),$J$2:$J$1001,0),MATCH(COLUMNS($Q$1006:S1006),$Q$1006:$U$1006,0)), HYPERLINK("#",""), HYPERLINK(CONCATENATE("#Metadata!", ADDRESS(INDEX($L$2:$L$1001,MATCH(ROWS($J$2:J362),$J$2:$J$1001,0),0), INDEX($Q$1004:$U$1004,1,MATCH(COLUMNS($Q$1006:S1006),$Q$1006:$U$1006,0)))),"Fix")))</f>
        <v xml:space="preserve"> </v>
      </c>
      <c r="E362" s="3" t="str">
        <f ca="1">IF(OR(INDEX($K$2:$K$1001,MATCH(ROWS($J$2:J362),$J$2:$J$1001,0),1)&gt;=100000,INDEX($Q$1005:$U$1005,1,MATCH(COLUMNS($Q$1006:T1006),$Q$1006:$U$1006,0))&gt;=100000), " ",IF(INDEX($Q$2:$U$1001,MATCH(ROWS($J$2:J362),$J$2:$J$1001,0),MATCH(COLUMNS($Q$1006:T1006),$Q$1006:$U$1006,0)), HYPERLINK("#",""), HYPERLINK(CONCATENATE("#Metadata!", ADDRESS(INDEX($L$2:$L$1001,MATCH(ROWS($J$2:J362),$J$2:$J$1001,0),0), INDEX($Q$1004:$U$1004,1,MATCH(COLUMNS($Q$1006:T1006),$Q$1006:$U$1006,0)))),"Fix")))</f>
        <v xml:space="preserve"> </v>
      </c>
      <c r="F362" s="3" t="str">
        <f ca="1">IF(OR(INDEX($K$2:$K$1001,MATCH(ROWS($J$2:J362),$J$2:$J$1001,0),1)&gt;=100000,INDEX($Q$1005:$U$1005,1,MATCH(COLUMNS($Q$1006:U1006),$Q$1006:$U$1006,0))&gt;=100000), " ",IF(INDEX($Q$2:$U$1001,MATCH(ROWS($J$2:J362),$J$2:$J$1001,0),MATCH(COLUMNS($Q$1006:U1006),$Q$1006:$U$1006,0)), HYPERLINK("#",""), HYPERLINK(CONCATENATE("#Metadata!", ADDRESS(INDEX($L$2:$L$1001,MATCH(ROWS($J$2:J362),$J$2:$J$1001,0),0), INDEX($Q$1004:$U$1004,1,MATCH(COLUMNS($Q$1006:U1006),$Q$1006:$U$1006,0)))),"Fix")))</f>
        <v xml:space="preserve"> </v>
      </c>
      <c r="J362">
        <f ca="1"/>
        <v>361</v>
      </c>
      <c r="K362">
        <v>100362</v>
      </c>
      <c r="L362">
        <v>362</v>
      </c>
      <c r="M362" t="b">
        <f t="shared" si="5"/>
        <v>1</v>
      </c>
      <c r="N362" t="b">
        <f>COUNTBLANK(Metadata!B362:F362)=COLUMNS(Metadata!B362:F362)</f>
        <v>1</v>
      </c>
      <c r="O362" t="str">
        <v/>
      </c>
      <c r="Q362" t="b">
        <f ca="1"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R362" t="b">
        <f>IF(Metadata!C362="",FALSE,TRUE)</f>
        <v>0</v>
      </c>
      <c r="S362" t="b">
        <f>OR(AND(IF(Metadata!D362="",FALSE,TRUE),EXACT(Metadata!D362,"missing: not collected")),AND(IF(Metadata!D362="",FALSE,TRUE),OR(EXACT(Metadata!D362,"t"),EXACT(Metadata!D362,"f"))))</f>
        <v>0</v>
      </c>
      <c r="T362" t="b">
        <f>AND(IF(Metadata!E362="",FALSE,TRUE),OR(EXACT(Metadata!E362,"a"),EXACT(Metadata!E362,"b")))</f>
        <v>0</v>
      </c>
      <c r="U362" t="b">
        <f>OR(AND(IF(Metadata!F362="",FALSE,TRUE),OR(EXACT(Metadata!F362,"missing: not collected"),EXACT(Metadata!F362,"missing: not provided"))),AND(IF(Metadata!F362="",FALSE,TRUE),OR(EXACT(Metadata!F362,"lo"),EXACT(Metadata!F362,"med"),EXACT(Metadata!F362,"hi"))))</f>
        <v>0</v>
      </c>
    </row>
    <row r="363" spans="1:21" x14ac:dyDescent="0.2">
      <c r="A363" s="4" t="str">
        <f ca="1">IF(B363=" "," ",HYPERLINK(CONCATENATE("#metadata!",ADDRESS(INDEX($L$2:$L$1001,MATCH(ROWS($J$2:J363),$J$2:$J$1001,0),0),1)),INDEX($O$2:$O$1001,MATCH(ROWS($J$2:J363),$J$2:$J$1001,0),0)))</f>
        <v xml:space="preserve"> </v>
      </c>
      <c r="B363" s="3" t="str">
        <f ca="1">IF(OR(INDEX($K$2:$K$1001,MATCH(ROWS($J$2:J363),$J$2:$J$1001,0),1)&gt;=100000,INDEX($Q$1005:$U$1005,1,MATCH(COLUMNS($Q$1006:Q1006),$Q$1006:$U$1006,0))&gt;=100000), " ",IF(INDEX($Q$2:$U$1001,MATCH(ROWS($J$2:J363),$J$2:$J$1001,0),MATCH(COLUMNS($Q$1006:Q1006),$Q$1006:$U$1006,0)), HYPERLINK("#",""), HYPERLINK(CONCATENATE("#Metadata!", ADDRESS(INDEX($L$2:$L$1001,MATCH(ROWS($J$2:J363),$J$2:$J$1001,0),0), INDEX($Q$1004:$U$1004,1,MATCH(COLUMNS($Q$1006:Q1006),$Q$1006:$U$1006,0)))),"Fix")))</f>
        <v xml:space="preserve"> </v>
      </c>
      <c r="C363" s="3" t="str">
        <f ca="1">IF(OR(INDEX($K$2:$K$1001,MATCH(ROWS($J$2:J363),$J$2:$J$1001,0),1)&gt;=100000,INDEX($Q$1005:$U$1005,1,MATCH(COLUMNS($Q$1006:R1006),$Q$1006:$U$1006,0))&gt;=100000), " ",IF(INDEX($Q$2:$U$1001,MATCH(ROWS($J$2:J363),$J$2:$J$1001,0),MATCH(COLUMNS($Q$1006:R1006),$Q$1006:$U$1006,0)), HYPERLINK("#",""), HYPERLINK(CONCATENATE("#Metadata!", ADDRESS(INDEX($L$2:$L$1001,MATCH(ROWS($J$2:J363),$J$2:$J$1001,0),0), INDEX($Q$1004:$U$1004,1,MATCH(COLUMNS($Q$1006:R1006),$Q$1006:$U$1006,0)))),"Fix")))</f>
        <v xml:space="preserve"> </v>
      </c>
      <c r="D363" s="3" t="str">
        <f ca="1">IF(OR(INDEX($K$2:$K$1001,MATCH(ROWS($J$2:J363),$J$2:$J$1001,0),1)&gt;=100000,INDEX($Q$1005:$U$1005,1,MATCH(COLUMNS($Q$1006:S1006),$Q$1006:$U$1006,0))&gt;=100000), " ",IF(INDEX($Q$2:$U$1001,MATCH(ROWS($J$2:J363),$J$2:$J$1001,0),MATCH(COLUMNS($Q$1006:S1006),$Q$1006:$U$1006,0)), HYPERLINK("#",""), HYPERLINK(CONCATENATE("#Metadata!", ADDRESS(INDEX($L$2:$L$1001,MATCH(ROWS($J$2:J363),$J$2:$J$1001,0),0), INDEX($Q$1004:$U$1004,1,MATCH(COLUMNS($Q$1006:S1006),$Q$1006:$U$1006,0)))),"Fix")))</f>
        <v xml:space="preserve"> </v>
      </c>
      <c r="E363" s="3" t="str">
        <f ca="1">IF(OR(INDEX($K$2:$K$1001,MATCH(ROWS($J$2:J363),$J$2:$J$1001,0),1)&gt;=100000,INDEX($Q$1005:$U$1005,1,MATCH(COLUMNS($Q$1006:T1006),$Q$1006:$U$1006,0))&gt;=100000), " ",IF(INDEX($Q$2:$U$1001,MATCH(ROWS($J$2:J363),$J$2:$J$1001,0),MATCH(COLUMNS($Q$1006:T1006),$Q$1006:$U$1006,0)), HYPERLINK("#",""), HYPERLINK(CONCATENATE("#Metadata!", ADDRESS(INDEX($L$2:$L$1001,MATCH(ROWS($J$2:J363),$J$2:$J$1001,0),0), INDEX($Q$1004:$U$1004,1,MATCH(COLUMNS($Q$1006:T1006),$Q$1006:$U$1006,0)))),"Fix")))</f>
        <v xml:space="preserve"> </v>
      </c>
      <c r="F363" s="3" t="str">
        <f ca="1">IF(OR(INDEX($K$2:$K$1001,MATCH(ROWS($J$2:J363),$J$2:$J$1001,0),1)&gt;=100000,INDEX($Q$1005:$U$1005,1,MATCH(COLUMNS($Q$1006:U1006),$Q$1006:$U$1006,0))&gt;=100000), " ",IF(INDEX($Q$2:$U$1001,MATCH(ROWS($J$2:J363),$J$2:$J$1001,0),MATCH(COLUMNS($Q$1006:U1006),$Q$1006:$U$1006,0)), HYPERLINK("#",""), HYPERLINK(CONCATENATE("#Metadata!", ADDRESS(INDEX($L$2:$L$1001,MATCH(ROWS($J$2:J363),$J$2:$J$1001,0),0), INDEX($Q$1004:$U$1004,1,MATCH(COLUMNS($Q$1006:U1006),$Q$1006:$U$1006,0)))),"Fix")))</f>
        <v xml:space="preserve"> </v>
      </c>
      <c r="J363">
        <f ca="1"/>
        <v>362</v>
      </c>
      <c r="K363">
        <v>100363</v>
      </c>
      <c r="L363">
        <v>363</v>
      </c>
      <c r="M363" t="b">
        <f t="shared" si="5"/>
        <v>1</v>
      </c>
      <c r="N363" t="b">
        <f>COUNTBLANK(Metadata!B363:F363)=COLUMNS(Metadata!B363:F363)</f>
        <v>1</v>
      </c>
      <c r="O363" t="str">
        <v/>
      </c>
      <c r="Q363" t="b">
        <f ca="1"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R363" t="b">
        <f>IF(Metadata!C363="",FALSE,TRUE)</f>
        <v>0</v>
      </c>
      <c r="S363" t="b">
        <f>OR(AND(IF(Metadata!D363="",FALSE,TRUE),EXACT(Metadata!D363,"missing: not collected")),AND(IF(Metadata!D363="",FALSE,TRUE),OR(EXACT(Metadata!D363,"t"),EXACT(Metadata!D363,"f"))))</f>
        <v>0</v>
      </c>
      <c r="T363" t="b">
        <f>AND(IF(Metadata!E363="",FALSE,TRUE),OR(EXACT(Metadata!E363,"a"),EXACT(Metadata!E363,"b")))</f>
        <v>0</v>
      </c>
      <c r="U363" t="b">
        <f>OR(AND(IF(Metadata!F363="",FALSE,TRUE),OR(EXACT(Metadata!F363,"missing: not collected"),EXACT(Metadata!F363,"missing: not provided"))),AND(IF(Metadata!F363="",FALSE,TRUE),OR(EXACT(Metadata!F363,"lo"),EXACT(Metadata!F363,"med"),EXACT(Metadata!F363,"hi"))))</f>
        <v>0</v>
      </c>
    </row>
    <row r="364" spans="1:21" x14ac:dyDescent="0.2">
      <c r="A364" s="4" t="str">
        <f ca="1">IF(B364=" "," ",HYPERLINK(CONCATENATE("#metadata!",ADDRESS(INDEX($L$2:$L$1001,MATCH(ROWS($J$2:J364),$J$2:$J$1001,0),0),1)),INDEX($O$2:$O$1001,MATCH(ROWS($J$2:J364),$J$2:$J$1001,0),0)))</f>
        <v xml:space="preserve"> </v>
      </c>
      <c r="B364" s="3" t="str">
        <f ca="1">IF(OR(INDEX($K$2:$K$1001,MATCH(ROWS($J$2:J364),$J$2:$J$1001,0),1)&gt;=100000,INDEX($Q$1005:$U$1005,1,MATCH(COLUMNS($Q$1006:Q1006),$Q$1006:$U$1006,0))&gt;=100000), " ",IF(INDEX($Q$2:$U$1001,MATCH(ROWS($J$2:J364),$J$2:$J$1001,0),MATCH(COLUMNS($Q$1006:Q1006),$Q$1006:$U$1006,0)), HYPERLINK("#",""), HYPERLINK(CONCATENATE("#Metadata!", ADDRESS(INDEX($L$2:$L$1001,MATCH(ROWS($J$2:J364),$J$2:$J$1001,0),0), INDEX($Q$1004:$U$1004,1,MATCH(COLUMNS($Q$1006:Q1006),$Q$1006:$U$1006,0)))),"Fix")))</f>
        <v xml:space="preserve"> </v>
      </c>
      <c r="C364" s="3" t="str">
        <f ca="1">IF(OR(INDEX($K$2:$K$1001,MATCH(ROWS($J$2:J364),$J$2:$J$1001,0),1)&gt;=100000,INDEX($Q$1005:$U$1005,1,MATCH(COLUMNS($Q$1006:R1006),$Q$1006:$U$1006,0))&gt;=100000), " ",IF(INDEX($Q$2:$U$1001,MATCH(ROWS($J$2:J364),$J$2:$J$1001,0),MATCH(COLUMNS($Q$1006:R1006),$Q$1006:$U$1006,0)), HYPERLINK("#",""), HYPERLINK(CONCATENATE("#Metadata!", ADDRESS(INDEX($L$2:$L$1001,MATCH(ROWS($J$2:J364),$J$2:$J$1001,0),0), INDEX($Q$1004:$U$1004,1,MATCH(COLUMNS($Q$1006:R1006),$Q$1006:$U$1006,0)))),"Fix")))</f>
        <v xml:space="preserve"> </v>
      </c>
      <c r="D364" s="3" t="str">
        <f ca="1">IF(OR(INDEX($K$2:$K$1001,MATCH(ROWS($J$2:J364),$J$2:$J$1001,0),1)&gt;=100000,INDEX($Q$1005:$U$1005,1,MATCH(COLUMNS($Q$1006:S1006),$Q$1006:$U$1006,0))&gt;=100000), " ",IF(INDEX($Q$2:$U$1001,MATCH(ROWS($J$2:J364),$J$2:$J$1001,0),MATCH(COLUMNS($Q$1006:S1006),$Q$1006:$U$1006,0)), HYPERLINK("#",""), HYPERLINK(CONCATENATE("#Metadata!", ADDRESS(INDEX($L$2:$L$1001,MATCH(ROWS($J$2:J364),$J$2:$J$1001,0),0), INDEX($Q$1004:$U$1004,1,MATCH(COLUMNS($Q$1006:S1006),$Q$1006:$U$1006,0)))),"Fix")))</f>
        <v xml:space="preserve"> </v>
      </c>
      <c r="E364" s="3" t="str">
        <f ca="1">IF(OR(INDEX($K$2:$K$1001,MATCH(ROWS($J$2:J364),$J$2:$J$1001,0),1)&gt;=100000,INDEX($Q$1005:$U$1005,1,MATCH(COLUMNS($Q$1006:T1006),$Q$1006:$U$1006,0))&gt;=100000), " ",IF(INDEX($Q$2:$U$1001,MATCH(ROWS($J$2:J364),$J$2:$J$1001,0),MATCH(COLUMNS($Q$1006:T1006),$Q$1006:$U$1006,0)), HYPERLINK("#",""), HYPERLINK(CONCATENATE("#Metadata!", ADDRESS(INDEX($L$2:$L$1001,MATCH(ROWS($J$2:J364),$J$2:$J$1001,0),0), INDEX($Q$1004:$U$1004,1,MATCH(COLUMNS($Q$1006:T1006),$Q$1006:$U$1006,0)))),"Fix")))</f>
        <v xml:space="preserve"> </v>
      </c>
      <c r="F364" s="3" t="str">
        <f ca="1">IF(OR(INDEX($K$2:$K$1001,MATCH(ROWS($J$2:J364),$J$2:$J$1001,0),1)&gt;=100000,INDEX($Q$1005:$U$1005,1,MATCH(COLUMNS($Q$1006:U1006),$Q$1006:$U$1006,0))&gt;=100000), " ",IF(INDEX($Q$2:$U$1001,MATCH(ROWS($J$2:J364),$J$2:$J$1001,0),MATCH(COLUMNS($Q$1006:U1006),$Q$1006:$U$1006,0)), HYPERLINK("#",""), HYPERLINK(CONCATENATE("#Metadata!", ADDRESS(INDEX($L$2:$L$1001,MATCH(ROWS($J$2:J364),$J$2:$J$1001,0),0), INDEX($Q$1004:$U$1004,1,MATCH(COLUMNS($Q$1006:U1006),$Q$1006:$U$1006,0)))),"Fix")))</f>
        <v xml:space="preserve"> </v>
      </c>
      <c r="J364">
        <f ca="1"/>
        <v>363</v>
      </c>
      <c r="K364">
        <v>100364</v>
      </c>
      <c r="L364">
        <v>364</v>
      </c>
      <c r="M364" t="b">
        <f t="shared" si="5"/>
        <v>1</v>
      </c>
      <c r="N364" t="b">
        <f>COUNTBLANK(Metadata!B364:F364)=COLUMNS(Metadata!B364:F364)</f>
        <v>1</v>
      </c>
      <c r="O364" t="str">
        <v/>
      </c>
      <c r="Q364" t="b">
        <f ca="1"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R364" t="b">
        <f>IF(Metadata!C364="",FALSE,TRUE)</f>
        <v>0</v>
      </c>
      <c r="S364" t="b">
        <f>OR(AND(IF(Metadata!D364="",FALSE,TRUE),EXACT(Metadata!D364,"missing: not collected")),AND(IF(Metadata!D364="",FALSE,TRUE),OR(EXACT(Metadata!D364,"t"),EXACT(Metadata!D364,"f"))))</f>
        <v>0</v>
      </c>
      <c r="T364" t="b">
        <f>AND(IF(Metadata!E364="",FALSE,TRUE),OR(EXACT(Metadata!E364,"a"),EXACT(Metadata!E364,"b")))</f>
        <v>0</v>
      </c>
      <c r="U364" t="b">
        <f>OR(AND(IF(Metadata!F364="",FALSE,TRUE),OR(EXACT(Metadata!F364,"missing: not collected"),EXACT(Metadata!F364,"missing: not provided"))),AND(IF(Metadata!F364="",FALSE,TRUE),OR(EXACT(Metadata!F364,"lo"),EXACT(Metadata!F364,"med"),EXACT(Metadata!F364,"hi"))))</f>
        <v>0</v>
      </c>
    </row>
    <row r="365" spans="1:21" x14ac:dyDescent="0.2">
      <c r="A365" s="4" t="str">
        <f ca="1">IF(B365=" "," ",HYPERLINK(CONCATENATE("#metadata!",ADDRESS(INDEX($L$2:$L$1001,MATCH(ROWS($J$2:J365),$J$2:$J$1001,0),0),1)),INDEX($O$2:$O$1001,MATCH(ROWS($J$2:J365),$J$2:$J$1001,0),0)))</f>
        <v xml:space="preserve"> </v>
      </c>
      <c r="B365" s="3" t="str">
        <f ca="1">IF(OR(INDEX($K$2:$K$1001,MATCH(ROWS($J$2:J365),$J$2:$J$1001,0),1)&gt;=100000,INDEX($Q$1005:$U$1005,1,MATCH(COLUMNS($Q$1006:Q1006),$Q$1006:$U$1006,0))&gt;=100000), " ",IF(INDEX($Q$2:$U$1001,MATCH(ROWS($J$2:J365),$J$2:$J$1001,0),MATCH(COLUMNS($Q$1006:Q1006),$Q$1006:$U$1006,0)), HYPERLINK("#",""), HYPERLINK(CONCATENATE("#Metadata!", ADDRESS(INDEX($L$2:$L$1001,MATCH(ROWS($J$2:J365),$J$2:$J$1001,0),0), INDEX($Q$1004:$U$1004,1,MATCH(COLUMNS($Q$1006:Q1006),$Q$1006:$U$1006,0)))),"Fix")))</f>
        <v xml:space="preserve"> </v>
      </c>
      <c r="C365" s="3" t="str">
        <f ca="1">IF(OR(INDEX($K$2:$K$1001,MATCH(ROWS($J$2:J365),$J$2:$J$1001,0),1)&gt;=100000,INDEX($Q$1005:$U$1005,1,MATCH(COLUMNS($Q$1006:R1006),$Q$1006:$U$1006,0))&gt;=100000), " ",IF(INDEX($Q$2:$U$1001,MATCH(ROWS($J$2:J365),$J$2:$J$1001,0),MATCH(COLUMNS($Q$1006:R1006),$Q$1006:$U$1006,0)), HYPERLINK("#",""), HYPERLINK(CONCATENATE("#Metadata!", ADDRESS(INDEX($L$2:$L$1001,MATCH(ROWS($J$2:J365),$J$2:$J$1001,0),0), INDEX($Q$1004:$U$1004,1,MATCH(COLUMNS($Q$1006:R1006),$Q$1006:$U$1006,0)))),"Fix")))</f>
        <v xml:space="preserve"> </v>
      </c>
      <c r="D365" s="3" t="str">
        <f ca="1">IF(OR(INDEX($K$2:$K$1001,MATCH(ROWS($J$2:J365),$J$2:$J$1001,0),1)&gt;=100000,INDEX($Q$1005:$U$1005,1,MATCH(COLUMNS($Q$1006:S1006),$Q$1006:$U$1006,0))&gt;=100000), " ",IF(INDEX($Q$2:$U$1001,MATCH(ROWS($J$2:J365),$J$2:$J$1001,0),MATCH(COLUMNS($Q$1006:S1006),$Q$1006:$U$1006,0)), HYPERLINK("#",""), HYPERLINK(CONCATENATE("#Metadata!", ADDRESS(INDEX($L$2:$L$1001,MATCH(ROWS($J$2:J365),$J$2:$J$1001,0),0), INDEX($Q$1004:$U$1004,1,MATCH(COLUMNS($Q$1006:S1006),$Q$1006:$U$1006,0)))),"Fix")))</f>
        <v xml:space="preserve"> </v>
      </c>
      <c r="E365" s="3" t="str">
        <f ca="1">IF(OR(INDEX($K$2:$K$1001,MATCH(ROWS($J$2:J365),$J$2:$J$1001,0),1)&gt;=100000,INDEX($Q$1005:$U$1005,1,MATCH(COLUMNS($Q$1006:T1006),$Q$1006:$U$1006,0))&gt;=100000), " ",IF(INDEX($Q$2:$U$1001,MATCH(ROWS($J$2:J365),$J$2:$J$1001,0),MATCH(COLUMNS($Q$1006:T1006),$Q$1006:$U$1006,0)), HYPERLINK("#",""), HYPERLINK(CONCATENATE("#Metadata!", ADDRESS(INDEX($L$2:$L$1001,MATCH(ROWS($J$2:J365),$J$2:$J$1001,0),0), INDEX($Q$1004:$U$1004,1,MATCH(COLUMNS($Q$1006:T1006),$Q$1006:$U$1006,0)))),"Fix")))</f>
        <v xml:space="preserve"> </v>
      </c>
      <c r="F365" s="3" t="str">
        <f ca="1">IF(OR(INDEX($K$2:$K$1001,MATCH(ROWS($J$2:J365),$J$2:$J$1001,0),1)&gt;=100000,INDEX($Q$1005:$U$1005,1,MATCH(COLUMNS($Q$1006:U1006),$Q$1006:$U$1006,0))&gt;=100000), " ",IF(INDEX($Q$2:$U$1001,MATCH(ROWS($J$2:J365),$J$2:$J$1001,0),MATCH(COLUMNS($Q$1006:U1006),$Q$1006:$U$1006,0)), HYPERLINK("#",""), HYPERLINK(CONCATENATE("#Metadata!", ADDRESS(INDEX($L$2:$L$1001,MATCH(ROWS($J$2:J365),$J$2:$J$1001,0),0), INDEX($Q$1004:$U$1004,1,MATCH(COLUMNS($Q$1006:U1006),$Q$1006:$U$1006,0)))),"Fix")))</f>
        <v xml:space="preserve"> </v>
      </c>
      <c r="J365">
        <f ca="1"/>
        <v>364</v>
      </c>
      <c r="K365">
        <v>100365</v>
      </c>
      <c r="L365">
        <v>365</v>
      </c>
      <c r="M365" t="b">
        <f t="shared" si="5"/>
        <v>1</v>
      </c>
      <c r="N365" t="b">
        <f>COUNTBLANK(Metadata!B365:F365)=COLUMNS(Metadata!B365:F365)</f>
        <v>1</v>
      </c>
      <c r="O365" t="str">
        <v/>
      </c>
      <c r="Q365" t="b">
        <f ca="1"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R365" t="b">
        <f>IF(Metadata!C365="",FALSE,TRUE)</f>
        <v>0</v>
      </c>
      <c r="S365" t="b">
        <f>OR(AND(IF(Metadata!D365="",FALSE,TRUE),EXACT(Metadata!D365,"missing: not collected")),AND(IF(Metadata!D365="",FALSE,TRUE),OR(EXACT(Metadata!D365,"t"),EXACT(Metadata!D365,"f"))))</f>
        <v>0</v>
      </c>
      <c r="T365" t="b">
        <f>AND(IF(Metadata!E365="",FALSE,TRUE),OR(EXACT(Metadata!E365,"a"),EXACT(Metadata!E365,"b")))</f>
        <v>0</v>
      </c>
      <c r="U365" t="b">
        <f>OR(AND(IF(Metadata!F365="",FALSE,TRUE),OR(EXACT(Metadata!F365,"missing: not collected"),EXACT(Metadata!F365,"missing: not provided"))),AND(IF(Metadata!F365="",FALSE,TRUE),OR(EXACT(Metadata!F365,"lo"),EXACT(Metadata!F365,"med"),EXACT(Metadata!F365,"hi"))))</f>
        <v>0</v>
      </c>
    </row>
    <row r="366" spans="1:21" x14ac:dyDescent="0.2">
      <c r="A366" s="4" t="str">
        <f ca="1">IF(B366=" "," ",HYPERLINK(CONCATENATE("#metadata!",ADDRESS(INDEX($L$2:$L$1001,MATCH(ROWS($J$2:J366),$J$2:$J$1001,0),0),1)),INDEX($O$2:$O$1001,MATCH(ROWS($J$2:J366),$J$2:$J$1001,0),0)))</f>
        <v xml:space="preserve"> </v>
      </c>
      <c r="B366" s="3" t="str">
        <f ca="1">IF(OR(INDEX($K$2:$K$1001,MATCH(ROWS($J$2:J366),$J$2:$J$1001,0),1)&gt;=100000,INDEX($Q$1005:$U$1005,1,MATCH(COLUMNS($Q$1006:Q1006),$Q$1006:$U$1006,0))&gt;=100000), " ",IF(INDEX($Q$2:$U$1001,MATCH(ROWS($J$2:J366),$J$2:$J$1001,0),MATCH(COLUMNS($Q$1006:Q1006),$Q$1006:$U$1006,0)), HYPERLINK("#",""), HYPERLINK(CONCATENATE("#Metadata!", ADDRESS(INDEX($L$2:$L$1001,MATCH(ROWS($J$2:J366),$J$2:$J$1001,0),0), INDEX($Q$1004:$U$1004,1,MATCH(COLUMNS($Q$1006:Q1006),$Q$1006:$U$1006,0)))),"Fix")))</f>
        <v xml:space="preserve"> </v>
      </c>
      <c r="C366" s="3" t="str">
        <f ca="1">IF(OR(INDEX($K$2:$K$1001,MATCH(ROWS($J$2:J366),$J$2:$J$1001,0),1)&gt;=100000,INDEX($Q$1005:$U$1005,1,MATCH(COLUMNS($Q$1006:R1006),$Q$1006:$U$1006,0))&gt;=100000), " ",IF(INDEX($Q$2:$U$1001,MATCH(ROWS($J$2:J366),$J$2:$J$1001,0),MATCH(COLUMNS($Q$1006:R1006),$Q$1006:$U$1006,0)), HYPERLINK("#",""), HYPERLINK(CONCATENATE("#Metadata!", ADDRESS(INDEX($L$2:$L$1001,MATCH(ROWS($J$2:J366),$J$2:$J$1001,0),0), INDEX($Q$1004:$U$1004,1,MATCH(COLUMNS($Q$1006:R1006),$Q$1006:$U$1006,0)))),"Fix")))</f>
        <v xml:space="preserve"> </v>
      </c>
      <c r="D366" s="3" t="str">
        <f ca="1">IF(OR(INDEX($K$2:$K$1001,MATCH(ROWS($J$2:J366),$J$2:$J$1001,0),1)&gt;=100000,INDEX($Q$1005:$U$1005,1,MATCH(COLUMNS($Q$1006:S1006),$Q$1006:$U$1006,0))&gt;=100000), " ",IF(INDEX($Q$2:$U$1001,MATCH(ROWS($J$2:J366),$J$2:$J$1001,0),MATCH(COLUMNS($Q$1006:S1006),$Q$1006:$U$1006,0)), HYPERLINK("#",""), HYPERLINK(CONCATENATE("#Metadata!", ADDRESS(INDEX($L$2:$L$1001,MATCH(ROWS($J$2:J366),$J$2:$J$1001,0),0), INDEX($Q$1004:$U$1004,1,MATCH(COLUMNS($Q$1006:S1006),$Q$1006:$U$1006,0)))),"Fix")))</f>
        <v xml:space="preserve"> </v>
      </c>
      <c r="E366" s="3" t="str">
        <f ca="1">IF(OR(INDEX($K$2:$K$1001,MATCH(ROWS($J$2:J366),$J$2:$J$1001,0),1)&gt;=100000,INDEX($Q$1005:$U$1005,1,MATCH(COLUMNS($Q$1006:T1006),$Q$1006:$U$1006,0))&gt;=100000), " ",IF(INDEX($Q$2:$U$1001,MATCH(ROWS($J$2:J366),$J$2:$J$1001,0),MATCH(COLUMNS($Q$1006:T1006),$Q$1006:$U$1006,0)), HYPERLINK("#",""), HYPERLINK(CONCATENATE("#Metadata!", ADDRESS(INDEX($L$2:$L$1001,MATCH(ROWS($J$2:J366),$J$2:$J$1001,0),0), INDEX($Q$1004:$U$1004,1,MATCH(COLUMNS($Q$1006:T1006),$Q$1006:$U$1006,0)))),"Fix")))</f>
        <v xml:space="preserve"> </v>
      </c>
      <c r="F366" s="3" t="str">
        <f ca="1">IF(OR(INDEX($K$2:$K$1001,MATCH(ROWS($J$2:J366),$J$2:$J$1001,0),1)&gt;=100000,INDEX($Q$1005:$U$1005,1,MATCH(COLUMNS($Q$1006:U1006),$Q$1006:$U$1006,0))&gt;=100000), " ",IF(INDEX($Q$2:$U$1001,MATCH(ROWS($J$2:J366),$J$2:$J$1001,0),MATCH(COLUMNS($Q$1006:U1006),$Q$1006:$U$1006,0)), HYPERLINK("#",""), HYPERLINK(CONCATENATE("#Metadata!", ADDRESS(INDEX($L$2:$L$1001,MATCH(ROWS($J$2:J366),$J$2:$J$1001,0),0), INDEX($Q$1004:$U$1004,1,MATCH(COLUMNS($Q$1006:U1006),$Q$1006:$U$1006,0)))),"Fix")))</f>
        <v xml:space="preserve"> </v>
      </c>
      <c r="J366">
        <f ca="1"/>
        <v>365</v>
      </c>
      <c r="K366">
        <v>100366</v>
      </c>
      <c r="L366">
        <v>366</v>
      </c>
      <c r="M366" t="b">
        <f t="shared" si="5"/>
        <v>1</v>
      </c>
      <c r="N366" t="b">
        <f>COUNTBLANK(Metadata!B366:F366)=COLUMNS(Metadata!B366:F366)</f>
        <v>1</v>
      </c>
      <c r="O366" t="str">
        <v/>
      </c>
      <c r="Q366" t="b">
        <f ca="1"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R366" t="b">
        <f>IF(Metadata!C366="",FALSE,TRUE)</f>
        <v>0</v>
      </c>
      <c r="S366" t="b">
        <f>OR(AND(IF(Metadata!D366="",FALSE,TRUE),EXACT(Metadata!D366,"missing: not collected")),AND(IF(Metadata!D366="",FALSE,TRUE),OR(EXACT(Metadata!D366,"t"),EXACT(Metadata!D366,"f"))))</f>
        <v>0</v>
      </c>
      <c r="T366" t="b">
        <f>AND(IF(Metadata!E366="",FALSE,TRUE),OR(EXACT(Metadata!E366,"a"),EXACT(Metadata!E366,"b")))</f>
        <v>0</v>
      </c>
      <c r="U366" t="b">
        <f>OR(AND(IF(Metadata!F366="",FALSE,TRUE),OR(EXACT(Metadata!F366,"missing: not collected"),EXACT(Metadata!F366,"missing: not provided"))),AND(IF(Metadata!F366="",FALSE,TRUE),OR(EXACT(Metadata!F366,"lo"),EXACT(Metadata!F366,"med"),EXACT(Metadata!F366,"hi"))))</f>
        <v>0</v>
      </c>
    </row>
    <row r="367" spans="1:21" x14ac:dyDescent="0.2">
      <c r="A367" s="4" t="str">
        <f ca="1">IF(B367=" "," ",HYPERLINK(CONCATENATE("#metadata!",ADDRESS(INDEX($L$2:$L$1001,MATCH(ROWS($J$2:J367),$J$2:$J$1001,0),0),1)),INDEX($O$2:$O$1001,MATCH(ROWS($J$2:J367),$J$2:$J$1001,0),0)))</f>
        <v xml:space="preserve"> </v>
      </c>
      <c r="B367" s="3" t="str">
        <f ca="1">IF(OR(INDEX($K$2:$K$1001,MATCH(ROWS($J$2:J367),$J$2:$J$1001,0),1)&gt;=100000,INDEX($Q$1005:$U$1005,1,MATCH(COLUMNS($Q$1006:Q1006),$Q$1006:$U$1006,0))&gt;=100000), " ",IF(INDEX($Q$2:$U$1001,MATCH(ROWS($J$2:J367),$J$2:$J$1001,0),MATCH(COLUMNS($Q$1006:Q1006),$Q$1006:$U$1006,0)), HYPERLINK("#",""), HYPERLINK(CONCATENATE("#Metadata!", ADDRESS(INDEX($L$2:$L$1001,MATCH(ROWS($J$2:J367),$J$2:$J$1001,0),0), INDEX($Q$1004:$U$1004,1,MATCH(COLUMNS($Q$1006:Q1006),$Q$1006:$U$1006,0)))),"Fix")))</f>
        <v xml:space="preserve"> </v>
      </c>
      <c r="C367" s="3" t="str">
        <f ca="1">IF(OR(INDEX($K$2:$K$1001,MATCH(ROWS($J$2:J367),$J$2:$J$1001,0),1)&gt;=100000,INDEX($Q$1005:$U$1005,1,MATCH(COLUMNS($Q$1006:R1006),$Q$1006:$U$1006,0))&gt;=100000), " ",IF(INDEX($Q$2:$U$1001,MATCH(ROWS($J$2:J367),$J$2:$J$1001,0),MATCH(COLUMNS($Q$1006:R1006),$Q$1006:$U$1006,0)), HYPERLINK("#",""), HYPERLINK(CONCATENATE("#Metadata!", ADDRESS(INDEX($L$2:$L$1001,MATCH(ROWS($J$2:J367),$J$2:$J$1001,0),0), INDEX($Q$1004:$U$1004,1,MATCH(COLUMNS($Q$1006:R1006),$Q$1006:$U$1006,0)))),"Fix")))</f>
        <v xml:space="preserve"> </v>
      </c>
      <c r="D367" s="3" t="str">
        <f ca="1">IF(OR(INDEX($K$2:$K$1001,MATCH(ROWS($J$2:J367),$J$2:$J$1001,0),1)&gt;=100000,INDEX($Q$1005:$U$1005,1,MATCH(COLUMNS($Q$1006:S1006),$Q$1006:$U$1006,0))&gt;=100000), " ",IF(INDEX($Q$2:$U$1001,MATCH(ROWS($J$2:J367),$J$2:$J$1001,0),MATCH(COLUMNS($Q$1006:S1006),$Q$1006:$U$1006,0)), HYPERLINK("#",""), HYPERLINK(CONCATENATE("#Metadata!", ADDRESS(INDEX($L$2:$L$1001,MATCH(ROWS($J$2:J367),$J$2:$J$1001,0),0), INDEX($Q$1004:$U$1004,1,MATCH(COLUMNS($Q$1006:S1006),$Q$1006:$U$1006,0)))),"Fix")))</f>
        <v xml:space="preserve"> </v>
      </c>
      <c r="E367" s="3" t="str">
        <f ca="1">IF(OR(INDEX($K$2:$K$1001,MATCH(ROWS($J$2:J367),$J$2:$J$1001,0),1)&gt;=100000,INDEX($Q$1005:$U$1005,1,MATCH(COLUMNS($Q$1006:T1006),$Q$1006:$U$1006,0))&gt;=100000), " ",IF(INDEX($Q$2:$U$1001,MATCH(ROWS($J$2:J367),$J$2:$J$1001,0),MATCH(COLUMNS($Q$1006:T1006),$Q$1006:$U$1006,0)), HYPERLINK("#",""), HYPERLINK(CONCATENATE("#Metadata!", ADDRESS(INDEX($L$2:$L$1001,MATCH(ROWS($J$2:J367),$J$2:$J$1001,0),0), INDEX($Q$1004:$U$1004,1,MATCH(COLUMNS($Q$1006:T1006),$Q$1006:$U$1006,0)))),"Fix")))</f>
        <v xml:space="preserve"> </v>
      </c>
      <c r="F367" s="3" t="str">
        <f ca="1">IF(OR(INDEX($K$2:$K$1001,MATCH(ROWS($J$2:J367),$J$2:$J$1001,0),1)&gt;=100000,INDEX($Q$1005:$U$1005,1,MATCH(COLUMNS($Q$1006:U1006),$Q$1006:$U$1006,0))&gt;=100000), " ",IF(INDEX($Q$2:$U$1001,MATCH(ROWS($J$2:J367),$J$2:$J$1001,0),MATCH(COLUMNS($Q$1006:U1006),$Q$1006:$U$1006,0)), HYPERLINK("#",""), HYPERLINK(CONCATENATE("#Metadata!", ADDRESS(INDEX($L$2:$L$1001,MATCH(ROWS($J$2:J367),$J$2:$J$1001,0),0), INDEX($Q$1004:$U$1004,1,MATCH(COLUMNS($Q$1006:U1006),$Q$1006:$U$1006,0)))),"Fix")))</f>
        <v xml:space="preserve"> </v>
      </c>
      <c r="J367">
        <f ca="1"/>
        <v>366</v>
      </c>
      <c r="K367">
        <v>100367</v>
      </c>
      <c r="L367">
        <v>367</v>
      </c>
      <c r="M367" t="b">
        <f t="shared" si="5"/>
        <v>1</v>
      </c>
      <c r="N367" t="b">
        <f>COUNTBLANK(Metadata!B367:F367)=COLUMNS(Metadata!B367:F367)</f>
        <v>1</v>
      </c>
      <c r="O367" t="str">
        <v/>
      </c>
      <c r="Q367" t="b">
        <f ca="1"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R367" t="b">
        <f>IF(Metadata!C367="",FALSE,TRUE)</f>
        <v>0</v>
      </c>
      <c r="S367" t="b">
        <f>OR(AND(IF(Metadata!D367="",FALSE,TRUE),EXACT(Metadata!D367,"missing: not collected")),AND(IF(Metadata!D367="",FALSE,TRUE),OR(EXACT(Metadata!D367,"t"),EXACT(Metadata!D367,"f"))))</f>
        <v>0</v>
      </c>
      <c r="T367" t="b">
        <f>AND(IF(Metadata!E367="",FALSE,TRUE),OR(EXACT(Metadata!E367,"a"),EXACT(Metadata!E367,"b")))</f>
        <v>0</v>
      </c>
      <c r="U367" t="b">
        <f>OR(AND(IF(Metadata!F367="",FALSE,TRUE),OR(EXACT(Metadata!F367,"missing: not collected"),EXACT(Metadata!F367,"missing: not provided"))),AND(IF(Metadata!F367="",FALSE,TRUE),OR(EXACT(Metadata!F367,"lo"),EXACT(Metadata!F367,"med"),EXACT(Metadata!F367,"hi"))))</f>
        <v>0</v>
      </c>
    </row>
    <row r="368" spans="1:21" x14ac:dyDescent="0.2">
      <c r="A368" s="4" t="str">
        <f ca="1">IF(B368=" "," ",HYPERLINK(CONCATENATE("#metadata!",ADDRESS(INDEX($L$2:$L$1001,MATCH(ROWS($J$2:J368),$J$2:$J$1001,0),0),1)),INDEX($O$2:$O$1001,MATCH(ROWS($J$2:J368),$J$2:$J$1001,0),0)))</f>
        <v xml:space="preserve"> </v>
      </c>
      <c r="B368" s="3" t="str">
        <f ca="1">IF(OR(INDEX($K$2:$K$1001,MATCH(ROWS($J$2:J368),$J$2:$J$1001,0),1)&gt;=100000,INDEX($Q$1005:$U$1005,1,MATCH(COLUMNS($Q$1006:Q1006),$Q$1006:$U$1006,0))&gt;=100000), " ",IF(INDEX($Q$2:$U$1001,MATCH(ROWS($J$2:J368),$J$2:$J$1001,0),MATCH(COLUMNS($Q$1006:Q1006),$Q$1006:$U$1006,0)), HYPERLINK("#",""), HYPERLINK(CONCATENATE("#Metadata!", ADDRESS(INDEX($L$2:$L$1001,MATCH(ROWS($J$2:J368),$J$2:$J$1001,0),0), INDEX($Q$1004:$U$1004,1,MATCH(COLUMNS($Q$1006:Q1006),$Q$1006:$U$1006,0)))),"Fix")))</f>
        <v xml:space="preserve"> </v>
      </c>
      <c r="C368" s="3" t="str">
        <f ca="1">IF(OR(INDEX($K$2:$K$1001,MATCH(ROWS($J$2:J368),$J$2:$J$1001,0),1)&gt;=100000,INDEX($Q$1005:$U$1005,1,MATCH(COLUMNS($Q$1006:R1006),$Q$1006:$U$1006,0))&gt;=100000), " ",IF(INDEX($Q$2:$U$1001,MATCH(ROWS($J$2:J368),$J$2:$J$1001,0),MATCH(COLUMNS($Q$1006:R1006),$Q$1006:$U$1006,0)), HYPERLINK("#",""), HYPERLINK(CONCATENATE("#Metadata!", ADDRESS(INDEX($L$2:$L$1001,MATCH(ROWS($J$2:J368),$J$2:$J$1001,0),0), INDEX($Q$1004:$U$1004,1,MATCH(COLUMNS($Q$1006:R1006),$Q$1006:$U$1006,0)))),"Fix")))</f>
        <v xml:space="preserve"> </v>
      </c>
      <c r="D368" s="3" t="str">
        <f ca="1">IF(OR(INDEX($K$2:$K$1001,MATCH(ROWS($J$2:J368),$J$2:$J$1001,0),1)&gt;=100000,INDEX($Q$1005:$U$1005,1,MATCH(COLUMNS($Q$1006:S1006),$Q$1006:$U$1006,0))&gt;=100000), " ",IF(INDEX($Q$2:$U$1001,MATCH(ROWS($J$2:J368),$J$2:$J$1001,0),MATCH(COLUMNS($Q$1006:S1006),$Q$1006:$U$1006,0)), HYPERLINK("#",""), HYPERLINK(CONCATENATE("#Metadata!", ADDRESS(INDEX($L$2:$L$1001,MATCH(ROWS($J$2:J368),$J$2:$J$1001,0),0), INDEX($Q$1004:$U$1004,1,MATCH(COLUMNS($Q$1006:S1006),$Q$1006:$U$1006,0)))),"Fix")))</f>
        <v xml:space="preserve"> </v>
      </c>
      <c r="E368" s="3" t="str">
        <f ca="1">IF(OR(INDEX($K$2:$K$1001,MATCH(ROWS($J$2:J368),$J$2:$J$1001,0),1)&gt;=100000,INDEX($Q$1005:$U$1005,1,MATCH(COLUMNS($Q$1006:T1006),$Q$1006:$U$1006,0))&gt;=100000), " ",IF(INDEX($Q$2:$U$1001,MATCH(ROWS($J$2:J368),$J$2:$J$1001,0),MATCH(COLUMNS($Q$1006:T1006),$Q$1006:$U$1006,0)), HYPERLINK("#",""), HYPERLINK(CONCATENATE("#Metadata!", ADDRESS(INDEX($L$2:$L$1001,MATCH(ROWS($J$2:J368),$J$2:$J$1001,0),0), INDEX($Q$1004:$U$1004,1,MATCH(COLUMNS($Q$1006:T1006),$Q$1006:$U$1006,0)))),"Fix")))</f>
        <v xml:space="preserve"> </v>
      </c>
      <c r="F368" s="3" t="str">
        <f ca="1">IF(OR(INDEX($K$2:$K$1001,MATCH(ROWS($J$2:J368),$J$2:$J$1001,0),1)&gt;=100000,INDEX($Q$1005:$U$1005,1,MATCH(COLUMNS($Q$1006:U1006),$Q$1006:$U$1006,0))&gt;=100000), " ",IF(INDEX($Q$2:$U$1001,MATCH(ROWS($J$2:J368),$J$2:$J$1001,0),MATCH(COLUMNS($Q$1006:U1006),$Q$1006:$U$1006,0)), HYPERLINK("#",""), HYPERLINK(CONCATENATE("#Metadata!", ADDRESS(INDEX($L$2:$L$1001,MATCH(ROWS($J$2:J368),$J$2:$J$1001,0),0), INDEX($Q$1004:$U$1004,1,MATCH(COLUMNS($Q$1006:U1006),$Q$1006:$U$1006,0)))),"Fix")))</f>
        <v xml:space="preserve"> </v>
      </c>
      <c r="J368">
        <f ca="1"/>
        <v>367</v>
      </c>
      <c r="K368">
        <v>100368</v>
      </c>
      <c r="L368">
        <v>368</v>
      </c>
      <c r="M368" t="b">
        <f t="shared" si="5"/>
        <v>1</v>
      </c>
      <c r="N368" t="b">
        <f>COUNTBLANK(Metadata!B368:F368)=COLUMNS(Metadata!B368:F368)</f>
        <v>1</v>
      </c>
      <c r="O368" t="str">
        <v/>
      </c>
      <c r="Q368" t="b">
        <f ca="1"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R368" t="b">
        <f>IF(Metadata!C368="",FALSE,TRUE)</f>
        <v>0</v>
      </c>
      <c r="S368" t="b">
        <f>OR(AND(IF(Metadata!D368="",FALSE,TRUE),EXACT(Metadata!D368,"missing: not collected")),AND(IF(Metadata!D368="",FALSE,TRUE),OR(EXACT(Metadata!D368,"t"),EXACT(Metadata!D368,"f"))))</f>
        <v>0</v>
      </c>
      <c r="T368" t="b">
        <f>AND(IF(Metadata!E368="",FALSE,TRUE),OR(EXACT(Metadata!E368,"a"),EXACT(Metadata!E368,"b")))</f>
        <v>0</v>
      </c>
      <c r="U368" t="b">
        <f>OR(AND(IF(Metadata!F368="",FALSE,TRUE),OR(EXACT(Metadata!F368,"missing: not collected"),EXACT(Metadata!F368,"missing: not provided"))),AND(IF(Metadata!F368="",FALSE,TRUE),OR(EXACT(Metadata!F368,"lo"),EXACT(Metadata!F368,"med"),EXACT(Metadata!F368,"hi"))))</f>
        <v>0</v>
      </c>
    </row>
    <row r="369" spans="1:21" x14ac:dyDescent="0.2">
      <c r="A369" s="4" t="str">
        <f ca="1">IF(B369=" "," ",HYPERLINK(CONCATENATE("#metadata!",ADDRESS(INDEX($L$2:$L$1001,MATCH(ROWS($J$2:J369),$J$2:$J$1001,0),0),1)),INDEX($O$2:$O$1001,MATCH(ROWS($J$2:J369),$J$2:$J$1001,0),0)))</f>
        <v xml:space="preserve"> </v>
      </c>
      <c r="B369" s="3" t="str">
        <f ca="1">IF(OR(INDEX($K$2:$K$1001,MATCH(ROWS($J$2:J369),$J$2:$J$1001,0),1)&gt;=100000,INDEX($Q$1005:$U$1005,1,MATCH(COLUMNS($Q$1006:Q1006),$Q$1006:$U$1006,0))&gt;=100000), " ",IF(INDEX($Q$2:$U$1001,MATCH(ROWS($J$2:J369),$J$2:$J$1001,0),MATCH(COLUMNS($Q$1006:Q1006),$Q$1006:$U$1006,0)), HYPERLINK("#",""), HYPERLINK(CONCATENATE("#Metadata!", ADDRESS(INDEX($L$2:$L$1001,MATCH(ROWS($J$2:J369),$J$2:$J$1001,0),0), INDEX($Q$1004:$U$1004,1,MATCH(COLUMNS($Q$1006:Q1006),$Q$1006:$U$1006,0)))),"Fix")))</f>
        <v xml:space="preserve"> </v>
      </c>
      <c r="C369" s="3" t="str">
        <f ca="1">IF(OR(INDEX($K$2:$K$1001,MATCH(ROWS($J$2:J369),$J$2:$J$1001,0),1)&gt;=100000,INDEX($Q$1005:$U$1005,1,MATCH(COLUMNS($Q$1006:R1006),$Q$1006:$U$1006,0))&gt;=100000), " ",IF(INDEX($Q$2:$U$1001,MATCH(ROWS($J$2:J369),$J$2:$J$1001,0),MATCH(COLUMNS($Q$1006:R1006),$Q$1006:$U$1006,0)), HYPERLINK("#",""), HYPERLINK(CONCATENATE("#Metadata!", ADDRESS(INDEX($L$2:$L$1001,MATCH(ROWS($J$2:J369),$J$2:$J$1001,0),0), INDEX($Q$1004:$U$1004,1,MATCH(COLUMNS($Q$1006:R1006),$Q$1006:$U$1006,0)))),"Fix")))</f>
        <v xml:space="preserve"> </v>
      </c>
      <c r="D369" s="3" t="str">
        <f ca="1">IF(OR(INDEX($K$2:$K$1001,MATCH(ROWS($J$2:J369),$J$2:$J$1001,0),1)&gt;=100000,INDEX($Q$1005:$U$1005,1,MATCH(COLUMNS($Q$1006:S1006),$Q$1006:$U$1006,0))&gt;=100000), " ",IF(INDEX($Q$2:$U$1001,MATCH(ROWS($J$2:J369),$J$2:$J$1001,0),MATCH(COLUMNS($Q$1006:S1006),$Q$1006:$U$1006,0)), HYPERLINK("#",""), HYPERLINK(CONCATENATE("#Metadata!", ADDRESS(INDEX($L$2:$L$1001,MATCH(ROWS($J$2:J369),$J$2:$J$1001,0),0), INDEX($Q$1004:$U$1004,1,MATCH(COLUMNS($Q$1006:S1006),$Q$1006:$U$1006,0)))),"Fix")))</f>
        <v xml:space="preserve"> </v>
      </c>
      <c r="E369" s="3" t="str">
        <f ca="1">IF(OR(INDEX($K$2:$K$1001,MATCH(ROWS($J$2:J369),$J$2:$J$1001,0),1)&gt;=100000,INDEX($Q$1005:$U$1005,1,MATCH(COLUMNS($Q$1006:T1006),$Q$1006:$U$1006,0))&gt;=100000), " ",IF(INDEX($Q$2:$U$1001,MATCH(ROWS($J$2:J369),$J$2:$J$1001,0),MATCH(COLUMNS($Q$1006:T1006),$Q$1006:$U$1006,0)), HYPERLINK("#",""), HYPERLINK(CONCATENATE("#Metadata!", ADDRESS(INDEX($L$2:$L$1001,MATCH(ROWS($J$2:J369),$J$2:$J$1001,0),0), INDEX($Q$1004:$U$1004,1,MATCH(COLUMNS($Q$1006:T1006),$Q$1006:$U$1006,0)))),"Fix")))</f>
        <v xml:space="preserve"> </v>
      </c>
      <c r="F369" s="3" t="str">
        <f ca="1">IF(OR(INDEX($K$2:$K$1001,MATCH(ROWS($J$2:J369),$J$2:$J$1001,0),1)&gt;=100000,INDEX($Q$1005:$U$1005,1,MATCH(COLUMNS($Q$1006:U1006),$Q$1006:$U$1006,0))&gt;=100000), " ",IF(INDEX($Q$2:$U$1001,MATCH(ROWS($J$2:J369),$J$2:$J$1001,0),MATCH(COLUMNS($Q$1006:U1006),$Q$1006:$U$1006,0)), HYPERLINK("#",""), HYPERLINK(CONCATENATE("#Metadata!", ADDRESS(INDEX($L$2:$L$1001,MATCH(ROWS($J$2:J369),$J$2:$J$1001,0),0), INDEX($Q$1004:$U$1004,1,MATCH(COLUMNS($Q$1006:U1006),$Q$1006:$U$1006,0)))),"Fix")))</f>
        <v xml:space="preserve"> </v>
      </c>
      <c r="J369">
        <f ca="1"/>
        <v>368</v>
      </c>
      <c r="K369">
        <v>100369</v>
      </c>
      <c r="L369">
        <v>369</v>
      </c>
      <c r="M369" t="b">
        <f t="shared" si="5"/>
        <v>1</v>
      </c>
      <c r="N369" t="b">
        <f>COUNTBLANK(Metadata!B369:F369)=COLUMNS(Metadata!B369:F369)</f>
        <v>1</v>
      </c>
      <c r="O369" t="str">
        <v/>
      </c>
      <c r="Q369" t="b">
        <f ca="1"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R369" t="b">
        <f>IF(Metadata!C369="",FALSE,TRUE)</f>
        <v>0</v>
      </c>
      <c r="S369" t="b">
        <f>OR(AND(IF(Metadata!D369="",FALSE,TRUE),EXACT(Metadata!D369,"missing: not collected")),AND(IF(Metadata!D369="",FALSE,TRUE),OR(EXACT(Metadata!D369,"t"),EXACT(Metadata!D369,"f"))))</f>
        <v>0</v>
      </c>
      <c r="T369" t="b">
        <f>AND(IF(Metadata!E369="",FALSE,TRUE),OR(EXACT(Metadata!E369,"a"),EXACT(Metadata!E369,"b")))</f>
        <v>0</v>
      </c>
      <c r="U369" t="b">
        <f>OR(AND(IF(Metadata!F369="",FALSE,TRUE),OR(EXACT(Metadata!F369,"missing: not collected"),EXACT(Metadata!F369,"missing: not provided"))),AND(IF(Metadata!F369="",FALSE,TRUE),OR(EXACT(Metadata!F369,"lo"),EXACT(Metadata!F369,"med"),EXACT(Metadata!F369,"hi"))))</f>
        <v>0</v>
      </c>
    </row>
    <row r="370" spans="1:21" x14ac:dyDescent="0.2">
      <c r="A370" s="4" t="str">
        <f ca="1">IF(B370=" "," ",HYPERLINK(CONCATENATE("#metadata!",ADDRESS(INDEX($L$2:$L$1001,MATCH(ROWS($J$2:J370),$J$2:$J$1001,0),0),1)),INDEX($O$2:$O$1001,MATCH(ROWS($J$2:J370),$J$2:$J$1001,0),0)))</f>
        <v xml:space="preserve"> </v>
      </c>
      <c r="B370" s="3" t="str">
        <f ca="1">IF(OR(INDEX($K$2:$K$1001,MATCH(ROWS($J$2:J370),$J$2:$J$1001,0),1)&gt;=100000,INDEX($Q$1005:$U$1005,1,MATCH(COLUMNS($Q$1006:Q1006),$Q$1006:$U$1006,0))&gt;=100000), " ",IF(INDEX($Q$2:$U$1001,MATCH(ROWS($J$2:J370),$J$2:$J$1001,0),MATCH(COLUMNS($Q$1006:Q1006),$Q$1006:$U$1006,0)), HYPERLINK("#",""), HYPERLINK(CONCATENATE("#Metadata!", ADDRESS(INDEX($L$2:$L$1001,MATCH(ROWS($J$2:J370),$J$2:$J$1001,0),0), INDEX($Q$1004:$U$1004,1,MATCH(COLUMNS($Q$1006:Q1006),$Q$1006:$U$1006,0)))),"Fix")))</f>
        <v xml:space="preserve"> </v>
      </c>
      <c r="C370" s="3" t="str">
        <f ca="1">IF(OR(INDEX($K$2:$K$1001,MATCH(ROWS($J$2:J370),$J$2:$J$1001,0),1)&gt;=100000,INDEX($Q$1005:$U$1005,1,MATCH(COLUMNS($Q$1006:R1006),$Q$1006:$U$1006,0))&gt;=100000), " ",IF(INDEX($Q$2:$U$1001,MATCH(ROWS($J$2:J370),$J$2:$J$1001,0),MATCH(COLUMNS($Q$1006:R1006),$Q$1006:$U$1006,0)), HYPERLINK("#",""), HYPERLINK(CONCATENATE("#Metadata!", ADDRESS(INDEX($L$2:$L$1001,MATCH(ROWS($J$2:J370),$J$2:$J$1001,0),0), INDEX($Q$1004:$U$1004,1,MATCH(COLUMNS($Q$1006:R1006),$Q$1006:$U$1006,0)))),"Fix")))</f>
        <v xml:space="preserve"> </v>
      </c>
      <c r="D370" s="3" t="str">
        <f ca="1">IF(OR(INDEX($K$2:$K$1001,MATCH(ROWS($J$2:J370),$J$2:$J$1001,0),1)&gt;=100000,INDEX($Q$1005:$U$1005,1,MATCH(COLUMNS($Q$1006:S1006),$Q$1006:$U$1006,0))&gt;=100000), " ",IF(INDEX($Q$2:$U$1001,MATCH(ROWS($J$2:J370),$J$2:$J$1001,0),MATCH(COLUMNS($Q$1006:S1006),$Q$1006:$U$1006,0)), HYPERLINK("#",""), HYPERLINK(CONCATENATE("#Metadata!", ADDRESS(INDEX($L$2:$L$1001,MATCH(ROWS($J$2:J370),$J$2:$J$1001,0),0), INDEX($Q$1004:$U$1004,1,MATCH(COLUMNS($Q$1006:S1006),$Q$1006:$U$1006,0)))),"Fix")))</f>
        <v xml:space="preserve"> </v>
      </c>
      <c r="E370" s="3" t="str">
        <f ca="1">IF(OR(INDEX($K$2:$K$1001,MATCH(ROWS($J$2:J370),$J$2:$J$1001,0),1)&gt;=100000,INDEX($Q$1005:$U$1005,1,MATCH(COLUMNS($Q$1006:T1006),$Q$1006:$U$1006,0))&gt;=100000), " ",IF(INDEX($Q$2:$U$1001,MATCH(ROWS($J$2:J370),$J$2:$J$1001,0),MATCH(COLUMNS($Q$1006:T1006),$Q$1006:$U$1006,0)), HYPERLINK("#",""), HYPERLINK(CONCATENATE("#Metadata!", ADDRESS(INDEX($L$2:$L$1001,MATCH(ROWS($J$2:J370),$J$2:$J$1001,0),0), INDEX($Q$1004:$U$1004,1,MATCH(COLUMNS($Q$1006:T1006),$Q$1006:$U$1006,0)))),"Fix")))</f>
        <v xml:space="preserve"> </v>
      </c>
      <c r="F370" s="3" t="str">
        <f ca="1">IF(OR(INDEX($K$2:$K$1001,MATCH(ROWS($J$2:J370),$J$2:$J$1001,0),1)&gt;=100000,INDEX($Q$1005:$U$1005,1,MATCH(COLUMNS($Q$1006:U1006),$Q$1006:$U$1006,0))&gt;=100000), " ",IF(INDEX($Q$2:$U$1001,MATCH(ROWS($J$2:J370),$J$2:$J$1001,0),MATCH(COLUMNS($Q$1006:U1006),$Q$1006:$U$1006,0)), HYPERLINK("#",""), HYPERLINK(CONCATENATE("#Metadata!", ADDRESS(INDEX($L$2:$L$1001,MATCH(ROWS($J$2:J370),$J$2:$J$1001,0),0), INDEX($Q$1004:$U$1004,1,MATCH(COLUMNS($Q$1006:U1006),$Q$1006:$U$1006,0)))),"Fix")))</f>
        <v xml:space="preserve"> </v>
      </c>
      <c r="J370">
        <f ca="1"/>
        <v>369</v>
      </c>
      <c r="K370">
        <v>100370</v>
      </c>
      <c r="L370">
        <v>370</v>
      </c>
      <c r="M370" t="b">
        <f t="shared" si="5"/>
        <v>1</v>
      </c>
      <c r="N370" t="b">
        <f>COUNTBLANK(Metadata!B370:F370)=COLUMNS(Metadata!B370:F370)</f>
        <v>1</v>
      </c>
      <c r="O370" t="str">
        <v/>
      </c>
      <c r="Q370" t="b">
        <f ca="1"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R370" t="b">
        <f>IF(Metadata!C370="",FALSE,TRUE)</f>
        <v>0</v>
      </c>
      <c r="S370" t="b">
        <f>OR(AND(IF(Metadata!D370="",FALSE,TRUE),EXACT(Metadata!D370,"missing: not collected")),AND(IF(Metadata!D370="",FALSE,TRUE),OR(EXACT(Metadata!D370,"t"),EXACT(Metadata!D370,"f"))))</f>
        <v>0</v>
      </c>
      <c r="T370" t="b">
        <f>AND(IF(Metadata!E370="",FALSE,TRUE),OR(EXACT(Metadata!E370,"a"),EXACT(Metadata!E370,"b")))</f>
        <v>0</v>
      </c>
      <c r="U370" t="b">
        <f>OR(AND(IF(Metadata!F370="",FALSE,TRUE),OR(EXACT(Metadata!F370,"missing: not collected"),EXACT(Metadata!F370,"missing: not provided"))),AND(IF(Metadata!F370="",FALSE,TRUE),OR(EXACT(Metadata!F370,"lo"),EXACT(Metadata!F370,"med"),EXACT(Metadata!F370,"hi"))))</f>
        <v>0</v>
      </c>
    </row>
    <row r="371" spans="1:21" x14ac:dyDescent="0.2">
      <c r="A371" s="4" t="str">
        <f ca="1">IF(B371=" "," ",HYPERLINK(CONCATENATE("#metadata!",ADDRESS(INDEX($L$2:$L$1001,MATCH(ROWS($J$2:J371),$J$2:$J$1001,0),0),1)),INDEX($O$2:$O$1001,MATCH(ROWS($J$2:J371),$J$2:$J$1001,0),0)))</f>
        <v xml:space="preserve"> </v>
      </c>
      <c r="B371" s="3" t="str">
        <f ca="1">IF(OR(INDEX($K$2:$K$1001,MATCH(ROWS($J$2:J371),$J$2:$J$1001,0),1)&gt;=100000,INDEX($Q$1005:$U$1005,1,MATCH(COLUMNS($Q$1006:Q1006),$Q$1006:$U$1006,0))&gt;=100000), " ",IF(INDEX($Q$2:$U$1001,MATCH(ROWS($J$2:J371),$J$2:$J$1001,0),MATCH(COLUMNS($Q$1006:Q1006),$Q$1006:$U$1006,0)), HYPERLINK("#",""), HYPERLINK(CONCATENATE("#Metadata!", ADDRESS(INDEX($L$2:$L$1001,MATCH(ROWS($J$2:J371),$J$2:$J$1001,0),0), INDEX($Q$1004:$U$1004,1,MATCH(COLUMNS($Q$1006:Q1006),$Q$1006:$U$1006,0)))),"Fix")))</f>
        <v xml:space="preserve"> </v>
      </c>
      <c r="C371" s="3" t="str">
        <f ca="1">IF(OR(INDEX($K$2:$K$1001,MATCH(ROWS($J$2:J371),$J$2:$J$1001,0),1)&gt;=100000,INDEX($Q$1005:$U$1005,1,MATCH(COLUMNS($Q$1006:R1006),$Q$1006:$U$1006,0))&gt;=100000), " ",IF(INDEX($Q$2:$U$1001,MATCH(ROWS($J$2:J371),$J$2:$J$1001,0),MATCH(COLUMNS($Q$1006:R1006),$Q$1006:$U$1006,0)), HYPERLINK("#",""), HYPERLINK(CONCATENATE("#Metadata!", ADDRESS(INDEX($L$2:$L$1001,MATCH(ROWS($J$2:J371),$J$2:$J$1001,0),0), INDEX($Q$1004:$U$1004,1,MATCH(COLUMNS($Q$1006:R1006),$Q$1006:$U$1006,0)))),"Fix")))</f>
        <v xml:space="preserve"> </v>
      </c>
      <c r="D371" s="3" t="str">
        <f ca="1">IF(OR(INDEX($K$2:$K$1001,MATCH(ROWS($J$2:J371),$J$2:$J$1001,0),1)&gt;=100000,INDEX($Q$1005:$U$1005,1,MATCH(COLUMNS($Q$1006:S1006),$Q$1006:$U$1006,0))&gt;=100000), " ",IF(INDEX($Q$2:$U$1001,MATCH(ROWS($J$2:J371),$J$2:$J$1001,0),MATCH(COLUMNS($Q$1006:S1006),$Q$1006:$U$1006,0)), HYPERLINK("#",""), HYPERLINK(CONCATENATE("#Metadata!", ADDRESS(INDEX($L$2:$L$1001,MATCH(ROWS($J$2:J371),$J$2:$J$1001,0),0), INDEX($Q$1004:$U$1004,1,MATCH(COLUMNS($Q$1006:S1006),$Q$1006:$U$1006,0)))),"Fix")))</f>
        <v xml:space="preserve"> </v>
      </c>
      <c r="E371" s="3" t="str">
        <f ca="1">IF(OR(INDEX($K$2:$K$1001,MATCH(ROWS($J$2:J371),$J$2:$J$1001,0),1)&gt;=100000,INDEX($Q$1005:$U$1005,1,MATCH(COLUMNS($Q$1006:T1006),$Q$1006:$U$1006,0))&gt;=100000), " ",IF(INDEX($Q$2:$U$1001,MATCH(ROWS($J$2:J371),$J$2:$J$1001,0),MATCH(COLUMNS($Q$1006:T1006),$Q$1006:$U$1006,0)), HYPERLINK("#",""), HYPERLINK(CONCATENATE("#Metadata!", ADDRESS(INDEX($L$2:$L$1001,MATCH(ROWS($J$2:J371),$J$2:$J$1001,0),0), INDEX($Q$1004:$U$1004,1,MATCH(COLUMNS($Q$1006:T1006),$Q$1006:$U$1006,0)))),"Fix")))</f>
        <v xml:space="preserve"> </v>
      </c>
      <c r="F371" s="3" t="str">
        <f ca="1">IF(OR(INDEX($K$2:$K$1001,MATCH(ROWS($J$2:J371),$J$2:$J$1001,0),1)&gt;=100000,INDEX($Q$1005:$U$1005,1,MATCH(COLUMNS($Q$1006:U1006),$Q$1006:$U$1006,0))&gt;=100000), " ",IF(INDEX($Q$2:$U$1001,MATCH(ROWS($J$2:J371),$J$2:$J$1001,0),MATCH(COLUMNS($Q$1006:U1006),$Q$1006:$U$1006,0)), HYPERLINK("#",""), HYPERLINK(CONCATENATE("#Metadata!", ADDRESS(INDEX($L$2:$L$1001,MATCH(ROWS($J$2:J371),$J$2:$J$1001,0),0), INDEX($Q$1004:$U$1004,1,MATCH(COLUMNS($Q$1006:U1006),$Q$1006:$U$1006,0)))),"Fix")))</f>
        <v xml:space="preserve"> </v>
      </c>
      <c r="J371">
        <f ca="1"/>
        <v>370</v>
      </c>
      <c r="K371">
        <v>100371</v>
      </c>
      <c r="L371">
        <v>371</v>
      </c>
      <c r="M371" t="b">
        <f t="shared" si="5"/>
        <v>1</v>
      </c>
      <c r="N371" t="b">
        <f>COUNTBLANK(Metadata!B371:F371)=COLUMNS(Metadata!B371:F371)</f>
        <v>1</v>
      </c>
      <c r="O371" t="str">
        <v/>
      </c>
      <c r="Q371" t="b">
        <f ca="1"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R371" t="b">
        <f>IF(Metadata!C371="",FALSE,TRUE)</f>
        <v>0</v>
      </c>
      <c r="S371" t="b">
        <f>OR(AND(IF(Metadata!D371="",FALSE,TRUE),EXACT(Metadata!D371,"missing: not collected")),AND(IF(Metadata!D371="",FALSE,TRUE),OR(EXACT(Metadata!D371,"t"),EXACT(Metadata!D371,"f"))))</f>
        <v>0</v>
      </c>
      <c r="T371" t="b">
        <f>AND(IF(Metadata!E371="",FALSE,TRUE),OR(EXACT(Metadata!E371,"a"),EXACT(Metadata!E371,"b")))</f>
        <v>0</v>
      </c>
      <c r="U371" t="b">
        <f>OR(AND(IF(Metadata!F371="",FALSE,TRUE),OR(EXACT(Metadata!F371,"missing: not collected"),EXACT(Metadata!F371,"missing: not provided"))),AND(IF(Metadata!F371="",FALSE,TRUE),OR(EXACT(Metadata!F371,"lo"),EXACT(Metadata!F371,"med"),EXACT(Metadata!F371,"hi"))))</f>
        <v>0</v>
      </c>
    </row>
    <row r="372" spans="1:21" x14ac:dyDescent="0.2">
      <c r="A372" s="4" t="str">
        <f ca="1">IF(B372=" "," ",HYPERLINK(CONCATENATE("#metadata!",ADDRESS(INDEX($L$2:$L$1001,MATCH(ROWS($J$2:J372),$J$2:$J$1001,0),0),1)),INDEX($O$2:$O$1001,MATCH(ROWS($J$2:J372),$J$2:$J$1001,0),0)))</f>
        <v xml:space="preserve"> </v>
      </c>
      <c r="B372" s="3" t="str">
        <f ca="1">IF(OR(INDEX($K$2:$K$1001,MATCH(ROWS($J$2:J372),$J$2:$J$1001,0),1)&gt;=100000,INDEX($Q$1005:$U$1005,1,MATCH(COLUMNS($Q$1006:Q1006),$Q$1006:$U$1006,0))&gt;=100000), " ",IF(INDEX($Q$2:$U$1001,MATCH(ROWS($J$2:J372),$J$2:$J$1001,0),MATCH(COLUMNS($Q$1006:Q1006),$Q$1006:$U$1006,0)), HYPERLINK("#",""), HYPERLINK(CONCATENATE("#Metadata!", ADDRESS(INDEX($L$2:$L$1001,MATCH(ROWS($J$2:J372),$J$2:$J$1001,0),0), INDEX($Q$1004:$U$1004,1,MATCH(COLUMNS($Q$1006:Q1006),$Q$1006:$U$1006,0)))),"Fix")))</f>
        <v xml:space="preserve"> </v>
      </c>
      <c r="C372" s="3" t="str">
        <f ca="1">IF(OR(INDEX($K$2:$K$1001,MATCH(ROWS($J$2:J372),$J$2:$J$1001,0),1)&gt;=100000,INDEX($Q$1005:$U$1005,1,MATCH(COLUMNS($Q$1006:R1006),$Q$1006:$U$1006,0))&gt;=100000), " ",IF(INDEX($Q$2:$U$1001,MATCH(ROWS($J$2:J372),$J$2:$J$1001,0),MATCH(COLUMNS($Q$1006:R1006),$Q$1006:$U$1006,0)), HYPERLINK("#",""), HYPERLINK(CONCATENATE("#Metadata!", ADDRESS(INDEX($L$2:$L$1001,MATCH(ROWS($J$2:J372),$J$2:$J$1001,0),0), INDEX($Q$1004:$U$1004,1,MATCH(COLUMNS($Q$1006:R1006),$Q$1006:$U$1006,0)))),"Fix")))</f>
        <v xml:space="preserve"> </v>
      </c>
      <c r="D372" s="3" t="str">
        <f ca="1">IF(OR(INDEX($K$2:$K$1001,MATCH(ROWS($J$2:J372),$J$2:$J$1001,0),1)&gt;=100000,INDEX($Q$1005:$U$1005,1,MATCH(COLUMNS($Q$1006:S1006),$Q$1006:$U$1006,0))&gt;=100000), " ",IF(INDEX($Q$2:$U$1001,MATCH(ROWS($J$2:J372),$J$2:$J$1001,0),MATCH(COLUMNS($Q$1006:S1006),$Q$1006:$U$1006,0)), HYPERLINK("#",""), HYPERLINK(CONCATENATE("#Metadata!", ADDRESS(INDEX($L$2:$L$1001,MATCH(ROWS($J$2:J372),$J$2:$J$1001,0),0), INDEX($Q$1004:$U$1004,1,MATCH(COLUMNS($Q$1006:S1006),$Q$1006:$U$1006,0)))),"Fix")))</f>
        <v xml:space="preserve"> </v>
      </c>
      <c r="E372" s="3" t="str">
        <f ca="1">IF(OR(INDEX($K$2:$K$1001,MATCH(ROWS($J$2:J372),$J$2:$J$1001,0),1)&gt;=100000,INDEX($Q$1005:$U$1005,1,MATCH(COLUMNS($Q$1006:T1006),$Q$1006:$U$1006,0))&gt;=100000), " ",IF(INDEX($Q$2:$U$1001,MATCH(ROWS($J$2:J372),$J$2:$J$1001,0),MATCH(COLUMNS($Q$1006:T1006),$Q$1006:$U$1006,0)), HYPERLINK("#",""), HYPERLINK(CONCATENATE("#Metadata!", ADDRESS(INDEX($L$2:$L$1001,MATCH(ROWS($J$2:J372),$J$2:$J$1001,0),0), INDEX($Q$1004:$U$1004,1,MATCH(COLUMNS($Q$1006:T1006),$Q$1006:$U$1006,0)))),"Fix")))</f>
        <v xml:space="preserve"> </v>
      </c>
      <c r="F372" s="3" t="str">
        <f ca="1">IF(OR(INDEX($K$2:$K$1001,MATCH(ROWS($J$2:J372),$J$2:$J$1001,0),1)&gt;=100000,INDEX($Q$1005:$U$1005,1,MATCH(COLUMNS($Q$1006:U1006),$Q$1006:$U$1006,0))&gt;=100000), " ",IF(INDEX($Q$2:$U$1001,MATCH(ROWS($J$2:J372),$J$2:$J$1001,0),MATCH(COLUMNS($Q$1006:U1006),$Q$1006:$U$1006,0)), HYPERLINK("#",""), HYPERLINK(CONCATENATE("#Metadata!", ADDRESS(INDEX($L$2:$L$1001,MATCH(ROWS($J$2:J372),$J$2:$J$1001,0),0), INDEX($Q$1004:$U$1004,1,MATCH(COLUMNS($Q$1006:U1006),$Q$1006:$U$1006,0)))),"Fix")))</f>
        <v xml:space="preserve"> </v>
      </c>
      <c r="J372">
        <f ca="1"/>
        <v>371</v>
      </c>
      <c r="K372">
        <v>100372</v>
      </c>
      <c r="L372">
        <v>372</v>
      </c>
      <c r="M372" t="b">
        <f t="shared" si="5"/>
        <v>1</v>
      </c>
      <c r="N372" t="b">
        <f>COUNTBLANK(Metadata!B372:F372)=COLUMNS(Metadata!B372:F372)</f>
        <v>1</v>
      </c>
      <c r="O372" t="str">
        <v/>
      </c>
      <c r="Q372" t="b">
        <f ca="1"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R372" t="b">
        <f>IF(Metadata!C372="",FALSE,TRUE)</f>
        <v>0</v>
      </c>
      <c r="S372" t="b">
        <f>OR(AND(IF(Metadata!D372="",FALSE,TRUE),EXACT(Metadata!D372,"missing: not collected")),AND(IF(Metadata!D372="",FALSE,TRUE),OR(EXACT(Metadata!D372,"t"),EXACT(Metadata!D372,"f"))))</f>
        <v>0</v>
      </c>
      <c r="T372" t="b">
        <f>AND(IF(Metadata!E372="",FALSE,TRUE),OR(EXACT(Metadata!E372,"a"),EXACT(Metadata!E372,"b")))</f>
        <v>0</v>
      </c>
      <c r="U372" t="b">
        <f>OR(AND(IF(Metadata!F372="",FALSE,TRUE),OR(EXACT(Metadata!F372,"missing: not collected"),EXACT(Metadata!F372,"missing: not provided"))),AND(IF(Metadata!F372="",FALSE,TRUE),OR(EXACT(Metadata!F372,"lo"),EXACT(Metadata!F372,"med"),EXACT(Metadata!F372,"hi"))))</f>
        <v>0</v>
      </c>
    </row>
    <row r="373" spans="1:21" x14ac:dyDescent="0.2">
      <c r="A373" s="4" t="str">
        <f ca="1">IF(B373=" "," ",HYPERLINK(CONCATENATE("#metadata!",ADDRESS(INDEX($L$2:$L$1001,MATCH(ROWS($J$2:J373),$J$2:$J$1001,0),0),1)),INDEX($O$2:$O$1001,MATCH(ROWS($J$2:J373),$J$2:$J$1001,0),0)))</f>
        <v xml:space="preserve"> </v>
      </c>
      <c r="B373" s="3" t="str">
        <f ca="1">IF(OR(INDEX($K$2:$K$1001,MATCH(ROWS($J$2:J373),$J$2:$J$1001,0),1)&gt;=100000,INDEX($Q$1005:$U$1005,1,MATCH(COLUMNS($Q$1006:Q1006),$Q$1006:$U$1006,0))&gt;=100000), " ",IF(INDEX($Q$2:$U$1001,MATCH(ROWS($J$2:J373),$J$2:$J$1001,0),MATCH(COLUMNS($Q$1006:Q1006),$Q$1006:$U$1006,0)), HYPERLINK("#",""), HYPERLINK(CONCATENATE("#Metadata!", ADDRESS(INDEX($L$2:$L$1001,MATCH(ROWS($J$2:J373),$J$2:$J$1001,0),0), INDEX($Q$1004:$U$1004,1,MATCH(COLUMNS($Q$1006:Q1006),$Q$1006:$U$1006,0)))),"Fix")))</f>
        <v xml:space="preserve"> </v>
      </c>
      <c r="C373" s="3" t="str">
        <f ca="1">IF(OR(INDEX($K$2:$K$1001,MATCH(ROWS($J$2:J373),$J$2:$J$1001,0),1)&gt;=100000,INDEX($Q$1005:$U$1005,1,MATCH(COLUMNS($Q$1006:R1006),$Q$1006:$U$1006,0))&gt;=100000), " ",IF(INDEX($Q$2:$U$1001,MATCH(ROWS($J$2:J373),$J$2:$J$1001,0),MATCH(COLUMNS($Q$1006:R1006),$Q$1006:$U$1006,0)), HYPERLINK("#",""), HYPERLINK(CONCATENATE("#Metadata!", ADDRESS(INDEX($L$2:$L$1001,MATCH(ROWS($J$2:J373),$J$2:$J$1001,0),0), INDEX($Q$1004:$U$1004,1,MATCH(COLUMNS($Q$1006:R1006),$Q$1006:$U$1006,0)))),"Fix")))</f>
        <v xml:space="preserve"> </v>
      </c>
      <c r="D373" s="3" t="str">
        <f ca="1">IF(OR(INDEX($K$2:$K$1001,MATCH(ROWS($J$2:J373),$J$2:$J$1001,0),1)&gt;=100000,INDEX($Q$1005:$U$1005,1,MATCH(COLUMNS($Q$1006:S1006),$Q$1006:$U$1006,0))&gt;=100000), " ",IF(INDEX($Q$2:$U$1001,MATCH(ROWS($J$2:J373),$J$2:$J$1001,0),MATCH(COLUMNS($Q$1006:S1006),$Q$1006:$U$1006,0)), HYPERLINK("#",""), HYPERLINK(CONCATENATE("#Metadata!", ADDRESS(INDEX($L$2:$L$1001,MATCH(ROWS($J$2:J373),$J$2:$J$1001,0),0), INDEX($Q$1004:$U$1004,1,MATCH(COLUMNS($Q$1006:S1006),$Q$1006:$U$1006,0)))),"Fix")))</f>
        <v xml:space="preserve"> </v>
      </c>
      <c r="E373" s="3" t="str">
        <f ca="1">IF(OR(INDEX($K$2:$K$1001,MATCH(ROWS($J$2:J373),$J$2:$J$1001,0),1)&gt;=100000,INDEX($Q$1005:$U$1005,1,MATCH(COLUMNS($Q$1006:T1006),$Q$1006:$U$1006,0))&gt;=100000), " ",IF(INDEX($Q$2:$U$1001,MATCH(ROWS($J$2:J373),$J$2:$J$1001,0),MATCH(COLUMNS($Q$1006:T1006),$Q$1006:$U$1006,0)), HYPERLINK("#",""), HYPERLINK(CONCATENATE("#Metadata!", ADDRESS(INDEX($L$2:$L$1001,MATCH(ROWS($J$2:J373),$J$2:$J$1001,0),0), INDEX($Q$1004:$U$1004,1,MATCH(COLUMNS($Q$1006:T1006),$Q$1006:$U$1006,0)))),"Fix")))</f>
        <v xml:space="preserve"> </v>
      </c>
      <c r="F373" s="3" t="str">
        <f ca="1">IF(OR(INDEX($K$2:$K$1001,MATCH(ROWS($J$2:J373),$J$2:$J$1001,0),1)&gt;=100000,INDEX($Q$1005:$U$1005,1,MATCH(COLUMNS($Q$1006:U1006),$Q$1006:$U$1006,0))&gt;=100000), " ",IF(INDEX($Q$2:$U$1001,MATCH(ROWS($J$2:J373),$J$2:$J$1001,0),MATCH(COLUMNS($Q$1006:U1006),$Q$1006:$U$1006,0)), HYPERLINK("#",""), HYPERLINK(CONCATENATE("#Metadata!", ADDRESS(INDEX($L$2:$L$1001,MATCH(ROWS($J$2:J373),$J$2:$J$1001,0),0), INDEX($Q$1004:$U$1004,1,MATCH(COLUMNS($Q$1006:U1006),$Q$1006:$U$1006,0)))),"Fix")))</f>
        <v xml:space="preserve"> </v>
      </c>
      <c r="J373">
        <f ca="1"/>
        <v>372</v>
      </c>
      <c r="K373">
        <v>100373</v>
      </c>
      <c r="L373">
        <v>373</v>
      </c>
      <c r="M373" t="b">
        <f t="shared" si="5"/>
        <v>1</v>
      </c>
      <c r="N373" t="b">
        <f>COUNTBLANK(Metadata!B373:F373)=COLUMNS(Metadata!B373:F373)</f>
        <v>1</v>
      </c>
      <c r="O373" t="str">
        <v/>
      </c>
      <c r="Q373" t="b">
        <f ca="1"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R373" t="b">
        <f>IF(Metadata!C373="",FALSE,TRUE)</f>
        <v>0</v>
      </c>
      <c r="S373" t="b">
        <f>OR(AND(IF(Metadata!D373="",FALSE,TRUE),EXACT(Metadata!D373,"missing: not collected")),AND(IF(Metadata!D373="",FALSE,TRUE),OR(EXACT(Metadata!D373,"t"),EXACT(Metadata!D373,"f"))))</f>
        <v>0</v>
      </c>
      <c r="T373" t="b">
        <f>AND(IF(Metadata!E373="",FALSE,TRUE),OR(EXACT(Metadata!E373,"a"),EXACT(Metadata!E373,"b")))</f>
        <v>0</v>
      </c>
      <c r="U373" t="b">
        <f>OR(AND(IF(Metadata!F373="",FALSE,TRUE),OR(EXACT(Metadata!F373,"missing: not collected"),EXACT(Metadata!F373,"missing: not provided"))),AND(IF(Metadata!F373="",FALSE,TRUE),OR(EXACT(Metadata!F373,"lo"),EXACT(Metadata!F373,"med"),EXACT(Metadata!F373,"hi"))))</f>
        <v>0</v>
      </c>
    </row>
    <row r="374" spans="1:21" x14ac:dyDescent="0.2">
      <c r="A374" s="4" t="str">
        <f ca="1">IF(B374=" "," ",HYPERLINK(CONCATENATE("#metadata!",ADDRESS(INDEX($L$2:$L$1001,MATCH(ROWS($J$2:J374),$J$2:$J$1001,0),0),1)),INDEX($O$2:$O$1001,MATCH(ROWS($J$2:J374),$J$2:$J$1001,0),0)))</f>
        <v xml:space="preserve"> </v>
      </c>
      <c r="B374" s="3" t="str">
        <f ca="1">IF(OR(INDEX($K$2:$K$1001,MATCH(ROWS($J$2:J374),$J$2:$J$1001,0),1)&gt;=100000,INDEX($Q$1005:$U$1005,1,MATCH(COLUMNS($Q$1006:Q1006),$Q$1006:$U$1006,0))&gt;=100000), " ",IF(INDEX($Q$2:$U$1001,MATCH(ROWS($J$2:J374),$J$2:$J$1001,0),MATCH(COLUMNS($Q$1006:Q1006),$Q$1006:$U$1006,0)), HYPERLINK("#",""), HYPERLINK(CONCATENATE("#Metadata!", ADDRESS(INDEX($L$2:$L$1001,MATCH(ROWS($J$2:J374),$J$2:$J$1001,0),0), INDEX($Q$1004:$U$1004,1,MATCH(COLUMNS($Q$1006:Q1006),$Q$1006:$U$1006,0)))),"Fix")))</f>
        <v xml:space="preserve"> </v>
      </c>
      <c r="C374" s="3" t="str">
        <f ca="1">IF(OR(INDEX($K$2:$K$1001,MATCH(ROWS($J$2:J374),$J$2:$J$1001,0),1)&gt;=100000,INDEX($Q$1005:$U$1005,1,MATCH(COLUMNS($Q$1006:R1006),$Q$1006:$U$1006,0))&gt;=100000), " ",IF(INDEX($Q$2:$U$1001,MATCH(ROWS($J$2:J374),$J$2:$J$1001,0),MATCH(COLUMNS($Q$1006:R1006),$Q$1006:$U$1006,0)), HYPERLINK("#",""), HYPERLINK(CONCATENATE("#Metadata!", ADDRESS(INDEX($L$2:$L$1001,MATCH(ROWS($J$2:J374),$J$2:$J$1001,0),0), INDEX($Q$1004:$U$1004,1,MATCH(COLUMNS($Q$1006:R1006),$Q$1006:$U$1006,0)))),"Fix")))</f>
        <v xml:space="preserve"> </v>
      </c>
      <c r="D374" s="3" t="str">
        <f ca="1">IF(OR(INDEX($K$2:$K$1001,MATCH(ROWS($J$2:J374),$J$2:$J$1001,0),1)&gt;=100000,INDEX($Q$1005:$U$1005,1,MATCH(COLUMNS($Q$1006:S1006),$Q$1006:$U$1006,0))&gt;=100000), " ",IF(INDEX($Q$2:$U$1001,MATCH(ROWS($J$2:J374),$J$2:$J$1001,0),MATCH(COLUMNS($Q$1006:S1006),$Q$1006:$U$1006,0)), HYPERLINK("#",""), HYPERLINK(CONCATENATE("#Metadata!", ADDRESS(INDEX($L$2:$L$1001,MATCH(ROWS($J$2:J374),$J$2:$J$1001,0),0), INDEX($Q$1004:$U$1004,1,MATCH(COLUMNS($Q$1006:S1006),$Q$1006:$U$1006,0)))),"Fix")))</f>
        <v xml:space="preserve"> </v>
      </c>
      <c r="E374" s="3" t="str">
        <f ca="1">IF(OR(INDEX($K$2:$K$1001,MATCH(ROWS($J$2:J374),$J$2:$J$1001,0),1)&gt;=100000,INDEX($Q$1005:$U$1005,1,MATCH(COLUMNS($Q$1006:T1006),$Q$1006:$U$1006,0))&gt;=100000), " ",IF(INDEX($Q$2:$U$1001,MATCH(ROWS($J$2:J374),$J$2:$J$1001,0),MATCH(COLUMNS($Q$1006:T1006),$Q$1006:$U$1006,0)), HYPERLINK("#",""), HYPERLINK(CONCATENATE("#Metadata!", ADDRESS(INDEX($L$2:$L$1001,MATCH(ROWS($J$2:J374),$J$2:$J$1001,0),0), INDEX($Q$1004:$U$1004,1,MATCH(COLUMNS($Q$1006:T1006),$Q$1006:$U$1006,0)))),"Fix")))</f>
        <v xml:space="preserve"> </v>
      </c>
      <c r="F374" s="3" t="str">
        <f ca="1">IF(OR(INDEX($K$2:$K$1001,MATCH(ROWS($J$2:J374),$J$2:$J$1001,0),1)&gt;=100000,INDEX($Q$1005:$U$1005,1,MATCH(COLUMNS($Q$1006:U1006),$Q$1006:$U$1006,0))&gt;=100000), " ",IF(INDEX($Q$2:$U$1001,MATCH(ROWS($J$2:J374),$J$2:$J$1001,0),MATCH(COLUMNS($Q$1006:U1006),$Q$1006:$U$1006,0)), HYPERLINK("#",""), HYPERLINK(CONCATENATE("#Metadata!", ADDRESS(INDEX($L$2:$L$1001,MATCH(ROWS($J$2:J374),$J$2:$J$1001,0),0), INDEX($Q$1004:$U$1004,1,MATCH(COLUMNS($Q$1006:U1006),$Q$1006:$U$1006,0)))),"Fix")))</f>
        <v xml:space="preserve"> </v>
      </c>
      <c r="J374">
        <f ca="1"/>
        <v>373</v>
      </c>
      <c r="K374">
        <v>100374</v>
      </c>
      <c r="L374">
        <v>374</v>
      </c>
      <c r="M374" t="b">
        <f t="shared" si="5"/>
        <v>1</v>
      </c>
      <c r="N374" t="b">
        <f>COUNTBLANK(Metadata!B374:F374)=COLUMNS(Metadata!B374:F374)</f>
        <v>1</v>
      </c>
      <c r="O374" t="str">
        <v/>
      </c>
      <c r="Q374" t="b">
        <f ca="1"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R374" t="b">
        <f>IF(Metadata!C374="",FALSE,TRUE)</f>
        <v>0</v>
      </c>
      <c r="S374" t="b">
        <f>OR(AND(IF(Metadata!D374="",FALSE,TRUE),EXACT(Metadata!D374,"missing: not collected")),AND(IF(Metadata!D374="",FALSE,TRUE),OR(EXACT(Metadata!D374,"t"),EXACT(Metadata!D374,"f"))))</f>
        <v>0</v>
      </c>
      <c r="T374" t="b">
        <f>AND(IF(Metadata!E374="",FALSE,TRUE),OR(EXACT(Metadata!E374,"a"),EXACT(Metadata!E374,"b")))</f>
        <v>0</v>
      </c>
      <c r="U374" t="b">
        <f>OR(AND(IF(Metadata!F374="",FALSE,TRUE),OR(EXACT(Metadata!F374,"missing: not collected"),EXACT(Metadata!F374,"missing: not provided"))),AND(IF(Metadata!F374="",FALSE,TRUE),OR(EXACT(Metadata!F374,"lo"),EXACT(Metadata!F374,"med"),EXACT(Metadata!F374,"hi"))))</f>
        <v>0</v>
      </c>
    </row>
    <row r="375" spans="1:21" x14ac:dyDescent="0.2">
      <c r="A375" s="4" t="str">
        <f ca="1">IF(B375=" "," ",HYPERLINK(CONCATENATE("#metadata!",ADDRESS(INDEX($L$2:$L$1001,MATCH(ROWS($J$2:J375),$J$2:$J$1001,0),0),1)),INDEX($O$2:$O$1001,MATCH(ROWS($J$2:J375),$J$2:$J$1001,0),0)))</f>
        <v xml:space="preserve"> </v>
      </c>
      <c r="B375" s="3" t="str">
        <f ca="1">IF(OR(INDEX($K$2:$K$1001,MATCH(ROWS($J$2:J375),$J$2:$J$1001,0),1)&gt;=100000,INDEX($Q$1005:$U$1005,1,MATCH(COLUMNS($Q$1006:Q1006),$Q$1006:$U$1006,0))&gt;=100000), " ",IF(INDEX($Q$2:$U$1001,MATCH(ROWS($J$2:J375),$J$2:$J$1001,0),MATCH(COLUMNS($Q$1006:Q1006),$Q$1006:$U$1006,0)), HYPERLINK("#",""), HYPERLINK(CONCATENATE("#Metadata!", ADDRESS(INDEX($L$2:$L$1001,MATCH(ROWS($J$2:J375),$J$2:$J$1001,0),0), INDEX($Q$1004:$U$1004,1,MATCH(COLUMNS($Q$1006:Q1006),$Q$1006:$U$1006,0)))),"Fix")))</f>
        <v xml:space="preserve"> </v>
      </c>
      <c r="C375" s="3" t="str">
        <f ca="1">IF(OR(INDEX($K$2:$K$1001,MATCH(ROWS($J$2:J375),$J$2:$J$1001,0),1)&gt;=100000,INDEX($Q$1005:$U$1005,1,MATCH(COLUMNS($Q$1006:R1006),$Q$1006:$U$1006,0))&gt;=100000), " ",IF(INDEX($Q$2:$U$1001,MATCH(ROWS($J$2:J375),$J$2:$J$1001,0),MATCH(COLUMNS($Q$1006:R1006),$Q$1006:$U$1006,0)), HYPERLINK("#",""), HYPERLINK(CONCATENATE("#Metadata!", ADDRESS(INDEX($L$2:$L$1001,MATCH(ROWS($J$2:J375),$J$2:$J$1001,0),0), INDEX($Q$1004:$U$1004,1,MATCH(COLUMNS($Q$1006:R1006),$Q$1006:$U$1006,0)))),"Fix")))</f>
        <v xml:space="preserve"> </v>
      </c>
      <c r="D375" s="3" t="str">
        <f ca="1">IF(OR(INDEX($K$2:$K$1001,MATCH(ROWS($J$2:J375),$J$2:$J$1001,0),1)&gt;=100000,INDEX($Q$1005:$U$1005,1,MATCH(COLUMNS($Q$1006:S1006),$Q$1006:$U$1006,0))&gt;=100000), " ",IF(INDEX($Q$2:$U$1001,MATCH(ROWS($J$2:J375),$J$2:$J$1001,0),MATCH(COLUMNS($Q$1006:S1006),$Q$1006:$U$1006,0)), HYPERLINK("#",""), HYPERLINK(CONCATENATE("#Metadata!", ADDRESS(INDEX($L$2:$L$1001,MATCH(ROWS($J$2:J375),$J$2:$J$1001,0),0), INDEX($Q$1004:$U$1004,1,MATCH(COLUMNS($Q$1006:S1006),$Q$1006:$U$1006,0)))),"Fix")))</f>
        <v xml:space="preserve"> </v>
      </c>
      <c r="E375" s="3" t="str">
        <f ca="1">IF(OR(INDEX($K$2:$K$1001,MATCH(ROWS($J$2:J375),$J$2:$J$1001,0),1)&gt;=100000,INDEX($Q$1005:$U$1005,1,MATCH(COLUMNS($Q$1006:T1006),$Q$1006:$U$1006,0))&gt;=100000), " ",IF(INDEX($Q$2:$U$1001,MATCH(ROWS($J$2:J375),$J$2:$J$1001,0),MATCH(COLUMNS($Q$1006:T1006),$Q$1006:$U$1006,0)), HYPERLINK("#",""), HYPERLINK(CONCATENATE("#Metadata!", ADDRESS(INDEX($L$2:$L$1001,MATCH(ROWS($J$2:J375),$J$2:$J$1001,0),0), INDEX($Q$1004:$U$1004,1,MATCH(COLUMNS($Q$1006:T1006),$Q$1006:$U$1006,0)))),"Fix")))</f>
        <v xml:space="preserve"> </v>
      </c>
      <c r="F375" s="3" t="str">
        <f ca="1">IF(OR(INDEX($K$2:$K$1001,MATCH(ROWS($J$2:J375),$J$2:$J$1001,0),1)&gt;=100000,INDEX($Q$1005:$U$1005,1,MATCH(COLUMNS($Q$1006:U1006),$Q$1006:$U$1006,0))&gt;=100000), " ",IF(INDEX($Q$2:$U$1001,MATCH(ROWS($J$2:J375),$J$2:$J$1001,0),MATCH(COLUMNS($Q$1006:U1006),$Q$1006:$U$1006,0)), HYPERLINK("#",""), HYPERLINK(CONCATENATE("#Metadata!", ADDRESS(INDEX($L$2:$L$1001,MATCH(ROWS($J$2:J375),$J$2:$J$1001,0),0), INDEX($Q$1004:$U$1004,1,MATCH(COLUMNS($Q$1006:U1006),$Q$1006:$U$1006,0)))),"Fix")))</f>
        <v xml:space="preserve"> </v>
      </c>
      <c r="J375">
        <f ca="1"/>
        <v>374</v>
      </c>
      <c r="K375">
        <v>100375</v>
      </c>
      <c r="L375">
        <v>375</v>
      </c>
      <c r="M375" t="b">
        <f t="shared" si="5"/>
        <v>1</v>
      </c>
      <c r="N375" t="b">
        <f>COUNTBLANK(Metadata!B375:F375)=COLUMNS(Metadata!B375:F375)</f>
        <v>1</v>
      </c>
      <c r="O375" t="str">
        <v/>
      </c>
      <c r="Q375" t="b">
        <f ca="1"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R375" t="b">
        <f>IF(Metadata!C375="",FALSE,TRUE)</f>
        <v>0</v>
      </c>
      <c r="S375" t="b">
        <f>OR(AND(IF(Metadata!D375="",FALSE,TRUE),EXACT(Metadata!D375,"missing: not collected")),AND(IF(Metadata!D375="",FALSE,TRUE),OR(EXACT(Metadata!D375,"t"),EXACT(Metadata!D375,"f"))))</f>
        <v>0</v>
      </c>
      <c r="T375" t="b">
        <f>AND(IF(Metadata!E375="",FALSE,TRUE),OR(EXACT(Metadata!E375,"a"),EXACT(Metadata!E375,"b")))</f>
        <v>0</v>
      </c>
      <c r="U375" t="b">
        <f>OR(AND(IF(Metadata!F375="",FALSE,TRUE),OR(EXACT(Metadata!F375,"missing: not collected"),EXACT(Metadata!F375,"missing: not provided"))),AND(IF(Metadata!F375="",FALSE,TRUE),OR(EXACT(Metadata!F375,"lo"),EXACT(Metadata!F375,"med"),EXACT(Metadata!F375,"hi"))))</f>
        <v>0</v>
      </c>
    </row>
    <row r="376" spans="1:21" x14ac:dyDescent="0.2">
      <c r="A376" s="4" t="str">
        <f ca="1">IF(B376=" "," ",HYPERLINK(CONCATENATE("#metadata!",ADDRESS(INDEX($L$2:$L$1001,MATCH(ROWS($J$2:J376),$J$2:$J$1001,0),0),1)),INDEX($O$2:$O$1001,MATCH(ROWS($J$2:J376),$J$2:$J$1001,0),0)))</f>
        <v xml:space="preserve"> </v>
      </c>
      <c r="B376" s="3" t="str">
        <f ca="1">IF(OR(INDEX($K$2:$K$1001,MATCH(ROWS($J$2:J376),$J$2:$J$1001,0),1)&gt;=100000,INDEX($Q$1005:$U$1005,1,MATCH(COLUMNS($Q$1006:Q1006),$Q$1006:$U$1006,0))&gt;=100000), " ",IF(INDEX($Q$2:$U$1001,MATCH(ROWS($J$2:J376),$J$2:$J$1001,0),MATCH(COLUMNS($Q$1006:Q1006),$Q$1006:$U$1006,0)), HYPERLINK("#",""), HYPERLINK(CONCATENATE("#Metadata!", ADDRESS(INDEX($L$2:$L$1001,MATCH(ROWS($J$2:J376),$J$2:$J$1001,0),0), INDEX($Q$1004:$U$1004,1,MATCH(COLUMNS($Q$1006:Q1006),$Q$1006:$U$1006,0)))),"Fix")))</f>
        <v xml:space="preserve"> </v>
      </c>
      <c r="C376" s="3" t="str">
        <f ca="1">IF(OR(INDEX($K$2:$K$1001,MATCH(ROWS($J$2:J376),$J$2:$J$1001,0),1)&gt;=100000,INDEX($Q$1005:$U$1005,1,MATCH(COLUMNS($Q$1006:R1006),$Q$1006:$U$1006,0))&gt;=100000), " ",IF(INDEX($Q$2:$U$1001,MATCH(ROWS($J$2:J376),$J$2:$J$1001,0),MATCH(COLUMNS($Q$1006:R1006),$Q$1006:$U$1006,0)), HYPERLINK("#",""), HYPERLINK(CONCATENATE("#Metadata!", ADDRESS(INDEX($L$2:$L$1001,MATCH(ROWS($J$2:J376),$J$2:$J$1001,0),0), INDEX($Q$1004:$U$1004,1,MATCH(COLUMNS($Q$1006:R1006),$Q$1006:$U$1006,0)))),"Fix")))</f>
        <v xml:space="preserve"> </v>
      </c>
      <c r="D376" s="3" t="str">
        <f ca="1">IF(OR(INDEX($K$2:$K$1001,MATCH(ROWS($J$2:J376),$J$2:$J$1001,0),1)&gt;=100000,INDEX($Q$1005:$U$1005,1,MATCH(COLUMNS($Q$1006:S1006),$Q$1006:$U$1006,0))&gt;=100000), " ",IF(INDEX($Q$2:$U$1001,MATCH(ROWS($J$2:J376),$J$2:$J$1001,0),MATCH(COLUMNS($Q$1006:S1006),$Q$1006:$U$1006,0)), HYPERLINK("#",""), HYPERLINK(CONCATENATE("#Metadata!", ADDRESS(INDEX($L$2:$L$1001,MATCH(ROWS($J$2:J376),$J$2:$J$1001,0),0), INDEX($Q$1004:$U$1004,1,MATCH(COLUMNS($Q$1006:S1006),$Q$1006:$U$1006,0)))),"Fix")))</f>
        <v xml:space="preserve"> </v>
      </c>
      <c r="E376" s="3" t="str">
        <f ca="1">IF(OR(INDEX($K$2:$K$1001,MATCH(ROWS($J$2:J376),$J$2:$J$1001,0),1)&gt;=100000,INDEX($Q$1005:$U$1005,1,MATCH(COLUMNS($Q$1006:T1006),$Q$1006:$U$1006,0))&gt;=100000), " ",IF(INDEX($Q$2:$U$1001,MATCH(ROWS($J$2:J376),$J$2:$J$1001,0),MATCH(COLUMNS($Q$1006:T1006),$Q$1006:$U$1006,0)), HYPERLINK("#",""), HYPERLINK(CONCATENATE("#Metadata!", ADDRESS(INDEX($L$2:$L$1001,MATCH(ROWS($J$2:J376),$J$2:$J$1001,0),0), INDEX($Q$1004:$U$1004,1,MATCH(COLUMNS($Q$1006:T1006),$Q$1006:$U$1006,0)))),"Fix")))</f>
        <v xml:space="preserve"> </v>
      </c>
      <c r="F376" s="3" t="str">
        <f ca="1">IF(OR(INDEX($K$2:$K$1001,MATCH(ROWS($J$2:J376),$J$2:$J$1001,0),1)&gt;=100000,INDEX($Q$1005:$U$1005,1,MATCH(COLUMNS($Q$1006:U1006),$Q$1006:$U$1006,0))&gt;=100000), " ",IF(INDEX($Q$2:$U$1001,MATCH(ROWS($J$2:J376),$J$2:$J$1001,0),MATCH(COLUMNS($Q$1006:U1006),$Q$1006:$U$1006,0)), HYPERLINK("#",""), HYPERLINK(CONCATENATE("#Metadata!", ADDRESS(INDEX($L$2:$L$1001,MATCH(ROWS($J$2:J376),$J$2:$J$1001,0),0), INDEX($Q$1004:$U$1004,1,MATCH(COLUMNS($Q$1006:U1006),$Q$1006:$U$1006,0)))),"Fix")))</f>
        <v xml:space="preserve"> </v>
      </c>
      <c r="J376">
        <f ca="1"/>
        <v>375</v>
      </c>
      <c r="K376">
        <v>100376</v>
      </c>
      <c r="L376">
        <v>376</v>
      </c>
      <c r="M376" t="b">
        <f t="shared" si="5"/>
        <v>1</v>
      </c>
      <c r="N376" t="b">
        <f>COUNTBLANK(Metadata!B376:F376)=COLUMNS(Metadata!B376:F376)</f>
        <v>1</v>
      </c>
      <c r="O376" t="str">
        <v/>
      </c>
      <c r="Q376" t="b">
        <f ca="1"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R376" t="b">
        <f>IF(Metadata!C376="",FALSE,TRUE)</f>
        <v>0</v>
      </c>
      <c r="S376" t="b">
        <f>OR(AND(IF(Metadata!D376="",FALSE,TRUE),EXACT(Metadata!D376,"missing: not collected")),AND(IF(Metadata!D376="",FALSE,TRUE),OR(EXACT(Metadata!D376,"t"),EXACT(Metadata!D376,"f"))))</f>
        <v>0</v>
      </c>
      <c r="T376" t="b">
        <f>AND(IF(Metadata!E376="",FALSE,TRUE),OR(EXACT(Metadata!E376,"a"),EXACT(Metadata!E376,"b")))</f>
        <v>0</v>
      </c>
      <c r="U376" t="b">
        <f>OR(AND(IF(Metadata!F376="",FALSE,TRUE),OR(EXACT(Metadata!F376,"missing: not collected"),EXACT(Metadata!F376,"missing: not provided"))),AND(IF(Metadata!F376="",FALSE,TRUE),OR(EXACT(Metadata!F376,"lo"),EXACT(Metadata!F376,"med"),EXACT(Metadata!F376,"hi"))))</f>
        <v>0</v>
      </c>
    </row>
    <row r="377" spans="1:21" x14ac:dyDescent="0.2">
      <c r="A377" s="4" t="str">
        <f ca="1">IF(B377=" "," ",HYPERLINK(CONCATENATE("#metadata!",ADDRESS(INDEX($L$2:$L$1001,MATCH(ROWS($J$2:J377),$J$2:$J$1001,0),0),1)),INDEX($O$2:$O$1001,MATCH(ROWS($J$2:J377),$J$2:$J$1001,0),0)))</f>
        <v xml:space="preserve"> </v>
      </c>
      <c r="B377" s="3" t="str">
        <f ca="1">IF(OR(INDEX($K$2:$K$1001,MATCH(ROWS($J$2:J377),$J$2:$J$1001,0),1)&gt;=100000,INDEX($Q$1005:$U$1005,1,MATCH(COLUMNS($Q$1006:Q1006),$Q$1006:$U$1006,0))&gt;=100000), " ",IF(INDEX($Q$2:$U$1001,MATCH(ROWS($J$2:J377),$J$2:$J$1001,0),MATCH(COLUMNS($Q$1006:Q1006),$Q$1006:$U$1006,0)), HYPERLINK("#",""), HYPERLINK(CONCATENATE("#Metadata!", ADDRESS(INDEX($L$2:$L$1001,MATCH(ROWS($J$2:J377),$J$2:$J$1001,0),0), INDEX($Q$1004:$U$1004,1,MATCH(COLUMNS($Q$1006:Q1006),$Q$1006:$U$1006,0)))),"Fix")))</f>
        <v xml:space="preserve"> </v>
      </c>
      <c r="C377" s="3" t="str">
        <f ca="1">IF(OR(INDEX($K$2:$K$1001,MATCH(ROWS($J$2:J377),$J$2:$J$1001,0),1)&gt;=100000,INDEX($Q$1005:$U$1005,1,MATCH(COLUMNS($Q$1006:R1006),$Q$1006:$U$1006,0))&gt;=100000), " ",IF(INDEX($Q$2:$U$1001,MATCH(ROWS($J$2:J377),$J$2:$J$1001,0),MATCH(COLUMNS($Q$1006:R1006),$Q$1006:$U$1006,0)), HYPERLINK("#",""), HYPERLINK(CONCATENATE("#Metadata!", ADDRESS(INDEX($L$2:$L$1001,MATCH(ROWS($J$2:J377),$J$2:$J$1001,0),0), INDEX($Q$1004:$U$1004,1,MATCH(COLUMNS($Q$1006:R1006),$Q$1006:$U$1006,0)))),"Fix")))</f>
        <v xml:space="preserve"> </v>
      </c>
      <c r="D377" s="3" t="str">
        <f ca="1">IF(OR(INDEX($K$2:$K$1001,MATCH(ROWS($J$2:J377),$J$2:$J$1001,0),1)&gt;=100000,INDEX($Q$1005:$U$1005,1,MATCH(COLUMNS($Q$1006:S1006),$Q$1006:$U$1006,0))&gt;=100000), " ",IF(INDEX($Q$2:$U$1001,MATCH(ROWS($J$2:J377),$J$2:$J$1001,0),MATCH(COLUMNS($Q$1006:S1006),$Q$1006:$U$1006,0)), HYPERLINK("#",""), HYPERLINK(CONCATENATE("#Metadata!", ADDRESS(INDEX($L$2:$L$1001,MATCH(ROWS($J$2:J377),$J$2:$J$1001,0),0), INDEX($Q$1004:$U$1004,1,MATCH(COLUMNS($Q$1006:S1006),$Q$1006:$U$1006,0)))),"Fix")))</f>
        <v xml:space="preserve"> </v>
      </c>
      <c r="E377" s="3" t="str">
        <f ca="1">IF(OR(INDEX($K$2:$K$1001,MATCH(ROWS($J$2:J377),$J$2:$J$1001,0),1)&gt;=100000,INDEX($Q$1005:$U$1005,1,MATCH(COLUMNS($Q$1006:T1006),$Q$1006:$U$1006,0))&gt;=100000), " ",IF(INDEX($Q$2:$U$1001,MATCH(ROWS($J$2:J377),$J$2:$J$1001,0),MATCH(COLUMNS($Q$1006:T1006),$Q$1006:$U$1006,0)), HYPERLINK("#",""), HYPERLINK(CONCATENATE("#Metadata!", ADDRESS(INDEX($L$2:$L$1001,MATCH(ROWS($J$2:J377),$J$2:$J$1001,0),0), INDEX($Q$1004:$U$1004,1,MATCH(COLUMNS($Q$1006:T1006),$Q$1006:$U$1006,0)))),"Fix")))</f>
        <v xml:space="preserve"> </v>
      </c>
      <c r="F377" s="3" t="str">
        <f ca="1">IF(OR(INDEX($K$2:$K$1001,MATCH(ROWS($J$2:J377),$J$2:$J$1001,0),1)&gt;=100000,INDEX($Q$1005:$U$1005,1,MATCH(COLUMNS($Q$1006:U1006),$Q$1006:$U$1006,0))&gt;=100000), " ",IF(INDEX($Q$2:$U$1001,MATCH(ROWS($J$2:J377),$J$2:$J$1001,0),MATCH(COLUMNS($Q$1006:U1006),$Q$1006:$U$1006,0)), HYPERLINK("#",""), HYPERLINK(CONCATENATE("#Metadata!", ADDRESS(INDEX($L$2:$L$1001,MATCH(ROWS($J$2:J377),$J$2:$J$1001,0),0), INDEX($Q$1004:$U$1004,1,MATCH(COLUMNS($Q$1006:U1006),$Q$1006:$U$1006,0)))),"Fix")))</f>
        <v xml:space="preserve"> </v>
      </c>
      <c r="J377">
        <f ca="1"/>
        <v>376</v>
      </c>
      <c r="K377">
        <v>100377</v>
      </c>
      <c r="L377">
        <v>377</v>
      </c>
      <c r="M377" t="b">
        <f t="shared" si="5"/>
        <v>1</v>
      </c>
      <c r="N377" t="b">
        <f>COUNTBLANK(Metadata!B377:F377)=COLUMNS(Metadata!B377:F377)</f>
        <v>1</v>
      </c>
      <c r="O377" t="str">
        <v/>
      </c>
      <c r="Q377" t="b">
        <f ca="1"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R377" t="b">
        <f>IF(Metadata!C377="",FALSE,TRUE)</f>
        <v>0</v>
      </c>
      <c r="S377" t="b">
        <f>OR(AND(IF(Metadata!D377="",FALSE,TRUE),EXACT(Metadata!D377,"missing: not collected")),AND(IF(Metadata!D377="",FALSE,TRUE),OR(EXACT(Metadata!D377,"t"),EXACT(Metadata!D377,"f"))))</f>
        <v>0</v>
      </c>
      <c r="T377" t="b">
        <f>AND(IF(Metadata!E377="",FALSE,TRUE),OR(EXACT(Metadata!E377,"a"),EXACT(Metadata!E377,"b")))</f>
        <v>0</v>
      </c>
      <c r="U377" t="b">
        <f>OR(AND(IF(Metadata!F377="",FALSE,TRUE),OR(EXACT(Metadata!F377,"missing: not collected"),EXACT(Metadata!F377,"missing: not provided"))),AND(IF(Metadata!F377="",FALSE,TRUE),OR(EXACT(Metadata!F377,"lo"),EXACT(Metadata!F377,"med"),EXACT(Metadata!F377,"hi"))))</f>
        <v>0</v>
      </c>
    </row>
    <row r="378" spans="1:21" x14ac:dyDescent="0.2">
      <c r="A378" s="4" t="str">
        <f ca="1">IF(B378=" "," ",HYPERLINK(CONCATENATE("#metadata!",ADDRESS(INDEX($L$2:$L$1001,MATCH(ROWS($J$2:J378),$J$2:$J$1001,0),0),1)),INDEX($O$2:$O$1001,MATCH(ROWS($J$2:J378),$J$2:$J$1001,0),0)))</f>
        <v xml:space="preserve"> </v>
      </c>
      <c r="B378" s="3" t="str">
        <f ca="1">IF(OR(INDEX($K$2:$K$1001,MATCH(ROWS($J$2:J378),$J$2:$J$1001,0),1)&gt;=100000,INDEX($Q$1005:$U$1005,1,MATCH(COLUMNS($Q$1006:Q1006),$Q$1006:$U$1006,0))&gt;=100000), " ",IF(INDEX($Q$2:$U$1001,MATCH(ROWS($J$2:J378),$J$2:$J$1001,0),MATCH(COLUMNS($Q$1006:Q1006),$Q$1006:$U$1006,0)), HYPERLINK("#",""), HYPERLINK(CONCATENATE("#Metadata!", ADDRESS(INDEX($L$2:$L$1001,MATCH(ROWS($J$2:J378),$J$2:$J$1001,0),0), INDEX($Q$1004:$U$1004,1,MATCH(COLUMNS($Q$1006:Q1006),$Q$1006:$U$1006,0)))),"Fix")))</f>
        <v xml:space="preserve"> </v>
      </c>
      <c r="C378" s="3" t="str">
        <f ca="1">IF(OR(INDEX($K$2:$K$1001,MATCH(ROWS($J$2:J378),$J$2:$J$1001,0),1)&gt;=100000,INDEX($Q$1005:$U$1005,1,MATCH(COLUMNS($Q$1006:R1006),$Q$1006:$U$1006,0))&gt;=100000), " ",IF(INDEX($Q$2:$U$1001,MATCH(ROWS($J$2:J378),$J$2:$J$1001,0),MATCH(COLUMNS($Q$1006:R1006),$Q$1006:$U$1006,0)), HYPERLINK("#",""), HYPERLINK(CONCATENATE("#Metadata!", ADDRESS(INDEX($L$2:$L$1001,MATCH(ROWS($J$2:J378),$J$2:$J$1001,0),0), INDEX($Q$1004:$U$1004,1,MATCH(COLUMNS($Q$1006:R1006),$Q$1006:$U$1006,0)))),"Fix")))</f>
        <v xml:space="preserve"> </v>
      </c>
      <c r="D378" s="3" t="str">
        <f ca="1">IF(OR(INDEX($K$2:$K$1001,MATCH(ROWS($J$2:J378),$J$2:$J$1001,0),1)&gt;=100000,INDEX($Q$1005:$U$1005,1,MATCH(COLUMNS($Q$1006:S1006),$Q$1006:$U$1006,0))&gt;=100000), " ",IF(INDEX($Q$2:$U$1001,MATCH(ROWS($J$2:J378),$J$2:$J$1001,0),MATCH(COLUMNS($Q$1006:S1006),$Q$1006:$U$1006,0)), HYPERLINK("#",""), HYPERLINK(CONCATENATE("#Metadata!", ADDRESS(INDEX($L$2:$L$1001,MATCH(ROWS($J$2:J378),$J$2:$J$1001,0),0), INDEX($Q$1004:$U$1004,1,MATCH(COLUMNS($Q$1006:S1006),$Q$1006:$U$1006,0)))),"Fix")))</f>
        <v xml:space="preserve"> </v>
      </c>
      <c r="E378" s="3" t="str">
        <f ca="1">IF(OR(INDEX($K$2:$K$1001,MATCH(ROWS($J$2:J378),$J$2:$J$1001,0),1)&gt;=100000,INDEX($Q$1005:$U$1005,1,MATCH(COLUMNS($Q$1006:T1006),$Q$1006:$U$1006,0))&gt;=100000), " ",IF(INDEX($Q$2:$U$1001,MATCH(ROWS($J$2:J378),$J$2:$J$1001,0),MATCH(COLUMNS($Q$1006:T1006),$Q$1006:$U$1006,0)), HYPERLINK("#",""), HYPERLINK(CONCATENATE("#Metadata!", ADDRESS(INDEX($L$2:$L$1001,MATCH(ROWS($J$2:J378),$J$2:$J$1001,0),0), INDEX($Q$1004:$U$1004,1,MATCH(COLUMNS($Q$1006:T1006),$Q$1006:$U$1006,0)))),"Fix")))</f>
        <v xml:space="preserve"> </v>
      </c>
      <c r="F378" s="3" t="str">
        <f ca="1">IF(OR(INDEX($K$2:$K$1001,MATCH(ROWS($J$2:J378),$J$2:$J$1001,0),1)&gt;=100000,INDEX($Q$1005:$U$1005,1,MATCH(COLUMNS($Q$1006:U1006),$Q$1006:$U$1006,0))&gt;=100000), " ",IF(INDEX($Q$2:$U$1001,MATCH(ROWS($J$2:J378),$J$2:$J$1001,0),MATCH(COLUMNS($Q$1006:U1006),$Q$1006:$U$1006,0)), HYPERLINK("#",""), HYPERLINK(CONCATENATE("#Metadata!", ADDRESS(INDEX($L$2:$L$1001,MATCH(ROWS($J$2:J378),$J$2:$J$1001,0),0), INDEX($Q$1004:$U$1004,1,MATCH(COLUMNS($Q$1006:U1006),$Q$1006:$U$1006,0)))),"Fix")))</f>
        <v xml:space="preserve"> </v>
      </c>
      <c r="J378">
        <f ca="1"/>
        <v>377</v>
      </c>
      <c r="K378">
        <v>100378</v>
      </c>
      <c r="L378">
        <v>378</v>
      </c>
      <c r="M378" t="b">
        <f t="shared" si="5"/>
        <v>1</v>
      </c>
      <c r="N378" t="b">
        <f>COUNTBLANK(Metadata!B378:F378)=COLUMNS(Metadata!B378:F378)</f>
        <v>1</v>
      </c>
      <c r="O378" t="str">
        <v/>
      </c>
      <c r="Q378" t="b">
        <f ca="1"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R378" t="b">
        <f>IF(Metadata!C378="",FALSE,TRUE)</f>
        <v>0</v>
      </c>
      <c r="S378" t="b">
        <f>OR(AND(IF(Metadata!D378="",FALSE,TRUE),EXACT(Metadata!D378,"missing: not collected")),AND(IF(Metadata!D378="",FALSE,TRUE),OR(EXACT(Metadata!D378,"t"),EXACT(Metadata!D378,"f"))))</f>
        <v>0</v>
      </c>
      <c r="T378" t="b">
        <f>AND(IF(Metadata!E378="",FALSE,TRUE),OR(EXACT(Metadata!E378,"a"),EXACT(Metadata!E378,"b")))</f>
        <v>0</v>
      </c>
      <c r="U378" t="b">
        <f>OR(AND(IF(Metadata!F378="",FALSE,TRUE),OR(EXACT(Metadata!F378,"missing: not collected"),EXACT(Metadata!F378,"missing: not provided"))),AND(IF(Metadata!F378="",FALSE,TRUE),OR(EXACT(Metadata!F378,"lo"),EXACT(Metadata!F378,"med"),EXACT(Metadata!F378,"hi"))))</f>
        <v>0</v>
      </c>
    </row>
    <row r="379" spans="1:21" x14ac:dyDescent="0.2">
      <c r="A379" s="4" t="str">
        <f ca="1">IF(B379=" "," ",HYPERLINK(CONCATENATE("#metadata!",ADDRESS(INDEX($L$2:$L$1001,MATCH(ROWS($J$2:J379),$J$2:$J$1001,0),0),1)),INDEX($O$2:$O$1001,MATCH(ROWS($J$2:J379),$J$2:$J$1001,0),0)))</f>
        <v xml:space="preserve"> </v>
      </c>
      <c r="B379" s="3" t="str">
        <f ca="1">IF(OR(INDEX($K$2:$K$1001,MATCH(ROWS($J$2:J379),$J$2:$J$1001,0),1)&gt;=100000,INDEX($Q$1005:$U$1005,1,MATCH(COLUMNS($Q$1006:Q1006),$Q$1006:$U$1006,0))&gt;=100000), " ",IF(INDEX($Q$2:$U$1001,MATCH(ROWS($J$2:J379),$J$2:$J$1001,0),MATCH(COLUMNS($Q$1006:Q1006),$Q$1006:$U$1006,0)), HYPERLINK("#",""), HYPERLINK(CONCATENATE("#Metadata!", ADDRESS(INDEX($L$2:$L$1001,MATCH(ROWS($J$2:J379),$J$2:$J$1001,0),0), INDEX($Q$1004:$U$1004,1,MATCH(COLUMNS($Q$1006:Q1006),$Q$1006:$U$1006,0)))),"Fix")))</f>
        <v xml:space="preserve"> </v>
      </c>
      <c r="C379" s="3" t="str">
        <f ca="1">IF(OR(INDEX($K$2:$K$1001,MATCH(ROWS($J$2:J379),$J$2:$J$1001,0),1)&gt;=100000,INDEX($Q$1005:$U$1005,1,MATCH(COLUMNS($Q$1006:R1006),$Q$1006:$U$1006,0))&gt;=100000), " ",IF(INDEX($Q$2:$U$1001,MATCH(ROWS($J$2:J379),$J$2:$J$1001,0),MATCH(COLUMNS($Q$1006:R1006),$Q$1006:$U$1006,0)), HYPERLINK("#",""), HYPERLINK(CONCATENATE("#Metadata!", ADDRESS(INDEX($L$2:$L$1001,MATCH(ROWS($J$2:J379),$J$2:$J$1001,0),0), INDEX($Q$1004:$U$1004,1,MATCH(COLUMNS($Q$1006:R1006),$Q$1006:$U$1006,0)))),"Fix")))</f>
        <v xml:space="preserve"> </v>
      </c>
      <c r="D379" s="3" t="str">
        <f ca="1">IF(OR(INDEX($K$2:$K$1001,MATCH(ROWS($J$2:J379),$J$2:$J$1001,0),1)&gt;=100000,INDEX($Q$1005:$U$1005,1,MATCH(COLUMNS($Q$1006:S1006),$Q$1006:$U$1006,0))&gt;=100000), " ",IF(INDEX($Q$2:$U$1001,MATCH(ROWS($J$2:J379),$J$2:$J$1001,0),MATCH(COLUMNS($Q$1006:S1006),$Q$1006:$U$1006,0)), HYPERLINK("#",""), HYPERLINK(CONCATENATE("#Metadata!", ADDRESS(INDEX($L$2:$L$1001,MATCH(ROWS($J$2:J379),$J$2:$J$1001,0),0), INDEX($Q$1004:$U$1004,1,MATCH(COLUMNS($Q$1006:S1006),$Q$1006:$U$1006,0)))),"Fix")))</f>
        <v xml:space="preserve"> </v>
      </c>
      <c r="E379" s="3" t="str">
        <f ca="1">IF(OR(INDEX($K$2:$K$1001,MATCH(ROWS($J$2:J379),$J$2:$J$1001,0),1)&gt;=100000,INDEX($Q$1005:$U$1005,1,MATCH(COLUMNS($Q$1006:T1006),$Q$1006:$U$1006,0))&gt;=100000), " ",IF(INDEX($Q$2:$U$1001,MATCH(ROWS($J$2:J379),$J$2:$J$1001,0),MATCH(COLUMNS($Q$1006:T1006),$Q$1006:$U$1006,0)), HYPERLINK("#",""), HYPERLINK(CONCATENATE("#Metadata!", ADDRESS(INDEX($L$2:$L$1001,MATCH(ROWS($J$2:J379),$J$2:$J$1001,0),0), INDEX($Q$1004:$U$1004,1,MATCH(COLUMNS($Q$1006:T1006),$Q$1006:$U$1006,0)))),"Fix")))</f>
        <v xml:space="preserve"> </v>
      </c>
      <c r="F379" s="3" t="str">
        <f ca="1">IF(OR(INDEX($K$2:$K$1001,MATCH(ROWS($J$2:J379),$J$2:$J$1001,0),1)&gt;=100000,INDEX($Q$1005:$U$1005,1,MATCH(COLUMNS($Q$1006:U1006),$Q$1006:$U$1006,0))&gt;=100000), " ",IF(INDEX($Q$2:$U$1001,MATCH(ROWS($J$2:J379),$J$2:$J$1001,0),MATCH(COLUMNS($Q$1006:U1006),$Q$1006:$U$1006,0)), HYPERLINK("#",""), HYPERLINK(CONCATENATE("#Metadata!", ADDRESS(INDEX($L$2:$L$1001,MATCH(ROWS($J$2:J379),$J$2:$J$1001,0),0), INDEX($Q$1004:$U$1004,1,MATCH(COLUMNS($Q$1006:U1006),$Q$1006:$U$1006,0)))),"Fix")))</f>
        <v xml:space="preserve"> </v>
      </c>
      <c r="J379">
        <f ca="1"/>
        <v>378</v>
      </c>
      <c r="K379">
        <v>100379</v>
      </c>
      <c r="L379">
        <v>379</v>
      </c>
      <c r="M379" t="b">
        <f t="shared" si="5"/>
        <v>1</v>
      </c>
      <c r="N379" t="b">
        <f>COUNTBLANK(Metadata!B379:F379)=COLUMNS(Metadata!B379:F379)</f>
        <v>1</v>
      </c>
      <c r="O379" t="str">
        <v/>
      </c>
      <c r="Q379" t="b">
        <f ca="1"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R379" t="b">
        <f>IF(Metadata!C379="",FALSE,TRUE)</f>
        <v>0</v>
      </c>
      <c r="S379" t="b">
        <f>OR(AND(IF(Metadata!D379="",FALSE,TRUE),EXACT(Metadata!D379,"missing: not collected")),AND(IF(Metadata!D379="",FALSE,TRUE),OR(EXACT(Metadata!D379,"t"),EXACT(Metadata!D379,"f"))))</f>
        <v>0</v>
      </c>
      <c r="T379" t="b">
        <f>AND(IF(Metadata!E379="",FALSE,TRUE),OR(EXACT(Metadata!E379,"a"),EXACT(Metadata!E379,"b")))</f>
        <v>0</v>
      </c>
      <c r="U379" t="b">
        <f>OR(AND(IF(Metadata!F379="",FALSE,TRUE),OR(EXACT(Metadata!F379,"missing: not collected"),EXACT(Metadata!F379,"missing: not provided"))),AND(IF(Metadata!F379="",FALSE,TRUE),OR(EXACT(Metadata!F379,"lo"),EXACT(Metadata!F379,"med"),EXACT(Metadata!F379,"hi"))))</f>
        <v>0</v>
      </c>
    </row>
    <row r="380" spans="1:21" x14ac:dyDescent="0.2">
      <c r="A380" s="4" t="str">
        <f ca="1">IF(B380=" "," ",HYPERLINK(CONCATENATE("#metadata!",ADDRESS(INDEX($L$2:$L$1001,MATCH(ROWS($J$2:J380),$J$2:$J$1001,0),0),1)),INDEX($O$2:$O$1001,MATCH(ROWS($J$2:J380),$J$2:$J$1001,0),0)))</f>
        <v xml:space="preserve"> </v>
      </c>
      <c r="B380" s="3" t="str">
        <f ca="1">IF(OR(INDEX($K$2:$K$1001,MATCH(ROWS($J$2:J380),$J$2:$J$1001,0),1)&gt;=100000,INDEX($Q$1005:$U$1005,1,MATCH(COLUMNS($Q$1006:Q1006),$Q$1006:$U$1006,0))&gt;=100000), " ",IF(INDEX($Q$2:$U$1001,MATCH(ROWS($J$2:J380),$J$2:$J$1001,0),MATCH(COLUMNS($Q$1006:Q1006),$Q$1006:$U$1006,0)), HYPERLINK("#",""), HYPERLINK(CONCATENATE("#Metadata!", ADDRESS(INDEX($L$2:$L$1001,MATCH(ROWS($J$2:J380),$J$2:$J$1001,0),0), INDEX($Q$1004:$U$1004,1,MATCH(COLUMNS($Q$1006:Q1006),$Q$1006:$U$1006,0)))),"Fix")))</f>
        <v xml:space="preserve"> </v>
      </c>
      <c r="C380" s="3" t="str">
        <f ca="1">IF(OR(INDEX($K$2:$K$1001,MATCH(ROWS($J$2:J380),$J$2:$J$1001,0),1)&gt;=100000,INDEX($Q$1005:$U$1005,1,MATCH(COLUMNS($Q$1006:R1006),$Q$1006:$U$1006,0))&gt;=100000), " ",IF(INDEX($Q$2:$U$1001,MATCH(ROWS($J$2:J380),$J$2:$J$1001,0),MATCH(COLUMNS($Q$1006:R1006),$Q$1006:$U$1006,0)), HYPERLINK("#",""), HYPERLINK(CONCATENATE("#Metadata!", ADDRESS(INDEX($L$2:$L$1001,MATCH(ROWS($J$2:J380),$J$2:$J$1001,0),0), INDEX($Q$1004:$U$1004,1,MATCH(COLUMNS($Q$1006:R1006),$Q$1006:$U$1006,0)))),"Fix")))</f>
        <v xml:space="preserve"> </v>
      </c>
      <c r="D380" s="3" t="str">
        <f ca="1">IF(OR(INDEX($K$2:$K$1001,MATCH(ROWS($J$2:J380),$J$2:$J$1001,0),1)&gt;=100000,INDEX($Q$1005:$U$1005,1,MATCH(COLUMNS($Q$1006:S1006),$Q$1006:$U$1006,0))&gt;=100000), " ",IF(INDEX($Q$2:$U$1001,MATCH(ROWS($J$2:J380),$J$2:$J$1001,0),MATCH(COLUMNS($Q$1006:S1006),$Q$1006:$U$1006,0)), HYPERLINK("#",""), HYPERLINK(CONCATENATE("#Metadata!", ADDRESS(INDEX($L$2:$L$1001,MATCH(ROWS($J$2:J380),$J$2:$J$1001,0),0), INDEX($Q$1004:$U$1004,1,MATCH(COLUMNS($Q$1006:S1006),$Q$1006:$U$1006,0)))),"Fix")))</f>
        <v xml:space="preserve"> </v>
      </c>
      <c r="E380" s="3" t="str">
        <f ca="1">IF(OR(INDEX($K$2:$K$1001,MATCH(ROWS($J$2:J380),$J$2:$J$1001,0),1)&gt;=100000,INDEX($Q$1005:$U$1005,1,MATCH(COLUMNS($Q$1006:T1006),$Q$1006:$U$1006,0))&gt;=100000), " ",IF(INDEX($Q$2:$U$1001,MATCH(ROWS($J$2:J380),$J$2:$J$1001,0),MATCH(COLUMNS($Q$1006:T1006),$Q$1006:$U$1006,0)), HYPERLINK("#",""), HYPERLINK(CONCATENATE("#Metadata!", ADDRESS(INDEX($L$2:$L$1001,MATCH(ROWS($J$2:J380),$J$2:$J$1001,0),0), INDEX($Q$1004:$U$1004,1,MATCH(COLUMNS($Q$1006:T1006),$Q$1006:$U$1006,0)))),"Fix")))</f>
        <v xml:space="preserve"> </v>
      </c>
      <c r="F380" s="3" t="str">
        <f ca="1">IF(OR(INDEX($K$2:$K$1001,MATCH(ROWS($J$2:J380),$J$2:$J$1001,0),1)&gt;=100000,INDEX($Q$1005:$U$1005,1,MATCH(COLUMNS($Q$1006:U1006),$Q$1006:$U$1006,0))&gt;=100000), " ",IF(INDEX($Q$2:$U$1001,MATCH(ROWS($J$2:J380),$J$2:$J$1001,0),MATCH(COLUMNS($Q$1006:U1006),$Q$1006:$U$1006,0)), HYPERLINK("#",""), HYPERLINK(CONCATENATE("#Metadata!", ADDRESS(INDEX($L$2:$L$1001,MATCH(ROWS($J$2:J380),$J$2:$J$1001,0),0), INDEX($Q$1004:$U$1004,1,MATCH(COLUMNS($Q$1006:U1006),$Q$1006:$U$1006,0)))),"Fix")))</f>
        <v xml:space="preserve"> </v>
      </c>
      <c r="J380">
        <f ca="1"/>
        <v>379</v>
      </c>
      <c r="K380">
        <v>100380</v>
      </c>
      <c r="L380">
        <v>380</v>
      </c>
      <c r="M380" t="b">
        <f t="shared" si="5"/>
        <v>1</v>
      </c>
      <c r="N380" t="b">
        <f>COUNTBLANK(Metadata!B380:F380)=COLUMNS(Metadata!B380:F380)</f>
        <v>1</v>
      </c>
      <c r="O380" t="str">
        <v/>
      </c>
      <c r="Q380" t="b">
        <f ca="1"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R380" t="b">
        <f>IF(Metadata!C380="",FALSE,TRUE)</f>
        <v>0</v>
      </c>
      <c r="S380" t="b">
        <f>OR(AND(IF(Metadata!D380="",FALSE,TRUE),EXACT(Metadata!D380,"missing: not collected")),AND(IF(Metadata!D380="",FALSE,TRUE),OR(EXACT(Metadata!D380,"t"),EXACT(Metadata!D380,"f"))))</f>
        <v>0</v>
      </c>
      <c r="T380" t="b">
        <f>AND(IF(Metadata!E380="",FALSE,TRUE),OR(EXACT(Metadata!E380,"a"),EXACT(Metadata!E380,"b")))</f>
        <v>0</v>
      </c>
      <c r="U380" t="b">
        <f>OR(AND(IF(Metadata!F380="",FALSE,TRUE),OR(EXACT(Metadata!F380,"missing: not collected"),EXACT(Metadata!F380,"missing: not provided"))),AND(IF(Metadata!F380="",FALSE,TRUE),OR(EXACT(Metadata!F380,"lo"),EXACT(Metadata!F380,"med"),EXACT(Metadata!F380,"hi"))))</f>
        <v>0</v>
      </c>
    </row>
    <row r="381" spans="1:21" x14ac:dyDescent="0.2">
      <c r="A381" s="4" t="str">
        <f ca="1">IF(B381=" "," ",HYPERLINK(CONCATENATE("#metadata!",ADDRESS(INDEX($L$2:$L$1001,MATCH(ROWS($J$2:J381),$J$2:$J$1001,0),0),1)),INDEX($O$2:$O$1001,MATCH(ROWS($J$2:J381),$J$2:$J$1001,0),0)))</f>
        <v xml:space="preserve"> </v>
      </c>
      <c r="B381" s="3" t="str">
        <f ca="1">IF(OR(INDEX($K$2:$K$1001,MATCH(ROWS($J$2:J381),$J$2:$J$1001,0),1)&gt;=100000,INDEX($Q$1005:$U$1005,1,MATCH(COLUMNS($Q$1006:Q1006),$Q$1006:$U$1006,0))&gt;=100000), " ",IF(INDEX($Q$2:$U$1001,MATCH(ROWS($J$2:J381),$J$2:$J$1001,0),MATCH(COLUMNS($Q$1006:Q1006),$Q$1006:$U$1006,0)), HYPERLINK("#",""), HYPERLINK(CONCATENATE("#Metadata!", ADDRESS(INDEX($L$2:$L$1001,MATCH(ROWS($J$2:J381),$J$2:$J$1001,0),0), INDEX($Q$1004:$U$1004,1,MATCH(COLUMNS($Q$1006:Q1006),$Q$1006:$U$1006,0)))),"Fix")))</f>
        <v xml:space="preserve"> </v>
      </c>
      <c r="C381" s="3" t="str">
        <f ca="1">IF(OR(INDEX($K$2:$K$1001,MATCH(ROWS($J$2:J381),$J$2:$J$1001,0),1)&gt;=100000,INDEX($Q$1005:$U$1005,1,MATCH(COLUMNS($Q$1006:R1006),$Q$1006:$U$1006,0))&gt;=100000), " ",IF(INDEX($Q$2:$U$1001,MATCH(ROWS($J$2:J381),$J$2:$J$1001,0),MATCH(COLUMNS($Q$1006:R1006),$Q$1006:$U$1006,0)), HYPERLINK("#",""), HYPERLINK(CONCATENATE("#Metadata!", ADDRESS(INDEX($L$2:$L$1001,MATCH(ROWS($J$2:J381),$J$2:$J$1001,0),0), INDEX($Q$1004:$U$1004,1,MATCH(COLUMNS($Q$1006:R1006),$Q$1006:$U$1006,0)))),"Fix")))</f>
        <v xml:space="preserve"> </v>
      </c>
      <c r="D381" s="3" t="str">
        <f ca="1">IF(OR(INDEX($K$2:$K$1001,MATCH(ROWS($J$2:J381),$J$2:$J$1001,0),1)&gt;=100000,INDEX($Q$1005:$U$1005,1,MATCH(COLUMNS($Q$1006:S1006),$Q$1006:$U$1006,0))&gt;=100000), " ",IF(INDEX($Q$2:$U$1001,MATCH(ROWS($J$2:J381),$J$2:$J$1001,0),MATCH(COLUMNS($Q$1006:S1006),$Q$1006:$U$1006,0)), HYPERLINK("#",""), HYPERLINK(CONCATENATE("#Metadata!", ADDRESS(INDEX($L$2:$L$1001,MATCH(ROWS($J$2:J381),$J$2:$J$1001,0),0), INDEX($Q$1004:$U$1004,1,MATCH(COLUMNS($Q$1006:S1006),$Q$1006:$U$1006,0)))),"Fix")))</f>
        <v xml:space="preserve"> </v>
      </c>
      <c r="E381" s="3" t="str">
        <f ca="1">IF(OR(INDEX($K$2:$K$1001,MATCH(ROWS($J$2:J381),$J$2:$J$1001,0),1)&gt;=100000,INDEX($Q$1005:$U$1005,1,MATCH(COLUMNS($Q$1006:T1006),$Q$1006:$U$1006,0))&gt;=100000), " ",IF(INDEX($Q$2:$U$1001,MATCH(ROWS($J$2:J381),$J$2:$J$1001,0),MATCH(COLUMNS($Q$1006:T1006),$Q$1006:$U$1006,0)), HYPERLINK("#",""), HYPERLINK(CONCATENATE("#Metadata!", ADDRESS(INDEX($L$2:$L$1001,MATCH(ROWS($J$2:J381),$J$2:$J$1001,0),0), INDEX($Q$1004:$U$1004,1,MATCH(COLUMNS($Q$1006:T1006),$Q$1006:$U$1006,0)))),"Fix")))</f>
        <v xml:space="preserve"> </v>
      </c>
      <c r="F381" s="3" t="str">
        <f ca="1">IF(OR(INDEX($K$2:$K$1001,MATCH(ROWS($J$2:J381),$J$2:$J$1001,0),1)&gt;=100000,INDEX($Q$1005:$U$1005,1,MATCH(COLUMNS($Q$1006:U1006),$Q$1006:$U$1006,0))&gt;=100000), " ",IF(INDEX($Q$2:$U$1001,MATCH(ROWS($J$2:J381),$J$2:$J$1001,0),MATCH(COLUMNS($Q$1006:U1006),$Q$1006:$U$1006,0)), HYPERLINK("#",""), HYPERLINK(CONCATENATE("#Metadata!", ADDRESS(INDEX($L$2:$L$1001,MATCH(ROWS($J$2:J381),$J$2:$J$1001,0),0), INDEX($Q$1004:$U$1004,1,MATCH(COLUMNS($Q$1006:U1006),$Q$1006:$U$1006,0)))),"Fix")))</f>
        <v xml:space="preserve"> </v>
      </c>
      <c r="J381">
        <f ca="1"/>
        <v>380</v>
      </c>
      <c r="K381">
        <v>100381</v>
      </c>
      <c r="L381">
        <v>381</v>
      </c>
      <c r="M381" t="b">
        <f t="shared" si="5"/>
        <v>1</v>
      </c>
      <c r="N381" t="b">
        <f>COUNTBLANK(Metadata!B381:F381)=COLUMNS(Metadata!B381:F381)</f>
        <v>1</v>
      </c>
      <c r="O381" t="str">
        <v/>
      </c>
      <c r="Q381" t="b">
        <f ca="1"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R381" t="b">
        <f>IF(Metadata!C381="",FALSE,TRUE)</f>
        <v>0</v>
      </c>
      <c r="S381" t="b">
        <f>OR(AND(IF(Metadata!D381="",FALSE,TRUE),EXACT(Metadata!D381,"missing: not collected")),AND(IF(Metadata!D381="",FALSE,TRUE),OR(EXACT(Metadata!D381,"t"),EXACT(Metadata!D381,"f"))))</f>
        <v>0</v>
      </c>
      <c r="T381" t="b">
        <f>AND(IF(Metadata!E381="",FALSE,TRUE),OR(EXACT(Metadata!E381,"a"),EXACT(Metadata!E381,"b")))</f>
        <v>0</v>
      </c>
      <c r="U381" t="b">
        <f>OR(AND(IF(Metadata!F381="",FALSE,TRUE),OR(EXACT(Metadata!F381,"missing: not collected"),EXACT(Metadata!F381,"missing: not provided"))),AND(IF(Metadata!F381="",FALSE,TRUE),OR(EXACT(Metadata!F381,"lo"),EXACT(Metadata!F381,"med"),EXACT(Metadata!F381,"hi"))))</f>
        <v>0</v>
      </c>
    </row>
    <row r="382" spans="1:21" x14ac:dyDescent="0.2">
      <c r="A382" s="4" t="str">
        <f ca="1">IF(B382=" "," ",HYPERLINK(CONCATENATE("#metadata!",ADDRESS(INDEX($L$2:$L$1001,MATCH(ROWS($J$2:J382),$J$2:$J$1001,0),0),1)),INDEX($O$2:$O$1001,MATCH(ROWS($J$2:J382),$J$2:$J$1001,0),0)))</f>
        <v xml:space="preserve"> </v>
      </c>
      <c r="B382" s="3" t="str">
        <f ca="1">IF(OR(INDEX($K$2:$K$1001,MATCH(ROWS($J$2:J382),$J$2:$J$1001,0),1)&gt;=100000,INDEX($Q$1005:$U$1005,1,MATCH(COLUMNS($Q$1006:Q1006),$Q$1006:$U$1006,0))&gt;=100000), " ",IF(INDEX($Q$2:$U$1001,MATCH(ROWS($J$2:J382),$J$2:$J$1001,0),MATCH(COLUMNS($Q$1006:Q1006),$Q$1006:$U$1006,0)), HYPERLINK("#",""), HYPERLINK(CONCATENATE("#Metadata!", ADDRESS(INDEX($L$2:$L$1001,MATCH(ROWS($J$2:J382),$J$2:$J$1001,0),0), INDEX($Q$1004:$U$1004,1,MATCH(COLUMNS($Q$1006:Q1006),$Q$1006:$U$1006,0)))),"Fix")))</f>
        <v xml:space="preserve"> </v>
      </c>
      <c r="C382" s="3" t="str">
        <f ca="1">IF(OR(INDEX($K$2:$K$1001,MATCH(ROWS($J$2:J382),$J$2:$J$1001,0),1)&gt;=100000,INDEX($Q$1005:$U$1005,1,MATCH(COLUMNS($Q$1006:R1006),$Q$1006:$U$1006,0))&gt;=100000), " ",IF(INDEX($Q$2:$U$1001,MATCH(ROWS($J$2:J382),$J$2:$J$1001,0),MATCH(COLUMNS($Q$1006:R1006),$Q$1006:$U$1006,0)), HYPERLINK("#",""), HYPERLINK(CONCATENATE("#Metadata!", ADDRESS(INDEX($L$2:$L$1001,MATCH(ROWS($J$2:J382),$J$2:$J$1001,0),0), INDEX($Q$1004:$U$1004,1,MATCH(COLUMNS($Q$1006:R1006),$Q$1006:$U$1006,0)))),"Fix")))</f>
        <v xml:space="preserve"> </v>
      </c>
      <c r="D382" s="3" t="str">
        <f ca="1">IF(OR(INDEX($K$2:$K$1001,MATCH(ROWS($J$2:J382),$J$2:$J$1001,0),1)&gt;=100000,INDEX($Q$1005:$U$1005,1,MATCH(COLUMNS($Q$1006:S1006),$Q$1006:$U$1006,0))&gt;=100000), " ",IF(INDEX($Q$2:$U$1001,MATCH(ROWS($J$2:J382),$J$2:$J$1001,0),MATCH(COLUMNS($Q$1006:S1006),$Q$1006:$U$1006,0)), HYPERLINK("#",""), HYPERLINK(CONCATENATE("#Metadata!", ADDRESS(INDEX($L$2:$L$1001,MATCH(ROWS($J$2:J382),$J$2:$J$1001,0),0), INDEX($Q$1004:$U$1004,1,MATCH(COLUMNS($Q$1006:S1006),$Q$1006:$U$1006,0)))),"Fix")))</f>
        <v xml:space="preserve"> </v>
      </c>
      <c r="E382" s="3" t="str">
        <f ca="1">IF(OR(INDEX($K$2:$K$1001,MATCH(ROWS($J$2:J382),$J$2:$J$1001,0),1)&gt;=100000,INDEX($Q$1005:$U$1005,1,MATCH(COLUMNS($Q$1006:T1006),$Q$1006:$U$1006,0))&gt;=100000), " ",IF(INDEX($Q$2:$U$1001,MATCH(ROWS($J$2:J382),$J$2:$J$1001,0),MATCH(COLUMNS($Q$1006:T1006),$Q$1006:$U$1006,0)), HYPERLINK("#",""), HYPERLINK(CONCATENATE("#Metadata!", ADDRESS(INDEX($L$2:$L$1001,MATCH(ROWS($J$2:J382),$J$2:$J$1001,0),0), INDEX($Q$1004:$U$1004,1,MATCH(COLUMNS($Q$1006:T1006),$Q$1006:$U$1006,0)))),"Fix")))</f>
        <v xml:space="preserve"> </v>
      </c>
      <c r="F382" s="3" t="str">
        <f ca="1">IF(OR(INDEX($K$2:$K$1001,MATCH(ROWS($J$2:J382),$J$2:$J$1001,0),1)&gt;=100000,INDEX($Q$1005:$U$1005,1,MATCH(COLUMNS($Q$1006:U1006),$Q$1006:$U$1006,0))&gt;=100000), " ",IF(INDEX($Q$2:$U$1001,MATCH(ROWS($J$2:J382),$J$2:$J$1001,0),MATCH(COLUMNS($Q$1006:U1006),$Q$1006:$U$1006,0)), HYPERLINK("#",""), HYPERLINK(CONCATENATE("#Metadata!", ADDRESS(INDEX($L$2:$L$1001,MATCH(ROWS($J$2:J382),$J$2:$J$1001,0),0), INDEX($Q$1004:$U$1004,1,MATCH(COLUMNS($Q$1006:U1006),$Q$1006:$U$1006,0)))),"Fix")))</f>
        <v xml:space="preserve"> </v>
      </c>
      <c r="J382">
        <f ca="1"/>
        <v>381</v>
      </c>
      <c r="K382">
        <v>100382</v>
      </c>
      <c r="L382">
        <v>382</v>
      </c>
      <c r="M382" t="b">
        <f t="shared" si="5"/>
        <v>1</v>
      </c>
      <c r="N382" t="b">
        <f>COUNTBLANK(Metadata!B382:F382)=COLUMNS(Metadata!B382:F382)</f>
        <v>1</v>
      </c>
      <c r="O382" t="str">
        <v/>
      </c>
      <c r="Q382" t="b">
        <f ca="1"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R382" t="b">
        <f>IF(Metadata!C382="",FALSE,TRUE)</f>
        <v>0</v>
      </c>
      <c r="S382" t="b">
        <f>OR(AND(IF(Metadata!D382="",FALSE,TRUE),EXACT(Metadata!D382,"missing: not collected")),AND(IF(Metadata!D382="",FALSE,TRUE),OR(EXACT(Metadata!D382,"t"),EXACT(Metadata!D382,"f"))))</f>
        <v>0</v>
      </c>
      <c r="T382" t="b">
        <f>AND(IF(Metadata!E382="",FALSE,TRUE),OR(EXACT(Metadata!E382,"a"),EXACT(Metadata!E382,"b")))</f>
        <v>0</v>
      </c>
      <c r="U382" t="b">
        <f>OR(AND(IF(Metadata!F382="",FALSE,TRUE),OR(EXACT(Metadata!F382,"missing: not collected"),EXACT(Metadata!F382,"missing: not provided"))),AND(IF(Metadata!F382="",FALSE,TRUE),OR(EXACT(Metadata!F382,"lo"),EXACT(Metadata!F382,"med"),EXACT(Metadata!F382,"hi"))))</f>
        <v>0</v>
      </c>
    </row>
    <row r="383" spans="1:21" x14ac:dyDescent="0.2">
      <c r="A383" s="4" t="str">
        <f ca="1">IF(B383=" "," ",HYPERLINK(CONCATENATE("#metadata!",ADDRESS(INDEX($L$2:$L$1001,MATCH(ROWS($J$2:J383),$J$2:$J$1001,0),0),1)),INDEX($O$2:$O$1001,MATCH(ROWS($J$2:J383),$J$2:$J$1001,0),0)))</f>
        <v xml:space="preserve"> </v>
      </c>
      <c r="B383" s="3" t="str">
        <f ca="1">IF(OR(INDEX($K$2:$K$1001,MATCH(ROWS($J$2:J383),$J$2:$J$1001,0),1)&gt;=100000,INDEX($Q$1005:$U$1005,1,MATCH(COLUMNS($Q$1006:Q1006),$Q$1006:$U$1006,0))&gt;=100000), " ",IF(INDEX($Q$2:$U$1001,MATCH(ROWS($J$2:J383),$J$2:$J$1001,0),MATCH(COLUMNS($Q$1006:Q1006),$Q$1006:$U$1006,0)), HYPERLINK("#",""), HYPERLINK(CONCATENATE("#Metadata!", ADDRESS(INDEX($L$2:$L$1001,MATCH(ROWS($J$2:J383),$J$2:$J$1001,0),0), INDEX($Q$1004:$U$1004,1,MATCH(COLUMNS($Q$1006:Q1006),$Q$1006:$U$1006,0)))),"Fix")))</f>
        <v xml:space="preserve"> </v>
      </c>
      <c r="C383" s="3" t="str">
        <f ca="1">IF(OR(INDEX($K$2:$K$1001,MATCH(ROWS($J$2:J383),$J$2:$J$1001,0),1)&gt;=100000,INDEX($Q$1005:$U$1005,1,MATCH(COLUMNS($Q$1006:R1006),$Q$1006:$U$1006,0))&gt;=100000), " ",IF(INDEX($Q$2:$U$1001,MATCH(ROWS($J$2:J383),$J$2:$J$1001,0),MATCH(COLUMNS($Q$1006:R1006),$Q$1006:$U$1006,0)), HYPERLINK("#",""), HYPERLINK(CONCATENATE("#Metadata!", ADDRESS(INDEX($L$2:$L$1001,MATCH(ROWS($J$2:J383),$J$2:$J$1001,0),0), INDEX($Q$1004:$U$1004,1,MATCH(COLUMNS($Q$1006:R1006),$Q$1006:$U$1006,0)))),"Fix")))</f>
        <v xml:space="preserve"> </v>
      </c>
      <c r="D383" s="3" t="str">
        <f ca="1">IF(OR(INDEX($K$2:$K$1001,MATCH(ROWS($J$2:J383),$J$2:$J$1001,0),1)&gt;=100000,INDEX($Q$1005:$U$1005,1,MATCH(COLUMNS($Q$1006:S1006),$Q$1006:$U$1006,0))&gt;=100000), " ",IF(INDEX($Q$2:$U$1001,MATCH(ROWS($J$2:J383),$J$2:$J$1001,0),MATCH(COLUMNS($Q$1006:S1006),$Q$1006:$U$1006,0)), HYPERLINK("#",""), HYPERLINK(CONCATENATE("#Metadata!", ADDRESS(INDEX($L$2:$L$1001,MATCH(ROWS($J$2:J383),$J$2:$J$1001,0),0), INDEX($Q$1004:$U$1004,1,MATCH(COLUMNS($Q$1006:S1006),$Q$1006:$U$1006,0)))),"Fix")))</f>
        <v xml:space="preserve"> </v>
      </c>
      <c r="E383" s="3" t="str">
        <f ca="1">IF(OR(INDEX($K$2:$K$1001,MATCH(ROWS($J$2:J383),$J$2:$J$1001,0),1)&gt;=100000,INDEX($Q$1005:$U$1005,1,MATCH(COLUMNS($Q$1006:T1006),$Q$1006:$U$1006,0))&gt;=100000), " ",IF(INDEX($Q$2:$U$1001,MATCH(ROWS($J$2:J383),$J$2:$J$1001,0),MATCH(COLUMNS($Q$1006:T1006),$Q$1006:$U$1006,0)), HYPERLINK("#",""), HYPERLINK(CONCATENATE("#Metadata!", ADDRESS(INDEX($L$2:$L$1001,MATCH(ROWS($J$2:J383),$J$2:$J$1001,0),0), INDEX($Q$1004:$U$1004,1,MATCH(COLUMNS($Q$1006:T1006),$Q$1006:$U$1006,0)))),"Fix")))</f>
        <v xml:space="preserve"> </v>
      </c>
      <c r="F383" s="3" t="str">
        <f ca="1">IF(OR(INDEX($K$2:$K$1001,MATCH(ROWS($J$2:J383),$J$2:$J$1001,0),1)&gt;=100000,INDEX($Q$1005:$U$1005,1,MATCH(COLUMNS($Q$1006:U1006),$Q$1006:$U$1006,0))&gt;=100000), " ",IF(INDEX($Q$2:$U$1001,MATCH(ROWS($J$2:J383),$J$2:$J$1001,0),MATCH(COLUMNS($Q$1006:U1006),$Q$1006:$U$1006,0)), HYPERLINK("#",""), HYPERLINK(CONCATENATE("#Metadata!", ADDRESS(INDEX($L$2:$L$1001,MATCH(ROWS($J$2:J383),$J$2:$J$1001,0),0), INDEX($Q$1004:$U$1004,1,MATCH(COLUMNS($Q$1006:U1006),$Q$1006:$U$1006,0)))),"Fix")))</f>
        <v xml:space="preserve"> </v>
      </c>
      <c r="J383">
        <f ca="1"/>
        <v>382</v>
      </c>
      <c r="K383">
        <v>100383</v>
      </c>
      <c r="L383">
        <v>383</v>
      </c>
      <c r="M383" t="b">
        <f t="shared" si="5"/>
        <v>1</v>
      </c>
      <c r="N383" t="b">
        <f>COUNTBLANK(Metadata!B383:F383)=COLUMNS(Metadata!B383:F383)</f>
        <v>1</v>
      </c>
      <c r="O383" t="str">
        <v/>
      </c>
      <c r="Q383" t="b">
        <f ca="1"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R383" t="b">
        <f>IF(Metadata!C383="",FALSE,TRUE)</f>
        <v>0</v>
      </c>
      <c r="S383" t="b">
        <f>OR(AND(IF(Metadata!D383="",FALSE,TRUE),EXACT(Metadata!D383,"missing: not collected")),AND(IF(Metadata!D383="",FALSE,TRUE),OR(EXACT(Metadata!D383,"t"),EXACT(Metadata!D383,"f"))))</f>
        <v>0</v>
      </c>
      <c r="T383" t="b">
        <f>AND(IF(Metadata!E383="",FALSE,TRUE),OR(EXACT(Metadata!E383,"a"),EXACT(Metadata!E383,"b")))</f>
        <v>0</v>
      </c>
      <c r="U383" t="b">
        <f>OR(AND(IF(Metadata!F383="",FALSE,TRUE),OR(EXACT(Metadata!F383,"missing: not collected"),EXACT(Metadata!F383,"missing: not provided"))),AND(IF(Metadata!F383="",FALSE,TRUE),OR(EXACT(Metadata!F383,"lo"),EXACT(Metadata!F383,"med"),EXACT(Metadata!F383,"hi"))))</f>
        <v>0</v>
      </c>
    </row>
    <row r="384" spans="1:21" x14ac:dyDescent="0.2">
      <c r="A384" s="4" t="str">
        <f ca="1">IF(B384=" "," ",HYPERLINK(CONCATENATE("#metadata!",ADDRESS(INDEX($L$2:$L$1001,MATCH(ROWS($J$2:J384),$J$2:$J$1001,0),0),1)),INDEX($O$2:$O$1001,MATCH(ROWS($J$2:J384),$J$2:$J$1001,0),0)))</f>
        <v xml:space="preserve"> </v>
      </c>
      <c r="B384" s="3" t="str">
        <f ca="1">IF(OR(INDEX($K$2:$K$1001,MATCH(ROWS($J$2:J384),$J$2:$J$1001,0),1)&gt;=100000,INDEX($Q$1005:$U$1005,1,MATCH(COLUMNS($Q$1006:Q1006),$Q$1006:$U$1006,0))&gt;=100000), " ",IF(INDEX($Q$2:$U$1001,MATCH(ROWS($J$2:J384),$J$2:$J$1001,0),MATCH(COLUMNS($Q$1006:Q1006),$Q$1006:$U$1006,0)), HYPERLINK("#",""), HYPERLINK(CONCATENATE("#Metadata!", ADDRESS(INDEX($L$2:$L$1001,MATCH(ROWS($J$2:J384),$J$2:$J$1001,0),0), INDEX($Q$1004:$U$1004,1,MATCH(COLUMNS($Q$1006:Q1006),$Q$1006:$U$1006,0)))),"Fix")))</f>
        <v xml:space="preserve"> </v>
      </c>
      <c r="C384" s="3" t="str">
        <f ca="1">IF(OR(INDEX($K$2:$K$1001,MATCH(ROWS($J$2:J384),$J$2:$J$1001,0),1)&gt;=100000,INDEX($Q$1005:$U$1005,1,MATCH(COLUMNS($Q$1006:R1006),$Q$1006:$U$1006,0))&gt;=100000), " ",IF(INDEX($Q$2:$U$1001,MATCH(ROWS($J$2:J384),$J$2:$J$1001,0),MATCH(COLUMNS($Q$1006:R1006),$Q$1006:$U$1006,0)), HYPERLINK("#",""), HYPERLINK(CONCATENATE("#Metadata!", ADDRESS(INDEX($L$2:$L$1001,MATCH(ROWS($J$2:J384),$J$2:$J$1001,0),0), INDEX($Q$1004:$U$1004,1,MATCH(COLUMNS($Q$1006:R1006),$Q$1006:$U$1006,0)))),"Fix")))</f>
        <v xml:space="preserve"> </v>
      </c>
      <c r="D384" s="3" t="str">
        <f ca="1">IF(OR(INDEX($K$2:$K$1001,MATCH(ROWS($J$2:J384),$J$2:$J$1001,0),1)&gt;=100000,INDEX($Q$1005:$U$1005,1,MATCH(COLUMNS($Q$1006:S1006),$Q$1006:$U$1006,0))&gt;=100000), " ",IF(INDEX($Q$2:$U$1001,MATCH(ROWS($J$2:J384),$J$2:$J$1001,0),MATCH(COLUMNS($Q$1006:S1006),$Q$1006:$U$1006,0)), HYPERLINK("#",""), HYPERLINK(CONCATENATE("#Metadata!", ADDRESS(INDEX($L$2:$L$1001,MATCH(ROWS($J$2:J384),$J$2:$J$1001,0),0), INDEX($Q$1004:$U$1004,1,MATCH(COLUMNS($Q$1006:S1006),$Q$1006:$U$1006,0)))),"Fix")))</f>
        <v xml:space="preserve"> </v>
      </c>
      <c r="E384" s="3" t="str">
        <f ca="1">IF(OR(INDEX($K$2:$K$1001,MATCH(ROWS($J$2:J384),$J$2:$J$1001,0),1)&gt;=100000,INDEX($Q$1005:$U$1005,1,MATCH(COLUMNS($Q$1006:T1006),$Q$1006:$U$1006,0))&gt;=100000), " ",IF(INDEX($Q$2:$U$1001,MATCH(ROWS($J$2:J384),$J$2:$J$1001,0),MATCH(COLUMNS($Q$1006:T1006),$Q$1006:$U$1006,0)), HYPERLINK("#",""), HYPERLINK(CONCATENATE("#Metadata!", ADDRESS(INDEX($L$2:$L$1001,MATCH(ROWS($J$2:J384),$J$2:$J$1001,0),0), INDEX($Q$1004:$U$1004,1,MATCH(COLUMNS($Q$1006:T1006),$Q$1006:$U$1006,0)))),"Fix")))</f>
        <v xml:space="preserve"> </v>
      </c>
      <c r="F384" s="3" t="str">
        <f ca="1">IF(OR(INDEX($K$2:$K$1001,MATCH(ROWS($J$2:J384),$J$2:$J$1001,0),1)&gt;=100000,INDEX($Q$1005:$U$1005,1,MATCH(COLUMNS($Q$1006:U1006),$Q$1006:$U$1006,0))&gt;=100000), " ",IF(INDEX($Q$2:$U$1001,MATCH(ROWS($J$2:J384),$J$2:$J$1001,0),MATCH(COLUMNS($Q$1006:U1006),$Q$1006:$U$1006,0)), HYPERLINK("#",""), HYPERLINK(CONCATENATE("#Metadata!", ADDRESS(INDEX($L$2:$L$1001,MATCH(ROWS($J$2:J384),$J$2:$J$1001,0),0), INDEX($Q$1004:$U$1004,1,MATCH(COLUMNS($Q$1006:U1006),$Q$1006:$U$1006,0)))),"Fix")))</f>
        <v xml:space="preserve"> </v>
      </c>
      <c r="J384">
        <f ca="1"/>
        <v>383</v>
      </c>
      <c r="K384">
        <v>100384</v>
      </c>
      <c r="L384">
        <v>384</v>
      </c>
      <c r="M384" t="b">
        <f t="shared" si="5"/>
        <v>1</v>
      </c>
      <c r="N384" t="b">
        <f>COUNTBLANK(Metadata!B384:F384)=COLUMNS(Metadata!B384:F384)</f>
        <v>1</v>
      </c>
      <c r="O384" t="str">
        <v/>
      </c>
      <c r="Q384" t="b">
        <f ca="1"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R384" t="b">
        <f>IF(Metadata!C384="",FALSE,TRUE)</f>
        <v>0</v>
      </c>
      <c r="S384" t="b">
        <f>OR(AND(IF(Metadata!D384="",FALSE,TRUE),EXACT(Metadata!D384,"missing: not collected")),AND(IF(Metadata!D384="",FALSE,TRUE),OR(EXACT(Metadata!D384,"t"),EXACT(Metadata!D384,"f"))))</f>
        <v>0</v>
      </c>
      <c r="T384" t="b">
        <f>AND(IF(Metadata!E384="",FALSE,TRUE),OR(EXACT(Metadata!E384,"a"),EXACT(Metadata!E384,"b")))</f>
        <v>0</v>
      </c>
      <c r="U384" t="b">
        <f>OR(AND(IF(Metadata!F384="",FALSE,TRUE),OR(EXACT(Metadata!F384,"missing: not collected"),EXACT(Metadata!F384,"missing: not provided"))),AND(IF(Metadata!F384="",FALSE,TRUE),OR(EXACT(Metadata!F384,"lo"),EXACT(Metadata!F384,"med"),EXACT(Metadata!F384,"hi"))))</f>
        <v>0</v>
      </c>
    </row>
    <row r="385" spans="1:21" x14ac:dyDescent="0.2">
      <c r="A385" s="4" t="str">
        <f ca="1">IF(B385=" "," ",HYPERLINK(CONCATENATE("#metadata!",ADDRESS(INDEX($L$2:$L$1001,MATCH(ROWS($J$2:J385),$J$2:$J$1001,0),0),1)),INDEX($O$2:$O$1001,MATCH(ROWS($J$2:J385),$J$2:$J$1001,0),0)))</f>
        <v xml:space="preserve"> </v>
      </c>
      <c r="B385" s="3" t="str">
        <f ca="1">IF(OR(INDEX($K$2:$K$1001,MATCH(ROWS($J$2:J385),$J$2:$J$1001,0),1)&gt;=100000,INDEX($Q$1005:$U$1005,1,MATCH(COLUMNS($Q$1006:Q1006),$Q$1006:$U$1006,0))&gt;=100000), " ",IF(INDEX($Q$2:$U$1001,MATCH(ROWS($J$2:J385),$J$2:$J$1001,0),MATCH(COLUMNS($Q$1006:Q1006),$Q$1006:$U$1006,0)), HYPERLINK("#",""), HYPERLINK(CONCATENATE("#Metadata!", ADDRESS(INDEX($L$2:$L$1001,MATCH(ROWS($J$2:J385),$J$2:$J$1001,0),0), INDEX($Q$1004:$U$1004,1,MATCH(COLUMNS($Q$1006:Q1006),$Q$1006:$U$1006,0)))),"Fix")))</f>
        <v xml:space="preserve"> </v>
      </c>
      <c r="C385" s="3" t="str">
        <f ca="1">IF(OR(INDEX($K$2:$K$1001,MATCH(ROWS($J$2:J385),$J$2:$J$1001,0),1)&gt;=100000,INDEX($Q$1005:$U$1005,1,MATCH(COLUMNS($Q$1006:R1006),$Q$1006:$U$1006,0))&gt;=100000), " ",IF(INDEX($Q$2:$U$1001,MATCH(ROWS($J$2:J385),$J$2:$J$1001,0),MATCH(COLUMNS($Q$1006:R1006),$Q$1006:$U$1006,0)), HYPERLINK("#",""), HYPERLINK(CONCATENATE("#Metadata!", ADDRESS(INDEX($L$2:$L$1001,MATCH(ROWS($J$2:J385),$J$2:$J$1001,0),0), INDEX($Q$1004:$U$1004,1,MATCH(COLUMNS($Q$1006:R1006),$Q$1006:$U$1006,0)))),"Fix")))</f>
        <v xml:space="preserve"> </v>
      </c>
      <c r="D385" s="3" t="str">
        <f ca="1">IF(OR(INDEX($K$2:$K$1001,MATCH(ROWS($J$2:J385),$J$2:$J$1001,0),1)&gt;=100000,INDEX($Q$1005:$U$1005,1,MATCH(COLUMNS($Q$1006:S1006),$Q$1006:$U$1006,0))&gt;=100000), " ",IF(INDEX($Q$2:$U$1001,MATCH(ROWS($J$2:J385),$J$2:$J$1001,0),MATCH(COLUMNS($Q$1006:S1006),$Q$1006:$U$1006,0)), HYPERLINK("#",""), HYPERLINK(CONCATENATE("#Metadata!", ADDRESS(INDEX($L$2:$L$1001,MATCH(ROWS($J$2:J385),$J$2:$J$1001,0),0), INDEX($Q$1004:$U$1004,1,MATCH(COLUMNS($Q$1006:S1006),$Q$1006:$U$1006,0)))),"Fix")))</f>
        <v xml:space="preserve"> </v>
      </c>
      <c r="E385" s="3" t="str">
        <f ca="1">IF(OR(INDEX($K$2:$K$1001,MATCH(ROWS($J$2:J385),$J$2:$J$1001,0),1)&gt;=100000,INDEX($Q$1005:$U$1005,1,MATCH(COLUMNS($Q$1006:T1006),$Q$1006:$U$1006,0))&gt;=100000), " ",IF(INDEX($Q$2:$U$1001,MATCH(ROWS($J$2:J385),$J$2:$J$1001,0),MATCH(COLUMNS($Q$1006:T1006),$Q$1006:$U$1006,0)), HYPERLINK("#",""), HYPERLINK(CONCATENATE("#Metadata!", ADDRESS(INDEX($L$2:$L$1001,MATCH(ROWS($J$2:J385),$J$2:$J$1001,0),0), INDEX($Q$1004:$U$1004,1,MATCH(COLUMNS($Q$1006:T1006),$Q$1006:$U$1006,0)))),"Fix")))</f>
        <v xml:space="preserve"> </v>
      </c>
      <c r="F385" s="3" t="str">
        <f ca="1">IF(OR(INDEX($K$2:$K$1001,MATCH(ROWS($J$2:J385),$J$2:$J$1001,0),1)&gt;=100000,INDEX($Q$1005:$U$1005,1,MATCH(COLUMNS($Q$1006:U1006),$Q$1006:$U$1006,0))&gt;=100000), " ",IF(INDEX($Q$2:$U$1001,MATCH(ROWS($J$2:J385),$J$2:$J$1001,0),MATCH(COLUMNS($Q$1006:U1006),$Q$1006:$U$1006,0)), HYPERLINK("#",""), HYPERLINK(CONCATENATE("#Metadata!", ADDRESS(INDEX($L$2:$L$1001,MATCH(ROWS($J$2:J385),$J$2:$J$1001,0),0), INDEX($Q$1004:$U$1004,1,MATCH(COLUMNS($Q$1006:U1006),$Q$1006:$U$1006,0)))),"Fix")))</f>
        <v xml:space="preserve"> </v>
      </c>
      <c r="J385">
        <f ca="1"/>
        <v>384</v>
      </c>
      <c r="K385">
        <v>100385</v>
      </c>
      <c r="L385">
        <v>385</v>
      </c>
      <c r="M385" t="b">
        <f t="shared" si="5"/>
        <v>1</v>
      </c>
      <c r="N385" t="b">
        <f>COUNTBLANK(Metadata!B385:F385)=COLUMNS(Metadata!B385:F385)</f>
        <v>1</v>
      </c>
      <c r="O385" t="str">
        <v/>
      </c>
      <c r="Q385" t="b">
        <f ca="1"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R385" t="b">
        <f>IF(Metadata!C385="",FALSE,TRUE)</f>
        <v>0</v>
      </c>
      <c r="S385" t="b">
        <f>OR(AND(IF(Metadata!D385="",FALSE,TRUE),EXACT(Metadata!D385,"missing: not collected")),AND(IF(Metadata!D385="",FALSE,TRUE),OR(EXACT(Metadata!D385,"t"),EXACT(Metadata!D385,"f"))))</f>
        <v>0</v>
      </c>
      <c r="T385" t="b">
        <f>AND(IF(Metadata!E385="",FALSE,TRUE),OR(EXACT(Metadata!E385,"a"),EXACT(Metadata!E385,"b")))</f>
        <v>0</v>
      </c>
      <c r="U385" t="b">
        <f>OR(AND(IF(Metadata!F385="",FALSE,TRUE),OR(EXACT(Metadata!F385,"missing: not collected"),EXACT(Metadata!F385,"missing: not provided"))),AND(IF(Metadata!F385="",FALSE,TRUE),OR(EXACT(Metadata!F385,"lo"),EXACT(Metadata!F385,"med"),EXACT(Metadata!F385,"hi"))))</f>
        <v>0</v>
      </c>
    </row>
    <row r="386" spans="1:21" x14ac:dyDescent="0.2">
      <c r="A386" s="4" t="str">
        <f ca="1">IF(B386=" "," ",HYPERLINK(CONCATENATE("#metadata!",ADDRESS(INDEX($L$2:$L$1001,MATCH(ROWS($J$2:J386),$J$2:$J$1001,0),0),1)),INDEX($O$2:$O$1001,MATCH(ROWS($J$2:J386),$J$2:$J$1001,0),0)))</f>
        <v xml:space="preserve"> </v>
      </c>
      <c r="B386" s="3" t="str">
        <f ca="1">IF(OR(INDEX($K$2:$K$1001,MATCH(ROWS($J$2:J386),$J$2:$J$1001,0),1)&gt;=100000,INDEX($Q$1005:$U$1005,1,MATCH(COLUMNS($Q$1006:Q1006),$Q$1006:$U$1006,0))&gt;=100000), " ",IF(INDEX($Q$2:$U$1001,MATCH(ROWS($J$2:J386),$J$2:$J$1001,0),MATCH(COLUMNS($Q$1006:Q1006),$Q$1006:$U$1006,0)), HYPERLINK("#",""), HYPERLINK(CONCATENATE("#Metadata!", ADDRESS(INDEX($L$2:$L$1001,MATCH(ROWS($J$2:J386),$J$2:$J$1001,0),0), INDEX($Q$1004:$U$1004,1,MATCH(COLUMNS($Q$1006:Q1006),$Q$1006:$U$1006,0)))),"Fix")))</f>
        <v xml:space="preserve"> </v>
      </c>
      <c r="C386" s="3" t="str">
        <f ca="1">IF(OR(INDEX($K$2:$K$1001,MATCH(ROWS($J$2:J386),$J$2:$J$1001,0),1)&gt;=100000,INDEX($Q$1005:$U$1005,1,MATCH(COLUMNS($Q$1006:R1006),$Q$1006:$U$1006,0))&gt;=100000), " ",IF(INDEX($Q$2:$U$1001,MATCH(ROWS($J$2:J386),$J$2:$J$1001,0),MATCH(COLUMNS($Q$1006:R1006),$Q$1006:$U$1006,0)), HYPERLINK("#",""), HYPERLINK(CONCATENATE("#Metadata!", ADDRESS(INDEX($L$2:$L$1001,MATCH(ROWS($J$2:J386),$J$2:$J$1001,0),0), INDEX($Q$1004:$U$1004,1,MATCH(COLUMNS($Q$1006:R1006),$Q$1006:$U$1006,0)))),"Fix")))</f>
        <v xml:space="preserve"> </v>
      </c>
      <c r="D386" s="3" t="str">
        <f ca="1">IF(OR(INDEX($K$2:$K$1001,MATCH(ROWS($J$2:J386),$J$2:$J$1001,0),1)&gt;=100000,INDEX($Q$1005:$U$1005,1,MATCH(COLUMNS($Q$1006:S1006),$Q$1006:$U$1006,0))&gt;=100000), " ",IF(INDEX($Q$2:$U$1001,MATCH(ROWS($J$2:J386),$J$2:$J$1001,0),MATCH(COLUMNS($Q$1006:S1006),$Q$1006:$U$1006,0)), HYPERLINK("#",""), HYPERLINK(CONCATENATE("#Metadata!", ADDRESS(INDEX($L$2:$L$1001,MATCH(ROWS($J$2:J386),$J$2:$J$1001,0),0), INDEX($Q$1004:$U$1004,1,MATCH(COLUMNS($Q$1006:S1006),$Q$1006:$U$1006,0)))),"Fix")))</f>
        <v xml:space="preserve"> </v>
      </c>
      <c r="E386" s="3" t="str">
        <f ca="1">IF(OR(INDEX($K$2:$K$1001,MATCH(ROWS($J$2:J386),$J$2:$J$1001,0),1)&gt;=100000,INDEX($Q$1005:$U$1005,1,MATCH(COLUMNS($Q$1006:T1006),$Q$1006:$U$1006,0))&gt;=100000), " ",IF(INDEX($Q$2:$U$1001,MATCH(ROWS($J$2:J386),$J$2:$J$1001,0),MATCH(COLUMNS($Q$1006:T1006),$Q$1006:$U$1006,0)), HYPERLINK("#",""), HYPERLINK(CONCATENATE("#Metadata!", ADDRESS(INDEX($L$2:$L$1001,MATCH(ROWS($J$2:J386),$J$2:$J$1001,0),0), INDEX($Q$1004:$U$1004,1,MATCH(COLUMNS($Q$1006:T1006),$Q$1006:$U$1006,0)))),"Fix")))</f>
        <v xml:space="preserve"> </v>
      </c>
      <c r="F386" s="3" t="str">
        <f ca="1">IF(OR(INDEX($K$2:$K$1001,MATCH(ROWS($J$2:J386),$J$2:$J$1001,0),1)&gt;=100000,INDEX($Q$1005:$U$1005,1,MATCH(COLUMNS($Q$1006:U1006),$Q$1006:$U$1006,0))&gt;=100000), " ",IF(INDEX($Q$2:$U$1001,MATCH(ROWS($J$2:J386),$J$2:$J$1001,0),MATCH(COLUMNS($Q$1006:U1006),$Q$1006:$U$1006,0)), HYPERLINK("#",""), HYPERLINK(CONCATENATE("#Metadata!", ADDRESS(INDEX($L$2:$L$1001,MATCH(ROWS($J$2:J386),$J$2:$J$1001,0),0), INDEX($Q$1004:$U$1004,1,MATCH(COLUMNS($Q$1006:U1006),$Q$1006:$U$1006,0)))),"Fix")))</f>
        <v xml:space="preserve"> </v>
      </c>
      <c r="J386">
        <f ca="1"/>
        <v>385</v>
      </c>
      <c r="K386">
        <v>100386</v>
      </c>
      <c r="L386">
        <v>386</v>
      </c>
      <c r="M386" t="b">
        <f t="shared" ref="M386:M449" si="6">IF(N386,TRUE,AND(Q386:U386))</f>
        <v>1</v>
      </c>
      <c r="N386" t="b">
        <f>COUNTBLANK(Metadata!B386:F386)=COLUMNS(Metadata!B386:F386)</f>
        <v>1</v>
      </c>
      <c r="O386" t="str">
        <v/>
      </c>
      <c r="Q386" t="b">
        <f ca="1"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R386" t="b">
        <f>IF(Metadata!C386="",FALSE,TRUE)</f>
        <v>0</v>
      </c>
      <c r="S386" t="b">
        <f>OR(AND(IF(Metadata!D386="",FALSE,TRUE),EXACT(Metadata!D386,"missing: not collected")),AND(IF(Metadata!D386="",FALSE,TRUE),OR(EXACT(Metadata!D386,"t"),EXACT(Metadata!D386,"f"))))</f>
        <v>0</v>
      </c>
      <c r="T386" t="b">
        <f>AND(IF(Metadata!E386="",FALSE,TRUE),OR(EXACT(Metadata!E386,"a"),EXACT(Metadata!E386,"b")))</f>
        <v>0</v>
      </c>
      <c r="U386" t="b">
        <f>OR(AND(IF(Metadata!F386="",FALSE,TRUE),OR(EXACT(Metadata!F386,"missing: not collected"),EXACT(Metadata!F386,"missing: not provided"))),AND(IF(Metadata!F386="",FALSE,TRUE),OR(EXACT(Metadata!F386,"lo"),EXACT(Metadata!F386,"med"),EXACT(Metadata!F386,"hi"))))</f>
        <v>0</v>
      </c>
    </row>
    <row r="387" spans="1:21" x14ac:dyDescent="0.2">
      <c r="A387" s="4" t="str">
        <f ca="1">IF(B387=" "," ",HYPERLINK(CONCATENATE("#metadata!",ADDRESS(INDEX($L$2:$L$1001,MATCH(ROWS($J$2:J387),$J$2:$J$1001,0),0),1)),INDEX($O$2:$O$1001,MATCH(ROWS($J$2:J387),$J$2:$J$1001,0),0)))</f>
        <v xml:space="preserve"> </v>
      </c>
      <c r="B387" s="3" t="str">
        <f ca="1">IF(OR(INDEX($K$2:$K$1001,MATCH(ROWS($J$2:J387),$J$2:$J$1001,0),1)&gt;=100000,INDEX($Q$1005:$U$1005,1,MATCH(COLUMNS($Q$1006:Q1006),$Q$1006:$U$1006,0))&gt;=100000), " ",IF(INDEX($Q$2:$U$1001,MATCH(ROWS($J$2:J387),$J$2:$J$1001,0),MATCH(COLUMNS($Q$1006:Q1006),$Q$1006:$U$1006,0)), HYPERLINK("#",""), HYPERLINK(CONCATENATE("#Metadata!", ADDRESS(INDEX($L$2:$L$1001,MATCH(ROWS($J$2:J387),$J$2:$J$1001,0),0), INDEX($Q$1004:$U$1004,1,MATCH(COLUMNS($Q$1006:Q1006),$Q$1006:$U$1006,0)))),"Fix")))</f>
        <v xml:space="preserve"> </v>
      </c>
      <c r="C387" s="3" t="str">
        <f ca="1">IF(OR(INDEX($K$2:$K$1001,MATCH(ROWS($J$2:J387),$J$2:$J$1001,0),1)&gt;=100000,INDEX($Q$1005:$U$1005,1,MATCH(COLUMNS($Q$1006:R1006),$Q$1006:$U$1006,0))&gt;=100000), " ",IF(INDEX($Q$2:$U$1001,MATCH(ROWS($J$2:J387),$J$2:$J$1001,0),MATCH(COLUMNS($Q$1006:R1006),$Q$1006:$U$1006,0)), HYPERLINK("#",""), HYPERLINK(CONCATENATE("#Metadata!", ADDRESS(INDEX($L$2:$L$1001,MATCH(ROWS($J$2:J387),$J$2:$J$1001,0),0), INDEX($Q$1004:$U$1004,1,MATCH(COLUMNS($Q$1006:R1006),$Q$1006:$U$1006,0)))),"Fix")))</f>
        <v xml:space="preserve"> </v>
      </c>
      <c r="D387" s="3" t="str">
        <f ca="1">IF(OR(INDEX($K$2:$K$1001,MATCH(ROWS($J$2:J387),$J$2:$J$1001,0),1)&gt;=100000,INDEX($Q$1005:$U$1005,1,MATCH(COLUMNS($Q$1006:S1006),$Q$1006:$U$1006,0))&gt;=100000), " ",IF(INDEX($Q$2:$U$1001,MATCH(ROWS($J$2:J387),$J$2:$J$1001,0),MATCH(COLUMNS($Q$1006:S1006),$Q$1006:$U$1006,0)), HYPERLINK("#",""), HYPERLINK(CONCATENATE("#Metadata!", ADDRESS(INDEX($L$2:$L$1001,MATCH(ROWS($J$2:J387),$J$2:$J$1001,0),0), INDEX($Q$1004:$U$1004,1,MATCH(COLUMNS($Q$1006:S1006),$Q$1006:$U$1006,0)))),"Fix")))</f>
        <v xml:space="preserve"> </v>
      </c>
      <c r="E387" s="3" t="str">
        <f ca="1">IF(OR(INDEX($K$2:$K$1001,MATCH(ROWS($J$2:J387),$J$2:$J$1001,0),1)&gt;=100000,INDEX($Q$1005:$U$1005,1,MATCH(COLUMNS($Q$1006:T1006),$Q$1006:$U$1006,0))&gt;=100000), " ",IF(INDEX($Q$2:$U$1001,MATCH(ROWS($J$2:J387),$J$2:$J$1001,0),MATCH(COLUMNS($Q$1006:T1006),$Q$1006:$U$1006,0)), HYPERLINK("#",""), HYPERLINK(CONCATENATE("#Metadata!", ADDRESS(INDEX($L$2:$L$1001,MATCH(ROWS($J$2:J387),$J$2:$J$1001,0),0), INDEX($Q$1004:$U$1004,1,MATCH(COLUMNS($Q$1006:T1006),$Q$1006:$U$1006,0)))),"Fix")))</f>
        <v xml:space="preserve"> </v>
      </c>
      <c r="F387" s="3" t="str">
        <f ca="1">IF(OR(INDEX($K$2:$K$1001,MATCH(ROWS($J$2:J387),$J$2:$J$1001,0),1)&gt;=100000,INDEX($Q$1005:$U$1005,1,MATCH(COLUMNS($Q$1006:U1006),$Q$1006:$U$1006,0))&gt;=100000), " ",IF(INDEX($Q$2:$U$1001,MATCH(ROWS($J$2:J387),$J$2:$J$1001,0),MATCH(COLUMNS($Q$1006:U1006),$Q$1006:$U$1006,0)), HYPERLINK("#",""), HYPERLINK(CONCATENATE("#Metadata!", ADDRESS(INDEX($L$2:$L$1001,MATCH(ROWS($J$2:J387),$J$2:$J$1001,0),0), INDEX($Q$1004:$U$1004,1,MATCH(COLUMNS($Q$1006:U1006),$Q$1006:$U$1006,0)))),"Fix")))</f>
        <v xml:space="preserve"> </v>
      </c>
      <c r="J387">
        <f ca="1"/>
        <v>386</v>
      </c>
      <c r="K387">
        <v>100387</v>
      </c>
      <c r="L387">
        <v>387</v>
      </c>
      <c r="M387" t="b">
        <f t="shared" si="6"/>
        <v>1</v>
      </c>
      <c r="N387" t="b">
        <f>COUNTBLANK(Metadata!B387:F387)=COLUMNS(Metadata!B387:F387)</f>
        <v>1</v>
      </c>
      <c r="O387" t="str">
        <v/>
      </c>
      <c r="Q387" t="b">
        <f ca="1"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R387" t="b">
        <f>IF(Metadata!C387="",FALSE,TRUE)</f>
        <v>0</v>
      </c>
      <c r="S387" t="b">
        <f>OR(AND(IF(Metadata!D387="",FALSE,TRUE),EXACT(Metadata!D387,"missing: not collected")),AND(IF(Metadata!D387="",FALSE,TRUE),OR(EXACT(Metadata!D387,"t"),EXACT(Metadata!D387,"f"))))</f>
        <v>0</v>
      </c>
      <c r="T387" t="b">
        <f>AND(IF(Metadata!E387="",FALSE,TRUE),OR(EXACT(Metadata!E387,"a"),EXACT(Metadata!E387,"b")))</f>
        <v>0</v>
      </c>
      <c r="U387" t="b">
        <f>OR(AND(IF(Metadata!F387="",FALSE,TRUE),OR(EXACT(Metadata!F387,"missing: not collected"),EXACT(Metadata!F387,"missing: not provided"))),AND(IF(Metadata!F387="",FALSE,TRUE),OR(EXACT(Metadata!F387,"lo"),EXACT(Metadata!F387,"med"),EXACT(Metadata!F387,"hi"))))</f>
        <v>0</v>
      </c>
    </row>
    <row r="388" spans="1:21" x14ac:dyDescent="0.2">
      <c r="A388" s="4" t="str">
        <f ca="1">IF(B388=" "," ",HYPERLINK(CONCATENATE("#metadata!",ADDRESS(INDEX($L$2:$L$1001,MATCH(ROWS($J$2:J388),$J$2:$J$1001,0),0),1)),INDEX($O$2:$O$1001,MATCH(ROWS($J$2:J388),$J$2:$J$1001,0),0)))</f>
        <v xml:space="preserve"> </v>
      </c>
      <c r="B388" s="3" t="str">
        <f ca="1">IF(OR(INDEX($K$2:$K$1001,MATCH(ROWS($J$2:J388),$J$2:$J$1001,0),1)&gt;=100000,INDEX($Q$1005:$U$1005,1,MATCH(COLUMNS($Q$1006:Q1006),$Q$1006:$U$1006,0))&gt;=100000), " ",IF(INDEX($Q$2:$U$1001,MATCH(ROWS($J$2:J388),$J$2:$J$1001,0),MATCH(COLUMNS($Q$1006:Q1006),$Q$1006:$U$1006,0)), HYPERLINK("#",""), HYPERLINK(CONCATENATE("#Metadata!", ADDRESS(INDEX($L$2:$L$1001,MATCH(ROWS($J$2:J388),$J$2:$J$1001,0),0), INDEX($Q$1004:$U$1004,1,MATCH(COLUMNS($Q$1006:Q1006),$Q$1006:$U$1006,0)))),"Fix")))</f>
        <v xml:space="preserve"> </v>
      </c>
      <c r="C388" s="3" t="str">
        <f ca="1">IF(OR(INDEX($K$2:$K$1001,MATCH(ROWS($J$2:J388),$J$2:$J$1001,0),1)&gt;=100000,INDEX($Q$1005:$U$1005,1,MATCH(COLUMNS($Q$1006:R1006),$Q$1006:$U$1006,0))&gt;=100000), " ",IF(INDEX($Q$2:$U$1001,MATCH(ROWS($J$2:J388),$J$2:$J$1001,0),MATCH(COLUMNS($Q$1006:R1006),$Q$1006:$U$1006,0)), HYPERLINK("#",""), HYPERLINK(CONCATENATE("#Metadata!", ADDRESS(INDEX($L$2:$L$1001,MATCH(ROWS($J$2:J388),$J$2:$J$1001,0),0), INDEX($Q$1004:$U$1004,1,MATCH(COLUMNS($Q$1006:R1006),$Q$1006:$U$1006,0)))),"Fix")))</f>
        <v xml:space="preserve"> </v>
      </c>
      <c r="D388" s="3" t="str">
        <f ca="1">IF(OR(INDEX($K$2:$K$1001,MATCH(ROWS($J$2:J388),$J$2:$J$1001,0),1)&gt;=100000,INDEX($Q$1005:$U$1005,1,MATCH(COLUMNS($Q$1006:S1006),$Q$1006:$U$1006,0))&gt;=100000), " ",IF(INDEX($Q$2:$U$1001,MATCH(ROWS($J$2:J388),$J$2:$J$1001,0),MATCH(COLUMNS($Q$1006:S1006),$Q$1006:$U$1006,0)), HYPERLINK("#",""), HYPERLINK(CONCATENATE("#Metadata!", ADDRESS(INDEX($L$2:$L$1001,MATCH(ROWS($J$2:J388),$J$2:$J$1001,0),0), INDEX($Q$1004:$U$1004,1,MATCH(COLUMNS($Q$1006:S1006),$Q$1006:$U$1006,0)))),"Fix")))</f>
        <v xml:space="preserve"> </v>
      </c>
      <c r="E388" s="3" t="str">
        <f ca="1">IF(OR(INDEX($K$2:$K$1001,MATCH(ROWS($J$2:J388),$J$2:$J$1001,0),1)&gt;=100000,INDEX($Q$1005:$U$1005,1,MATCH(COLUMNS($Q$1006:T1006),$Q$1006:$U$1006,0))&gt;=100000), " ",IF(INDEX($Q$2:$U$1001,MATCH(ROWS($J$2:J388),$J$2:$J$1001,0),MATCH(COLUMNS($Q$1006:T1006),$Q$1006:$U$1006,0)), HYPERLINK("#",""), HYPERLINK(CONCATENATE("#Metadata!", ADDRESS(INDEX($L$2:$L$1001,MATCH(ROWS($J$2:J388),$J$2:$J$1001,0),0), INDEX($Q$1004:$U$1004,1,MATCH(COLUMNS($Q$1006:T1006),$Q$1006:$U$1006,0)))),"Fix")))</f>
        <v xml:space="preserve"> </v>
      </c>
      <c r="F388" s="3" t="str">
        <f ca="1">IF(OR(INDEX($K$2:$K$1001,MATCH(ROWS($J$2:J388),$J$2:$J$1001,0),1)&gt;=100000,INDEX($Q$1005:$U$1005,1,MATCH(COLUMNS($Q$1006:U1006),$Q$1006:$U$1006,0))&gt;=100000), " ",IF(INDEX($Q$2:$U$1001,MATCH(ROWS($J$2:J388),$J$2:$J$1001,0),MATCH(COLUMNS($Q$1006:U1006),$Q$1006:$U$1006,0)), HYPERLINK("#",""), HYPERLINK(CONCATENATE("#Metadata!", ADDRESS(INDEX($L$2:$L$1001,MATCH(ROWS($J$2:J388),$J$2:$J$1001,0),0), INDEX($Q$1004:$U$1004,1,MATCH(COLUMNS($Q$1006:U1006),$Q$1006:$U$1006,0)))),"Fix")))</f>
        <v xml:space="preserve"> </v>
      </c>
      <c r="J388">
        <f ca="1"/>
        <v>387</v>
      </c>
      <c r="K388">
        <v>100388</v>
      </c>
      <c r="L388">
        <v>388</v>
      </c>
      <c r="M388" t="b">
        <f t="shared" si="6"/>
        <v>1</v>
      </c>
      <c r="N388" t="b">
        <f>COUNTBLANK(Metadata!B388:F388)=COLUMNS(Metadata!B388:F388)</f>
        <v>1</v>
      </c>
      <c r="O388" t="str">
        <v/>
      </c>
      <c r="Q388" t="b">
        <f ca="1"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R388" t="b">
        <f>IF(Metadata!C388="",FALSE,TRUE)</f>
        <v>0</v>
      </c>
      <c r="S388" t="b">
        <f>OR(AND(IF(Metadata!D388="",FALSE,TRUE),EXACT(Metadata!D388,"missing: not collected")),AND(IF(Metadata!D388="",FALSE,TRUE),OR(EXACT(Metadata!D388,"t"),EXACT(Metadata!D388,"f"))))</f>
        <v>0</v>
      </c>
      <c r="T388" t="b">
        <f>AND(IF(Metadata!E388="",FALSE,TRUE),OR(EXACT(Metadata!E388,"a"),EXACT(Metadata!E388,"b")))</f>
        <v>0</v>
      </c>
      <c r="U388" t="b">
        <f>OR(AND(IF(Metadata!F388="",FALSE,TRUE),OR(EXACT(Metadata!F388,"missing: not collected"),EXACT(Metadata!F388,"missing: not provided"))),AND(IF(Metadata!F388="",FALSE,TRUE),OR(EXACT(Metadata!F388,"lo"),EXACT(Metadata!F388,"med"),EXACT(Metadata!F388,"hi"))))</f>
        <v>0</v>
      </c>
    </row>
    <row r="389" spans="1:21" x14ac:dyDescent="0.2">
      <c r="A389" s="4" t="str">
        <f ca="1">IF(B389=" "," ",HYPERLINK(CONCATENATE("#metadata!",ADDRESS(INDEX($L$2:$L$1001,MATCH(ROWS($J$2:J389),$J$2:$J$1001,0),0),1)),INDEX($O$2:$O$1001,MATCH(ROWS($J$2:J389),$J$2:$J$1001,0),0)))</f>
        <v xml:space="preserve"> </v>
      </c>
      <c r="B389" s="3" t="str">
        <f ca="1">IF(OR(INDEX($K$2:$K$1001,MATCH(ROWS($J$2:J389),$J$2:$J$1001,0),1)&gt;=100000,INDEX($Q$1005:$U$1005,1,MATCH(COLUMNS($Q$1006:Q1006),$Q$1006:$U$1006,0))&gt;=100000), " ",IF(INDEX($Q$2:$U$1001,MATCH(ROWS($J$2:J389),$J$2:$J$1001,0),MATCH(COLUMNS($Q$1006:Q1006),$Q$1006:$U$1006,0)), HYPERLINK("#",""), HYPERLINK(CONCATENATE("#Metadata!", ADDRESS(INDEX($L$2:$L$1001,MATCH(ROWS($J$2:J389),$J$2:$J$1001,0),0), INDEX($Q$1004:$U$1004,1,MATCH(COLUMNS($Q$1006:Q1006),$Q$1006:$U$1006,0)))),"Fix")))</f>
        <v xml:space="preserve"> </v>
      </c>
      <c r="C389" s="3" t="str">
        <f ca="1">IF(OR(INDEX($K$2:$K$1001,MATCH(ROWS($J$2:J389),$J$2:$J$1001,0),1)&gt;=100000,INDEX($Q$1005:$U$1005,1,MATCH(COLUMNS($Q$1006:R1006),$Q$1006:$U$1006,0))&gt;=100000), " ",IF(INDEX($Q$2:$U$1001,MATCH(ROWS($J$2:J389),$J$2:$J$1001,0),MATCH(COLUMNS($Q$1006:R1006),$Q$1006:$U$1006,0)), HYPERLINK("#",""), HYPERLINK(CONCATENATE("#Metadata!", ADDRESS(INDEX($L$2:$L$1001,MATCH(ROWS($J$2:J389),$J$2:$J$1001,0),0), INDEX($Q$1004:$U$1004,1,MATCH(COLUMNS($Q$1006:R1006),$Q$1006:$U$1006,0)))),"Fix")))</f>
        <v xml:space="preserve"> </v>
      </c>
      <c r="D389" s="3" t="str">
        <f ca="1">IF(OR(INDEX($K$2:$K$1001,MATCH(ROWS($J$2:J389),$J$2:$J$1001,0),1)&gt;=100000,INDEX($Q$1005:$U$1005,1,MATCH(COLUMNS($Q$1006:S1006),$Q$1006:$U$1006,0))&gt;=100000), " ",IF(INDEX($Q$2:$U$1001,MATCH(ROWS($J$2:J389),$J$2:$J$1001,0),MATCH(COLUMNS($Q$1006:S1006),$Q$1006:$U$1006,0)), HYPERLINK("#",""), HYPERLINK(CONCATENATE("#Metadata!", ADDRESS(INDEX($L$2:$L$1001,MATCH(ROWS($J$2:J389),$J$2:$J$1001,0),0), INDEX($Q$1004:$U$1004,1,MATCH(COLUMNS($Q$1006:S1006),$Q$1006:$U$1006,0)))),"Fix")))</f>
        <v xml:space="preserve"> </v>
      </c>
      <c r="E389" s="3" t="str">
        <f ca="1">IF(OR(INDEX($K$2:$K$1001,MATCH(ROWS($J$2:J389),$J$2:$J$1001,0),1)&gt;=100000,INDEX($Q$1005:$U$1005,1,MATCH(COLUMNS($Q$1006:T1006),$Q$1006:$U$1006,0))&gt;=100000), " ",IF(INDEX($Q$2:$U$1001,MATCH(ROWS($J$2:J389),$J$2:$J$1001,0),MATCH(COLUMNS($Q$1006:T1006),$Q$1006:$U$1006,0)), HYPERLINK("#",""), HYPERLINK(CONCATENATE("#Metadata!", ADDRESS(INDEX($L$2:$L$1001,MATCH(ROWS($J$2:J389),$J$2:$J$1001,0),0), INDEX($Q$1004:$U$1004,1,MATCH(COLUMNS($Q$1006:T1006),$Q$1006:$U$1006,0)))),"Fix")))</f>
        <v xml:space="preserve"> </v>
      </c>
      <c r="F389" s="3" t="str">
        <f ca="1">IF(OR(INDEX($K$2:$K$1001,MATCH(ROWS($J$2:J389),$J$2:$J$1001,0),1)&gt;=100000,INDEX($Q$1005:$U$1005,1,MATCH(COLUMNS($Q$1006:U1006),$Q$1006:$U$1006,0))&gt;=100000), " ",IF(INDEX($Q$2:$U$1001,MATCH(ROWS($J$2:J389),$J$2:$J$1001,0),MATCH(COLUMNS($Q$1006:U1006),$Q$1006:$U$1006,0)), HYPERLINK("#",""), HYPERLINK(CONCATENATE("#Metadata!", ADDRESS(INDEX($L$2:$L$1001,MATCH(ROWS($J$2:J389),$J$2:$J$1001,0),0), INDEX($Q$1004:$U$1004,1,MATCH(COLUMNS($Q$1006:U1006),$Q$1006:$U$1006,0)))),"Fix")))</f>
        <v xml:space="preserve"> </v>
      </c>
      <c r="J389">
        <f ca="1"/>
        <v>388</v>
      </c>
      <c r="K389">
        <v>100389</v>
      </c>
      <c r="L389">
        <v>389</v>
      </c>
      <c r="M389" t="b">
        <f t="shared" si="6"/>
        <v>1</v>
      </c>
      <c r="N389" t="b">
        <f>COUNTBLANK(Metadata!B389:F389)=COLUMNS(Metadata!B389:F389)</f>
        <v>1</v>
      </c>
      <c r="O389" t="str">
        <v/>
      </c>
      <c r="Q389" t="b">
        <f ca="1"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R389" t="b">
        <f>IF(Metadata!C389="",FALSE,TRUE)</f>
        <v>0</v>
      </c>
      <c r="S389" t="b">
        <f>OR(AND(IF(Metadata!D389="",FALSE,TRUE),EXACT(Metadata!D389,"missing: not collected")),AND(IF(Metadata!D389="",FALSE,TRUE),OR(EXACT(Metadata!D389,"t"),EXACT(Metadata!D389,"f"))))</f>
        <v>0</v>
      </c>
      <c r="T389" t="b">
        <f>AND(IF(Metadata!E389="",FALSE,TRUE),OR(EXACT(Metadata!E389,"a"),EXACT(Metadata!E389,"b")))</f>
        <v>0</v>
      </c>
      <c r="U389" t="b">
        <f>OR(AND(IF(Metadata!F389="",FALSE,TRUE),OR(EXACT(Metadata!F389,"missing: not collected"),EXACT(Metadata!F389,"missing: not provided"))),AND(IF(Metadata!F389="",FALSE,TRUE),OR(EXACT(Metadata!F389,"lo"),EXACT(Metadata!F389,"med"),EXACT(Metadata!F389,"hi"))))</f>
        <v>0</v>
      </c>
    </row>
    <row r="390" spans="1:21" x14ac:dyDescent="0.2">
      <c r="A390" s="4" t="str">
        <f ca="1">IF(B390=" "," ",HYPERLINK(CONCATENATE("#metadata!",ADDRESS(INDEX($L$2:$L$1001,MATCH(ROWS($J$2:J390),$J$2:$J$1001,0),0),1)),INDEX($O$2:$O$1001,MATCH(ROWS($J$2:J390),$J$2:$J$1001,0),0)))</f>
        <v xml:space="preserve"> </v>
      </c>
      <c r="B390" s="3" t="str">
        <f ca="1">IF(OR(INDEX($K$2:$K$1001,MATCH(ROWS($J$2:J390),$J$2:$J$1001,0),1)&gt;=100000,INDEX($Q$1005:$U$1005,1,MATCH(COLUMNS($Q$1006:Q1006),$Q$1006:$U$1006,0))&gt;=100000), " ",IF(INDEX($Q$2:$U$1001,MATCH(ROWS($J$2:J390),$J$2:$J$1001,0),MATCH(COLUMNS($Q$1006:Q1006),$Q$1006:$U$1006,0)), HYPERLINK("#",""), HYPERLINK(CONCATENATE("#Metadata!", ADDRESS(INDEX($L$2:$L$1001,MATCH(ROWS($J$2:J390),$J$2:$J$1001,0),0), INDEX($Q$1004:$U$1004,1,MATCH(COLUMNS($Q$1006:Q1006),$Q$1006:$U$1006,0)))),"Fix")))</f>
        <v xml:space="preserve"> </v>
      </c>
      <c r="C390" s="3" t="str">
        <f ca="1">IF(OR(INDEX($K$2:$K$1001,MATCH(ROWS($J$2:J390),$J$2:$J$1001,0),1)&gt;=100000,INDEX($Q$1005:$U$1005,1,MATCH(COLUMNS($Q$1006:R1006),$Q$1006:$U$1006,0))&gt;=100000), " ",IF(INDEX($Q$2:$U$1001,MATCH(ROWS($J$2:J390),$J$2:$J$1001,0),MATCH(COLUMNS($Q$1006:R1006),$Q$1006:$U$1006,0)), HYPERLINK("#",""), HYPERLINK(CONCATENATE("#Metadata!", ADDRESS(INDEX($L$2:$L$1001,MATCH(ROWS($J$2:J390),$J$2:$J$1001,0),0), INDEX($Q$1004:$U$1004,1,MATCH(COLUMNS($Q$1006:R1006),$Q$1006:$U$1006,0)))),"Fix")))</f>
        <v xml:space="preserve"> </v>
      </c>
      <c r="D390" s="3" t="str">
        <f ca="1">IF(OR(INDEX($K$2:$K$1001,MATCH(ROWS($J$2:J390),$J$2:$J$1001,0),1)&gt;=100000,INDEX($Q$1005:$U$1005,1,MATCH(COLUMNS($Q$1006:S1006),$Q$1006:$U$1006,0))&gt;=100000), " ",IF(INDEX($Q$2:$U$1001,MATCH(ROWS($J$2:J390),$J$2:$J$1001,0),MATCH(COLUMNS($Q$1006:S1006),$Q$1006:$U$1006,0)), HYPERLINK("#",""), HYPERLINK(CONCATENATE("#Metadata!", ADDRESS(INDEX($L$2:$L$1001,MATCH(ROWS($J$2:J390),$J$2:$J$1001,0),0), INDEX($Q$1004:$U$1004,1,MATCH(COLUMNS($Q$1006:S1006),$Q$1006:$U$1006,0)))),"Fix")))</f>
        <v xml:space="preserve"> </v>
      </c>
      <c r="E390" s="3" t="str">
        <f ca="1">IF(OR(INDEX($K$2:$K$1001,MATCH(ROWS($J$2:J390),$J$2:$J$1001,0),1)&gt;=100000,INDEX($Q$1005:$U$1005,1,MATCH(COLUMNS($Q$1006:T1006),$Q$1006:$U$1006,0))&gt;=100000), " ",IF(INDEX($Q$2:$U$1001,MATCH(ROWS($J$2:J390),$J$2:$J$1001,0),MATCH(COLUMNS($Q$1006:T1006),$Q$1006:$U$1006,0)), HYPERLINK("#",""), HYPERLINK(CONCATENATE("#Metadata!", ADDRESS(INDEX($L$2:$L$1001,MATCH(ROWS($J$2:J390),$J$2:$J$1001,0),0), INDEX($Q$1004:$U$1004,1,MATCH(COLUMNS($Q$1006:T1006),$Q$1006:$U$1006,0)))),"Fix")))</f>
        <v xml:space="preserve"> </v>
      </c>
      <c r="F390" s="3" t="str">
        <f ca="1">IF(OR(INDEX($K$2:$K$1001,MATCH(ROWS($J$2:J390),$J$2:$J$1001,0),1)&gt;=100000,INDEX($Q$1005:$U$1005,1,MATCH(COLUMNS($Q$1006:U1006),$Q$1006:$U$1006,0))&gt;=100000), " ",IF(INDEX($Q$2:$U$1001,MATCH(ROWS($J$2:J390),$J$2:$J$1001,0),MATCH(COLUMNS($Q$1006:U1006),$Q$1006:$U$1006,0)), HYPERLINK("#",""), HYPERLINK(CONCATENATE("#Metadata!", ADDRESS(INDEX($L$2:$L$1001,MATCH(ROWS($J$2:J390),$J$2:$J$1001,0),0), INDEX($Q$1004:$U$1004,1,MATCH(COLUMNS($Q$1006:U1006),$Q$1006:$U$1006,0)))),"Fix")))</f>
        <v xml:space="preserve"> </v>
      </c>
      <c r="J390">
        <f ca="1"/>
        <v>389</v>
      </c>
      <c r="K390">
        <v>100390</v>
      </c>
      <c r="L390">
        <v>390</v>
      </c>
      <c r="M390" t="b">
        <f t="shared" si="6"/>
        <v>1</v>
      </c>
      <c r="N390" t="b">
        <f>COUNTBLANK(Metadata!B390:F390)=COLUMNS(Metadata!B390:F390)</f>
        <v>1</v>
      </c>
      <c r="O390" t="str">
        <v/>
      </c>
      <c r="Q390" t="b">
        <f ca="1"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R390" t="b">
        <f>IF(Metadata!C390="",FALSE,TRUE)</f>
        <v>0</v>
      </c>
      <c r="S390" t="b">
        <f>OR(AND(IF(Metadata!D390="",FALSE,TRUE),EXACT(Metadata!D390,"missing: not collected")),AND(IF(Metadata!D390="",FALSE,TRUE),OR(EXACT(Metadata!D390,"t"),EXACT(Metadata!D390,"f"))))</f>
        <v>0</v>
      </c>
      <c r="T390" t="b">
        <f>AND(IF(Metadata!E390="",FALSE,TRUE),OR(EXACT(Metadata!E390,"a"),EXACT(Metadata!E390,"b")))</f>
        <v>0</v>
      </c>
      <c r="U390" t="b">
        <f>OR(AND(IF(Metadata!F390="",FALSE,TRUE),OR(EXACT(Metadata!F390,"missing: not collected"),EXACT(Metadata!F390,"missing: not provided"))),AND(IF(Metadata!F390="",FALSE,TRUE),OR(EXACT(Metadata!F390,"lo"),EXACT(Metadata!F390,"med"),EXACT(Metadata!F390,"hi"))))</f>
        <v>0</v>
      </c>
    </row>
    <row r="391" spans="1:21" x14ac:dyDescent="0.2">
      <c r="A391" s="4" t="str">
        <f ca="1">IF(B391=" "," ",HYPERLINK(CONCATENATE("#metadata!",ADDRESS(INDEX($L$2:$L$1001,MATCH(ROWS($J$2:J391),$J$2:$J$1001,0),0),1)),INDEX($O$2:$O$1001,MATCH(ROWS($J$2:J391),$J$2:$J$1001,0),0)))</f>
        <v xml:space="preserve"> </v>
      </c>
      <c r="B391" s="3" t="str">
        <f ca="1">IF(OR(INDEX($K$2:$K$1001,MATCH(ROWS($J$2:J391),$J$2:$J$1001,0),1)&gt;=100000,INDEX($Q$1005:$U$1005,1,MATCH(COLUMNS($Q$1006:Q1006),$Q$1006:$U$1006,0))&gt;=100000), " ",IF(INDEX($Q$2:$U$1001,MATCH(ROWS($J$2:J391),$J$2:$J$1001,0),MATCH(COLUMNS($Q$1006:Q1006),$Q$1006:$U$1006,0)), HYPERLINK("#",""), HYPERLINK(CONCATENATE("#Metadata!", ADDRESS(INDEX($L$2:$L$1001,MATCH(ROWS($J$2:J391),$J$2:$J$1001,0),0), INDEX($Q$1004:$U$1004,1,MATCH(COLUMNS($Q$1006:Q1006),$Q$1006:$U$1006,0)))),"Fix")))</f>
        <v xml:space="preserve"> </v>
      </c>
      <c r="C391" s="3" t="str">
        <f ca="1">IF(OR(INDEX($K$2:$K$1001,MATCH(ROWS($J$2:J391),$J$2:$J$1001,0),1)&gt;=100000,INDEX($Q$1005:$U$1005,1,MATCH(COLUMNS($Q$1006:R1006),$Q$1006:$U$1006,0))&gt;=100000), " ",IF(INDEX($Q$2:$U$1001,MATCH(ROWS($J$2:J391),$J$2:$J$1001,0),MATCH(COLUMNS($Q$1006:R1006),$Q$1006:$U$1006,0)), HYPERLINK("#",""), HYPERLINK(CONCATENATE("#Metadata!", ADDRESS(INDEX($L$2:$L$1001,MATCH(ROWS($J$2:J391),$J$2:$J$1001,0),0), INDEX($Q$1004:$U$1004,1,MATCH(COLUMNS($Q$1006:R1006),$Q$1006:$U$1006,0)))),"Fix")))</f>
        <v xml:space="preserve"> </v>
      </c>
      <c r="D391" s="3" t="str">
        <f ca="1">IF(OR(INDEX($K$2:$K$1001,MATCH(ROWS($J$2:J391),$J$2:$J$1001,0),1)&gt;=100000,INDEX($Q$1005:$U$1005,1,MATCH(COLUMNS($Q$1006:S1006),$Q$1006:$U$1006,0))&gt;=100000), " ",IF(INDEX($Q$2:$U$1001,MATCH(ROWS($J$2:J391),$J$2:$J$1001,0),MATCH(COLUMNS($Q$1006:S1006),$Q$1006:$U$1006,0)), HYPERLINK("#",""), HYPERLINK(CONCATENATE("#Metadata!", ADDRESS(INDEX($L$2:$L$1001,MATCH(ROWS($J$2:J391),$J$2:$J$1001,0),0), INDEX($Q$1004:$U$1004,1,MATCH(COLUMNS($Q$1006:S1006),$Q$1006:$U$1006,0)))),"Fix")))</f>
        <v xml:space="preserve"> </v>
      </c>
      <c r="E391" s="3" t="str">
        <f ca="1">IF(OR(INDEX($K$2:$K$1001,MATCH(ROWS($J$2:J391),$J$2:$J$1001,0),1)&gt;=100000,INDEX($Q$1005:$U$1005,1,MATCH(COLUMNS($Q$1006:T1006),$Q$1006:$U$1006,0))&gt;=100000), " ",IF(INDEX($Q$2:$U$1001,MATCH(ROWS($J$2:J391),$J$2:$J$1001,0),MATCH(COLUMNS($Q$1006:T1006),$Q$1006:$U$1006,0)), HYPERLINK("#",""), HYPERLINK(CONCATENATE("#Metadata!", ADDRESS(INDEX($L$2:$L$1001,MATCH(ROWS($J$2:J391),$J$2:$J$1001,0),0), INDEX($Q$1004:$U$1004,1,MATCH(COLUMNS($Q$1006:T1006),$Q$1006:$U$1006,0)))),"Fix")))</f>
        <v xml:space="preserve"> </v>
      </c>
      <c r="F391" s="3" t="str">
        <f ca="1">IF(OR(INDEX($K$2:$K$1001,MATCH(ROWS($J$2:J391),$J$2:$J$1001,0),1)&gt;=100000,INDEX($Q$1005:$U$1005,1,MATCH(COLUMNS($Q$1006:U1006),$Q$1006:$U$1006,0))&gt;=100000), " ",IF(INDEX($Q$2:$U$1001,MATCH(ROWS($J$2:J391),$J$2:$J$1001,0),MATCH(COLUMNS($Q$1006:U1006),$Q$1006:$U$1006,0)), HYPERLINK("#",""), HYPERLINK(CONCATENATE("#Metadata!", ADDRESS(INDEX($L$2:$L$1001,MATCH(ROWS($J$2:J391),$J$2:$J$1001,0),0), INDEX($Q$1004:$U$1004,1,MATCH(COLUMNS($Q$1006:U1006),$Q$1006:$U$1006,0)))),"Fix")))</f>
        <v xml:space="preserve"> </v>
      </c>
      <c r="J391">
        <f ca="1"/>
        <v>390</v>
      </c>
      <c r="K391">
        <v>100391</v>
      </c>
      <c r="L391">
        <v>391</v>
      </c>
      <c r="M391" t="b">
        <f t="shared" si="6"/>
        <v>1</v>
      </c>
      <c r="N391" t="b">
        <f>COUNTBLANK(Metadata!B391:F391)=COLUMNS(Metadata!B391:F391)</f>
        <v>1</v>
      </c>
      <c r="O391" t="str">
        <v/>
      </c>
      <c r="Q391" t="b">
        <f ca="1"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R391" t="b">
        <f>IF(Metadata!C391="",FALSE,TRUE)</f>
        <v>0</v>
      </c>
      <c r="S391" t="b">
        <f>OR(AND(IF(Metadata!D391="",FALSE,TRUE),EXACT(Metadata!D391,"missing: not collected")),AND(IF(Metadata!D391="",FALSE,TRUE),OR(EXACT(Metadata!D391,"t"),EXACT(Metadata!D391,"f"))))</f>
        <v>0</v>
      </c>
      <c r="T391" t="b">
        <f>AND(IF(Metadata!E391="",FALSE,TRUE),OR(EXACT(Metadata!E391,"a"),EXACT(Metadata!E391,"b")))</f>
        <v>0</v>
      </c>
      <c r="U391" t="b">
        <f>OR(AND(IF(Metadata!F391="",FALSE,TRUE),OR(EXACT(Metadata!F391,"missing: not collected"),EXACT(Metadata!F391,"missing: not provided"))),AND(IF(Metadata!F391="",FALSE,TRUE),OR(EXACT(Metadata!F391,"lo"),EXACT(Metadata!F391,"med"),EXACT(Metadata!F391,"hi"))))</f>
        <v>0</v>
      </c>
    </row>
    <row r="392" spans="1:21" x14ac:dyDescent="0.2">
      <c r="A392" s="4" t="str">
        <f ca="1">IF(B392=" "," ",HYPERLINK(CONCATENATE("#metadata!",ADDRESS(INDEX($L$2:$L$1001,MATCH(ROWS($J$2:J392),$J$2:$J$1001,0),0),1)),INDEX($O$2:$O$1001,MATCH(ROWS($J$2:J392),$J$2:$J$1001,0),0)))</f>
        <v xml:space="preserve"> </v>
      </c>
      <c r="B392" s="3" t="str">
        <f ca="1">IF(OR(INDEX($K$2:$K$1001,MATCH(ROWS($J$2:J392),$J$2:$J$1001,0),1)&gt;=100000,INDEX($Q$1005:$U$1005,1,MATCH(COLUMNS($Q$1006:Q1006),$Q$1006:$U$1006,0))&gt;=100000), " ",IF(INDEX($Q$2:$U$1001,MATCH(ROWS($J$2:J392),$J$2:$J$1001,0),MATCH(COLUMNS($Q$1006:Q1006),$Q$1006:$U$1006,0)), HYPERLINK("#",""), HYPERLINK(CONCATENATE("#Metadata!", ADDRESS(INDEX($L$2:$L$1001,MATCH(ROWS($J$2:J392),$J$2:$J$1001,0),0), INDEX($Q$1004:$U$1004,1,MATCH(COLUMNS($Q$1006:Q1006),$Q$1006:$U$1006,0)))),"Fix")))</f>
        <v xml:space="preserve"> </v>
      </c>
      <c r="C392" s="3" t="str">
        <f ca="1">IF(OR(INDEX($K$2:$K$1001,MATCH(ROWS($J$2:J392),$J$2:$J$1001,0),1)&gt;=100000,INDEX($Q$1005:$U$1005,1,MATCH(COLUMNS($Q$1006:R1006),$Q$1006:$U$1006,0))&gt;=100000), " ",IF(INDEX($Q$2:$U$1001,MATCH(ROWS($J$2:J392),$J$2:$J$1001,0),MATCH(COLUMNS($Q$1006:R1006),$Q$1006:$U$1006,0)), HYPERLINK("#",""), HYPERLINK(CONCATENATE("#Metadata!", ADDRESS(INDEX($L$2:$L$1001,MATCH(ROWS($J$2:J392),$J$2:$J$1001,0),0), INDEX($Q$1004:$U$1004,1,MATCH(COLUMNS($Q$1006:R1006),$Q$1006:$U$1006,0)))),"Fix")))</f>
        <v xml:space="preserve"> </v>
      </c>
      <c r="D392" s="3" t="str">
        <f ca="1">IF(OR(INDEX($K$2:$K$1001,MATCH(ROWS($J$2:J392),$J$2:$J$1001,0),1)&gt;=100000,INDEX($Q$1005:$U$1005,1,MATCH(COLUMNS($Q$1006:S1006),$Q$1006:$U$1006,0))&gt;=100000), " ",IF(INDEX($Q$2:$U$1001,MATCH(ROWS($J$2:J392),$J$2:$J$1001,0),MATCH(COLUMNS($Q$1006:S1006),$Q$1006:$U$1006,0)), HYPERLINK("#",""), HYPERLINK(CONCATENATE("#Metadata!", ADDRESS(INDEX($L$2:$L$1001,MATCH(ROWS($J$2:J392),$J$2:$J$1001,0),0), INDEX($Q$1004:$U$1004,1,MATCH(COLUMNS($Q$1006:S1006),$Q$1006:$U$1006,0)))),"Fix")))</f>
        <v xml:space="preserve"> </v>
      </c>
      <c r="E392" s="3" t="str">
        <f ca="1">IF(OR(INDEX($K$2:$K$1001,MATCH(ROWS($J$2:J392),$J$2:$J$1001,0),1)&gt;=100000,INDEX($Q$1005:$U$1005,1,MATCH(COLUMNS($Q$1006:T1006),$Q$1006:$U$1006,0))&gt;=100000), " ",IF(INDEX($Q$2:$U$1001,MATCH(ROWS($J$2:J392),$J$2:$J$1001,0),MATCH(COLUMNS($Q$1006:T1006),$Q$1006:$U$1006,0)), HYPERLINK("#",""), HYPERLINK(CONCATENATE("#Metadata!", ADDRESS(INDEX($L$2:$L$1001,MATCH(ROWS($J$2:J392),$J$2:$J$1001,0),0), INDEX($Q$1004:$U$1004,1,MATCH(COLUMNS($Q$1006:T1006),$Q$1006:$U$1006,0)))),"Fix")))</f>
        <v xml:space="preserve"> </v>
      </c>
      <c r="F392" s="3" t="str">
        <f ca="1">IF(OR(INDEX($K$2:$K$1001,MATCH(ROWS($J$2:J392),$J$2:$J$1001,0),1)&gt;=100000,INDEX($Q$1005:$U$1005,1,MATCH(COLUMNS($Q$1006:U1006),$Q$1006:$U$1006,0))&gt;=100000), " ",IF(INDEX($Q$2:$U$1001,MATCH(ROWS($J$2:J392),$J$2:$J$1001,0),MATCH(COLUMNS($Q$1006:U1006),$Q$1006:$U$1006,0)), HYPERLINK("#",""), HYPERLINK(CONCATENATE("#Metadata!", ADDRESS(INDEX($L$2:$L$1001,MATCH(ROWS($J$2:J392),$J$2:$J$1001,0),0), INDEX($Q$1004:$U$1004,1,MATCH(COLUMNS($Q$1006:U1006),$Q$1006:$U$1006,0)))),"Fix")))</f>
        <v xml:space="preserve"> </v>
      </c>
      <c r="J392">
        <f ca="1"/>
        <v>391</v>
      </c>
      <c r="K392">
        <v>100392</v>
      </c>
      <c r="L392">
        <v>392</v>
      </c>
      <c r="M392" t="b">
        <f t="shared" si="6"/>
        <v>1</v>
      </c>
      <c r="N392" t="b">
        <f>COUNTBLANK(Metadata!B392:F392)=COLUMNS(Metadata!B392:F392)</f>
        <v>1</v>
      </c>
      <c r="O392" t="str">
        <v/>
      </c>
      <c r="Q392" t="b">
        <f ca="1"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R392" t="b">
        <f>IF(Metadata!C392="",FALSE,TRUE)</f>
        <v>0</v>
      </c>
      <c r="S392" t="b">
        <f>OR(AND(IF(Metadata!D392="",FALSE,TRUE),EXACT(Metadata!D392,"missing: not collected")),AND(IF(Metadata!D392="",FALSE,TRUE),OR(EXACT(Metadata!D392,"t"),EXACT(Metadata!D392,"f"))))</f>
        <v>0</v>
      </c>
      <c r="T392" t="b">
        <f>AND(IF(Metadata!E392="",FALSE,TRUE),OR(EXACT(Metadata!E392,"a"),EXACT(Metadata!E392,"b")))</f>
        <v>0</v>
      </c>
      <c r="U392" t="b">
        <f>OR(AND(IF(Metadata!F392="",FALSE,TRUE),OR(EXACT(Metadata!F392,"missing: not collected"),EXACT(Metadata!F392,"missing: not provided"))),AND(IF(Metadata!F392="",FALSE,TRUE),OR(EXACT(Metadata!F392,"lo"),EXACT(Metadata!F392,"med"),EXACT(Metadata!F392,"hi"))))</f>
        <v>0</v>
      </c>
    </row>
    <row r="393" spans="1:21" x14ac:dyDescent="0.2">
      <c r="A393" s="4" t="str">
        <f ca="1">IF(B393=" "," ",HYPERLINK(CONCATENATE("#metadata!",ADDRESS(INDEX($L$2:$L$1001,MATCH(ROWS($J$2:J393),$J$2:$J$1001,0),0),1)),INDEX($O$2:$O$1001,MATCH(ROWS($J$2:J393),$J$2:$J$1001,0),0)))</f>
        <v xml:space="preserve"> </v>
      </c>
      <c r="B393" s="3" t="str">
        <f ca="1">IF(OR(INDEX($K$2:$K$1001,MATCH(ROWS($J$2:J393),$J$2:$J$1001,0),1)&gt;=100000,INDEX($Q$1005:$U$1005,1,MATCH(COLUMNS($Q$1006:Q1006),$Q$1006:$U$1006,0))&gt;=100000), " ",IF(INDEX($Q$2:$U$1001,MATCH(ROWS($J$2:J393),$J$2:$J$1001,0),MATCH(COLUMNS($Q$1006:Q1006),$Q$1006:$U$1006,0)), HYPERLINK("#",""), HYPERLINK(CONCATENATE("#Metadata!", ADDRESS(INDEX($L$2:$L$1001,MATCH(ROWS($J$2:J393),$J$2:$J$1001,0),0), INDEX($Q$1004:$U$1004,1,MATCH(COLUMNS($Q$1006:Q1006),$Q$1006:$U$1006,0)))),"Fix")))</f>
        <v xml:space="preserve"> </v>
      </c>
      <c r="C393" s="3" t="str">
        <f ca="1">IF(OR(INDEX($K$2:$K$1001,MATCH(ROWS($J$2:J393),$J$2:$J$1001,0),1)&gt;=100000,INDEX($Q$1005:$U$1005,1,MATCH(COLUMNS($Q$1006:R1006),$Q$1006:$U$1006,0))&gt;=100000), " ",IF(INDEX($Q$2:$U$1001,MATCH(ROWS($J$2:J393),$J$2:$J$1001,0),MATCH(COLUMNS($Q$1006:R1006),$Q$1006:$U$1006,0)), HYPERLINK("#",""), HYPERLINK(CONCATENATE("#Metadata!", ADDRESS(INDEX($L$2:$L$1001,MATCH(ROWS($J$2:J393),$J$2:$J$1001,0),0), INDEX($Q$1004:$U$1004,1,MATCH(COLUMNS($Q$1006:R1006),$Q$1006:$U$1006,0)))),"Fix")))</f>
        <v xml:space="preserve"> </v>
      </c>
      <c r="D393" s="3" t="str">
        <f ca="1">IF(OR(INDEX($K$2:$K$1001,MATCH(ROWS($J$2:J393),$J$2:$J$1001,0),1)&gt;=100000,INDEX($Q$1005:$U$1005,1,MATCH(COLUMNS($Q$1006:S1006),$Q$1006:$U$1006,0))&gt;=100000), " ",IF(INDEX($Q$2:$U$1001,MATCH(ROWS($J$2:J393),$J$2:$J$1001,0),MATCH(COLUMNS($Q$1006:S1006),$Q$1006:$U$1006,0)), HYPERLINK("#",""), HYPERLINK(CONCATENATE("#Metadata!", ADDRESS(INDEX($L$2:$L$1001,MATCH(ROWS($J$2:J393),$J$2:$J$1001,0),0), INDEX($Q$1004:$U$1004,1,MATCH(COLUMNS($Q$1006:S1006),$Q$1006:$U$1006,0)))),"Fix")))</f>
        <v xml:space="preserve"> </v>
      </c>
      <c r="E393" s="3" t="str">
        <f ca="1">IF(OR(INDEX($K$2:$K$1001,MATCH(ROWS($J$2:J393),$J$2:$J$1001,0),1)&gt;=100000,INDEX($Q$1005:$U$1005,1,MATCH(COLUMNS($Q$1006:T1006),$Q$1006:$U$1006,0))&gt;=100000), " ",IF(INDEX($Q$2:$U$1001,MATCH(ROWS($J$2:J393),$J$2:$J$1001,0),MATCH(COLUMNS($Q$1006:T1006),$Q$1006:$U$1006,0)), HYPERLINK("#",""), HYPERLINK(CONCATENATE("#Metadata!", ADDRESS(INDEX($L$2:$L$1001,MATCH(ROWS($J$2:J393),$J$2:$J$1001,0),0), INDEX($Q$1004:$U$1004,1,MATCH(COLUMNS($Q$1006:T1006),$Q$1006:$U$1006,0)))),"Fix")))</f>
        <v xml:space="preserve"> </v>
      </c>
      <c r="F393" s="3" t="str">
        <f ca="1">IF(OR(INDEX($K$2:$K$1001,MATCH(ROWS($J$2:J393),$J$2:$J$1001,0),1)&gt;=100000,INDEX($Q$1005:$U$1005,1,MATCH(COLUMNS($Q$1006:U1006),$Q$1006:$U$1006,0))&gt;=100000), " ",IF(INDEX($Q$2:$U$1001,MATCH(ROWS($J$2:J393),$J$2:$J$1001,0),MATCH(COLUMNS($Q$1006:U1006),$Q$1006:$U$1006,0)), HYPERLINK("#",""), HYPERLINK(CONCATENATE("#Metadata!", ADDRESS(INDEX($L$2:$L$1001,MATCH(ROWS($J$2:J393),$J$2:$J$1001,0),0), INDEX($Q$1004:$U$1004,1,MATCH(COLUMNS($Q$1006:U1006),$Q$1006:$U$1006,0)))),"Fix")))</f>
        <v xml:space="preserve"> </v>
      </c>
      <c r="J393">
        <f ca="1"/>
        <v>392</v>
      </c>
      <c r="K393">
        <v>100393</v>
      </c>
      <c r="L393">
        <v>393</v>
      </c>
      <c r="M393" t="b">
        <f t="shared" si="6"/>
        <v>1</v>
      </c>
      <c r="N393" t="b">
        <f>COUNTBLANK(Metadata!B393:F393)=COLUMNS(Metadata!B393:F393)</f>
        <v>1</v>
      </c>
      <c r="O393" t="str">
        <v/>
      </c>
      <c r="Q393" t="b">
        <f ca="1"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R393" t="b">
        <f>IF(Metadata!C393="",FALSE,TRUE)</f>
        <v>0</v>
      </c>
      <c r="S393" t="b">
        <f>OR(AND(IF(Metadata!D393="",FALSE,TRUE),EXACT(Metadata!D393,"missing: not collected")),AND(IF(Metadata!D393="",FALSE,TRUE),OR(EXACT(Metadata!D393,"t"),EXACT(Metadata!D393,"f"))))</f>
        <v>0</v>
      </c>
      <c r="T393" t="b">
        <f>AND(IF(Metadata!E393="",FALSE,TRUE),OR(EXACT(Metadata!E393,"a"),EXACT(Metadata!E393,"b")))</f>
        <v>0</v>
      </c>
      <c r="U393" t="b">
        <f>OR(AND(IF(Metadata!F393="",FALSE,TRUE),OR(EXACT(Metadata!F393,"missing: not collected"),EXACT(Metadata!F393,"missing: not provided"))),AND(IF(Metadata!F393="",FALSE,TRUE),OR(EXACT(Metadata!F393,"lo"),EXACT(Metadata!F393,"med"),EXACT(Metadata!F393,"hi"))))</f>
        <v>0</v>
      </c>
    </row>
    <row r="394" spans="1:21" x14ac:dyDescent="0.2">
      <c r="A394" s="4" t="str">
        <f ca="1">IF(B394=" "," ",HYPERLINK(CONCATENATE("#metadata!",ADDRESS(INDEX($L$2:$L$1001,MATCH(ROWS($J$2:J394),$J$2:$J$1001,0),0),1)),INDEX($O$2:$O$1001,MATCH(ROWS($J$2:J394),$J$2:$J$1001,0),0)))</f>
        <v xml:space="preserve"> </v>
      </c>
      <c r="B394" s="3" t="str">
        <f ca="1">IF(OR(INDEX($K$2:$K$1001,MATCH(ROWS($J$2:J394),$J$2:$J$1001,0),1)&gt;=100000,INDEX($Q$1005:$U$1005,1,MATCH(COLUMNS($Q$1006:Q1006),$Q$1006:$U$1006,0))&gt;=100000), " ",IF(INDEX($Q$2:$U$1001,MATCH(ROWS($J$2:J394),$J$2:$J$1001,0),MATCH(COLUMNS($Q$1006:Q1006),$Q$1006:$U$1006,0)), HYPERLINK("#",""), HYPERLINK(CONCATENATE("#Metadata!", ADDRESS(INDEX($L$2:$L$1001,MATCH(ROWS($J$2:J394),$J$2:$J$1001,0),0), INDEX($Q$1004:$U$1004,1,MATCH(COLUMNS($Q$1006:Q1006),$Q$1006:$U$1006,0)))),"Fix")))</f>
        <v xml:space="preserve"> </v>
      </c>
      <c r="C394" s="3" t="str">
        <f ca="1">IF(OR(INDEX($K$2:$K$1001,MATCH(ROWS($J$2:J394),$J$2:$J$1001,0),1)&gt;=100000,INDEX($Q$1005:$U$1005,1,MATCH(COLUMNS($Q$1006:R1006),$Q$1006:$U$1006,0))&gt;=100000), " ",IF(INDEX($Q$2:$U$1001,MATCH(ROWS($J$2:J394),$J$2:$J$1001,0),MATCH(COLUMNS($Q$1006:R1006),$Q$1006:$U$1006,0)), HYPERLINK("#",""), HYPERLINK(CONCATENATE("#Metadata!", ADDRESS(INDEX($L$2:$L$1001,MATCH(ROWS($J$2:J394),$J$2:$J$1001,0),0), INDEX($Q$1004:$U$1004,1,MATCH(COLUMNS($Q$1006:R1006),$Q$1006:$U$1006,0)))),"Fix")))</f>
        <v xml:space="preserve"> </v>
      </c>
      <c r="D394" s="3" t="str">
        <f ca="1">IF(OR(INDEX($K$2:$K$1001,MATCH(ROWS($J$2:J394),$J$2:$J$1001,0),1)&gt;=100000,INDEX($Q$1005:$U$1005,1,MATCH(COLUMNS($Q$1006:S1006),$Q$1006:$U$1006,0))&gt;=100000), " ",IF(INDEX($Q$2:$U$1001,MATCH(ROWS($J$2:J394),$J$2:$J$1001,0),MATCH(COLUMNS($Q$1006:S1006),$Q$1006:$U$1006,0)), HYPERLINK("#",""), HYPERLINK(CONCATENATE("#Metadata!", ADDRESS(INDEX($L$2:$L$1001,MATCH(ROWS($J$2:J394),$J$2:$J$1001,0),0), INDEX($Q$1004:$U$1004,1,MATCH(COLUMNS($Q$1006:S1006),$Q$1006:$U$1006,0)))),"Fix")))</f>
        <v xml:space="preserve"> </v>
      </c>
      <c r="E394" s="3" t="str">
        <f ca="1">IF(OR(INDEX($K$2:$K$1001,MATCH(ROWS($J$2:J394),$J$2:$J$1001,0),1)&gt;=100000,INDEX($Q$1005:$U$1005,1,MATCH(COLUMNS($Q$1006:T1006),$Q$1006:$U$1006,0))&gt;=100000), " ",IF(INDEX($Q$2:$U$1001,MATCH(ROWS($J$2:J394),$J$2:$J$1001,0),MATCH(COLUMNS($Q$1006:T1006),$Q$1006:$U$1006,0)), HYPERLINK("#",""), HYPERLINK(CONCATENATE("#Metadata!", ADDRESS(INDEX($L$2:$L$1001,MATCH(ROWS($J$2:J394),$J$2:$J$1001,0),0), INDEX($Q$1004:$U$1004,1,MATCH(COLUMNS($Q$1006:T1006),$Q$1006:$U$1006,0)))),"Fix")))</f>
        <v xml:space="preserve"> </v>
      </c>
      <c r="F394" s="3" t="str">
        <f ca="1">IF(OR(INDEX($K$2:$K$1001,MATCH(ROWS($J$2:J394),$J$2:$J$1001,0),1)&gt;=100000,INDEX($Q$1005:$U$1005,1,MATCH(COLUMNS($Q$1006:U1006),$Q$1006:$U$1006,0))&gt;=100000), " ",IF(INDEX($Q$2:$U$1001,MATCH(ROWS($J$2:J394),$J$2:$J$1001,0),MATCH(COLUMNS($Q$1006:U1006),$Q$1006:$U$1006,0)), HYPERLINK("#",""), HYPERLINK(CONCATENATE("#Metadata!", ADDRESS(INDEX($L$2:$L$1001,MATCH(ROWS($J$2:J394),$J$2:$J$1001,0),0), INDEX($Q$1004:$U$1004,1,MATCH(COLUMNS($Q$1006:U1006),$Q$1006:$U$1006,0)))),"Fix")))</f>
        <v xml:space="preserve"> </v>
      </c>
      <c r="J394">
        <f ca="1"/>
        <v>393</v>
      </c>
      <c r="K394">
        <v>100394</v>
      </c>
      <c r="L394">
        <v>394</v>
      </c>
      <c r="M394" t="b">
        <f t="shared" si="6"/>
        <v>1</v>
      </c>
      <c r="N394" t="b">
        <f>COUNTBLANK(Metadata!B394:F394)=COLUMNS(Metadata!B394:F394)</f>
        <v>1</v>
      </c>
      <c r="O394" t="str">
        <v/>
      </c>
      <c r="Q394" t="b">
        <f ca="1"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R394" t="b">
        <f>IF(Metadata!C394="",FALSE,TRUE)</f>
        <v>0</v>
      </c>
      <c r="S394" t="b">
        <f>OR(AND(IF(Metadata!D394="",FALSE,TRUE),EXACT(Metadata!D394,"missing: not collected")),AND(IF(Metadata!D394="",FALSE,TRUE),OR(EXACT(Metadata!D394,"t"),EXACT(Metadata!D394,"f"))))</f>
        <v>0</v>
      </c>
      <c r="T394" t="b">
        <f>AND(IF(Metadata!E394="",FALSE,TRUE),OR(EXACT(Metadata!E394,"a"),EXACT(Metadata!E394,"b")))</f>
        <v>0</v>
      </c>
      <c r="U394" t="b">
        <f>OR(AND(IF(Metadata!F394="",FALSE,TRUE),OR(EXACT(Metadata!F394,"missing: not collected"),EXACT(Metadata!F394,"missing: not provided"))),AND(IF(Metadata!F394="",FALSE,TRUE),OR(EXACT(Metadata!F394,"lo"),EXACT(Metadata!F394,"med"),EXACT(Metadata!F394,"hi"))))</f>
        <v>0</v>
      </c>
    </row>
    <row r="395" spans="1:21" x14ac:dyDescent="0.2">
      <c r="A395" s="4" t="str">
        <f ca="1">IF(B395=" "," ",HYPERLINK(CONCATENATE("#metadata!",ADDRESS(INDEX($L$2:$L$1001,MATCH(ROWS($J$2:J395),$J$2:$J$1001,0),0),1)),INDEX($O$2:$O$1001,MATCH(ROWS($J$2:J395),$J$2:$J$1001,0),0)))</f>
        <v xml:space="preserve"> </v>
      </c>
      <c r="B395" s="3" t="str">
        <f ca="1">IF(OR(INDEX($K$2:$K$1001,MATCH(ROWS($J$2:J395),$J$2:$J$1001,0),1)&gt;=100000,INDEX($Q$1005:$U$1005,1,MATCH(COLUMNS($Q$1006:Q1006),$Q$1006:$U$1006,0))&gt;=100000), " ",IF(INDEX($Q$2:$U$1001,MATCH(ROWS($J$2:J395),$J$2:$J$1001,0),MATCH(COLUMNS($Q$1006:Q1006),$Q$1006:$U$1006,0)), HYPERLINK("#",""), HYPERLINK(CONCATENATE("#Metadata!", ADDRESS(INDEX($L$2:$L$1001,MATCH(ROWS($J$2:J395),$J$2:$J$1001,0),0), INDEX($Q$1004:$U$1004,1,MATCH(COLUMNS($Q$1006:Q1006),$Q$1006:$U$1006,0)))),"Fix")))</f>
        <v xml:space="preserve"> </v>
      </c>
      <c r="C395" s="3" t="str">
        <f ca="1">IF(OR(INDEX($K$2:$K$1001,MATCH(ROWS($J$2:J395),$J$2:$J$1001,0),1)&gt;=100000,INDEX($Q$1005:$U$1005,1,MATCH(COLUMNS($Q$1006:R1006),$Q$1006:$U$1006,0))&gt;=100000), " ",IF(INDEX($Q$2:$U$1001,MATCH(ROWS($J$2:J395),$J$2:$J$1001,0),MATCH(COLUMNS($Q$1006:R1006),$Q$1006:$U$1006,0)), HYPERLINK("#",""), HYPERLINK(CONCATENATE("#Metadata!", ADDRESS(INDEX($L$2:$L$1001,MATCH(ROWS($J$2:J395),$J$2:$J$1001,0),0), INDEX($Q$1004:$U$1004,1,MATCH(COLUMNS($Q$1006:R1006),$Q$1006:$U$1006,0)))),"Fix")))</f>
        <v xml:space="preserve"> </v>
      </c>
      <c r="D395" s="3" t="str">
        <f ca="1">IF(OR(INDEX($K$2:$K$1001,MATCH(ROWS($J$2:J395),$J$2:$J$1001,0),1)&gt;=100000,INDEX($Q$1005:$U$1005,1,MATCH(COLUMNS($Q$1006:S1006),$Q$1006:$U$1006,0))&gt;=100000), " ",IF(INDEX($Q$2:$U$1001,MATCH(ROWS($J$2:J395),$J$2:$J$1001,0),MATCH(COLUMNS($Q$1006:S1006),$Q$1006:$U$1006,0)), HYPERLINK("#",""), HYPERLINK(CONCATENATE("#Metadata!", ADDRESS(INDEX($L$2:$L$1001,MATCH(ROWS($J$2:J395),$J$2:$J$1001,0),0), INDEX($Q$1004:$U$1004,1,MATCH(COLUMNS($Q$1006:S1006),$Q$1006:$U$1006,0)))),"Fix")))</f>
        <v xml:space="preserve"> </v>
      </c>
      <c r="E395" s="3" t="str">
        <f ca="1">IF(OR(INDEX($K$2:$K$1001,MATCH(ROWS($J$2:J395),$J$2:$J$1001,0),1)&gt;=100000,INDEX($Q$1005:$U$1005,1,MATCH(COLUMNS($Q$1006:T1006),$Q$1006:$U$1006,0))&gt;=100000), " ",IF(INDEX($Q$2:$U$1001,MATCH(ROWS($J$2:J395),$J$2:$J$1001,0),MATCH(COLUMNS($Q$1006:T1006),$Q$1006:$U$1006,0)), HYPERLINK("#",""), HYPERLINK(CONCATENATE("#Metadata!", ADDRESS(INDEX($L$2:$L$1001,MATCH(ROWS($J$2:J395),$J$2:$J$1001,0),0), INDEX($Q$1004:$U$1004,1,MATCH(COLUMNS($Q$1006:T1006),$Q$1006:$U$1006,0)))),"Fix")))</f>
        <v xml:space="preserve"> </v>
      </c>
      <c r="F395" s="3" t="str">
        <f ca="1">IF(OR(INDEX($K$2:$K$1001,MATCH(ROWS($J$2:J395),$J$2:$J$1001,0),1)&gt;=100000,INDEX($Q$1005:$U$1005,1,MATCH(COLUMNS($Q$1006:U1006),$Q$1006:$U$1006,0))&gt;=100000), " ",IF(INDEX($Q$2:$U$1001,MATCH(ROWS($J$2:J395),$J$2:$J$1001,0),MATCH(COLUMNS($Q$1006:U1006),$Q$1006:$U$1006,0)), HYPERLINK("#",""), HYPERLINK(CONCATENATE("#Metadata!", ADDRESS(INDEX($L$2:$L$1001,MATCH(ROWS($J$2:J395),$J$2:$J$1001,0),0), INDEX($Q$1004:$U$1004,1,MATCH(COLUMNS($Q$1006:U1006),$Q$1006:$U$1006,0)))),"Fix")))</f>
        <v xml:space="preserve"> </v>
      </c>
      <c r="J395">
        <f ca="1"/>
        <v>394</v>
      </c>
      <c r="K395">
        <v>100395</v>
      </c>
      <c r="L395">
        <v>395</v>
      </c>
      <c r="M395" t="b">
        <f t="shared" si="6"/>
        <v>1</v>
      </c>
      <c r="N395" t="b">
        <f>COUNTBLANK(Metadata!B395:F395)=COLUMNS(Metadata!B395:F395)</f>
        <v>1</v>
      </c>
      <c r="O395" t="str">
        <v/>
      </c>
      <c r="Q395" t="b">
        <f ca="1"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R395" t="b">
        <f>IF(Metadata!C395="",FALSE,TRUE)</f>
        <v>0</v>
      </c>
      <c r="S395" t="b">
        <f>OR(AND(IF(Metadata!D395="",FALSE,TRUE),EXACT(Metadata!D395,"missing: not collected")),AND(IF(Metadata!D395="",FALSE,TRUE),OR(EXACT(Metadata!D395,"t"),EXACT(Metadata!D395,"f"))))</f>
        <v>0</v>
      </c>
      <c r="T395" t="b">
        <f>AND(IF(Metadata!E395="",FALSE,TRUE),OR(EXACT(Metadata!E395,"a"),EXACT(Metadata!E395,"b")))</f>
        <v>0</v>
      </c>
      <c r="U395" t="b">
        <f>OR(AND(IF(Metadata!F395="",FALSE,TRUE),OR(EXACT(Metadata!F395,"missing: not collected"),EXACT(Metadata!F395,"missing: not provided"))),AND(IF(Metadata!F395="",FALSE,TRUE),OR(EXACT(Metadata!F395,"lo"),EXACT(Metadata!F395,"med"),EXACT(Metadata!F395,"hi"))))</f>
        <v>0</v>
      </c>
    </row>
    <row r="396" spans="1:21" x14ac:dyDescent="0.2">
      <c r="A396" s="4" t="str">
        <f ca="1">IF(B396=" "," ",HYPERLINK(CONCATENATE("#metadata!",ADDRESS(INDEX($L$2:$L$1001,MATCH(ROWS($J$2:J396),$J$2:$J$1001,0),0),1)),INDEX($O$2:$O$1001,MATCH(ROWS($J$2:J396),$J$2:$J$1001,0),0)))</f>
        <v xml:space="preserve"> </v>
      </c>
      <c r="B396" s="3" t="str">
        <f ca="1">IF(OR(INDEX($K$2:$K$1001,MATCH(ROWS($J$2:J396),$J$2:$J$1001,0),1)&gt;=100000,INDEX($Q$1005:$U$1005,1,MATCH(COLUMNS($Q$1006:Q1006),$Q$1006:$U$1006,0))&gt;=100000), " ",IF(INDEX($Q$2:$U$1001,MATCH(ROWS($J$2:J396),$J$2:$J$1001,0),MATCH(COLUMNS($Q$1006:Q1006),$Q$1006:$U$1006,0)), HYPERLINK("#",""), HYPERLINK(CONCATENATE("#Metadata!", ADDRESS(INDEX($L$2:$L$1001,MATCH(ROWS($J$2:J396),$J$2:$J$1001,0),0), INDEX($Q$1004:$U$1004,1,MATCH(COLUMNS($Q$1006:Q1006),$Q$1006:$U$1006,0)))),"Fix")))</f>
        <v xml:space="preserve"> </v>
      </c>
      <c r="C396" s="3" t="str">
        <f ca="1">IF(OR(INDEX($K$2:$K$1001,MATCH(ROWS($J$2:J396),$J$2:$J$1001,0),1)&gt;=100000,INDEX($Q$1005:$U$1005,1,MATCH(COLUMNS($Q$1006:R1006),$Q$1006:$U$1006,0))&gt;=100000), " ",IF(INDEX($Q$2:$U$1001,MATCH(ROWS($J$2:J396),$J$2:$J$1001,0),MATCH(COLUMNS($Q$1006:R1006),$Q$1006:$U$1006,0)), HYPERLINK("#",""), HYPERLINK(CONCATENATE("#Metadata!", ADDRESS(INDEX($L$2:$L$1001,MATCH(ROWS($J$2:J396),$J$2:$J$1001,0),0), INDEX($Q$1004:$U$1004,1,MATCH(COLUMNS($Q$1006:R1006),$Q$1006:$U$1006,0)))),"Fix")))</f>
        <v xml:space="preserve"> </v>
      </c>
      <c r="D396" s="3" t="str">
        <f ca="1">IF(OR(INDEX($K$2:$K$1001,MATCH(ROWS($J$2:J396),$J$2:$J$1001,0),1)&gt;=100000,INDEX($Q$1005:$U$1005,1,MATCH(COLUMNS($Q$1006:S1006),$Q$1006:$U$1006,0))&gt;=100000), " ",IF(INDEX($Q$2:$U$1001,MATCH(ROWS($J$2:J396),$J$2:$J$1001,0),MATCH(COLUMNS($Q$1006:S1006),$Q$1006:$U$1006,0)), HYPERLINK("#",""), HYPERLINK(CONCATENATE("#Metadata!", ADDRESS(INDEX($L$2:$L$1001,MATCH(ROWS($J$2:J396),$J$2:$J$1001,0),0), INDEX($Q$1004:$U$1004,1,MATCH(COLUMNS($Q$1006:S1006),$Q$1006:$U$1006,0)))),"Fix")))</f>
        <v xml:space="preserve"> </v>
      </c>
      <c r="E396" s="3" t="str">
        <f ca="1">IF(OR(INDEX($K$2:$K$1001,MATCH(ROWS($J$2:J396),$J$2:$J$1001,0),1)&gt;=100000,INDEX($Q$1005:$U$1005,1,MATCH(COLUMNS($Q$1006:T1006),$Q$1006:$U$1006,0))&gt;=100000), " ",IF(INDEX($Q$2:$U$1001,MATCH(ROWS($J$2:J396),$J$2:$J$1001,0),MATCH(COLUMNS($Q$1006:T1006),$Q$1006:$U$1006,0)), HYPERLINK("#",""), HYPERLINK(CONCATENATE("#Metadata!", ADDRESS(INDEX($L$2:$L$1001,MATCH(ROWS($J$2:J396),$J$2:$J$1001,0),0), INDEX($Q$1004:$U$1004,1,MATCH(COLUMNS($Q$1006:T1006),$Q$1006:$U$1006,0)))),"Fix")))</f>
        <v xml:space="preserve"> </v>
      </c>
      <c r="F396" s="3" t="str">
        <f ca="1">IF(OR(INDEX($K$2:$K$1001,MATCH(ROWS($J$2:J396),$J$2:$J$1001,0),1)&gt;=100000,INDEX($Q$1005:$U$1005,1,MATCH(COLUMNS($Q$1006:U1006),$Q$1006:$U$1006,0))&gt;=100000), " ",IF(INDEX($Q$2:$U$1001,MATCH(ROWS($J$2:J396),$J$2:$J$1001,0),MATCH(COLUMNS($Q$1006:U1006),$Q$1006:$U$1006,0)), HYPERLINK("#",""), HYPERLINK(CONCATENATE("#Metadata!", ADDRESS(INDEX($L$2:$L$1001,MATCH(ROWS($J$2:J396),$J$2:$J$1001,0),0), INDEX($Q$1004:$U$1004,1,MATCH(COLUMNS($Q$1006:U1006),$Q$1006:$U$1006,0)))),"Fix")))</f>
        <v xml:space="preserve"> </v>
      </c>
      <c r="J396">
        <f ca="1"/>
        <v>395</v>
      </c>
      <c r="K396">
        <v>100396</v>
      </c>
      <c r="L396">
        <v>396</v>
      </c>
      <c r="M396" t="b">
        <f t="shared" si="6"/>
        <v>1</v>
      </c>
      <c r="N396" t="b">
        <f>COUNTBLANK(Metadata!B396:F396)=COLUMNS(Metadata!B396:F396)</f>
        <v>1</v>
      </c>
      <c r="O396" t="str">
        <v/>
      </c>
      <c r="Q396" t="b">
        <f ca="1"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R396" t="b">
        <f>IF(Metadata!C396="",FALSE,TRUE)</f>
        <v>0</v>
      </c>
      <c r="S396" t="b">
        <f>OR(AND(IF(Metadata!D396="",FALSE,TRUE),EXACT(Metadata!D396,"missing: not collected")),AND(IF(Metadata!D396="",FALSE,TRUE),OR(EXACT(Metadata!D396,"t"),EXACT(Metadata!D396,"f"))))</f>
        <v>0</v>
      </c>
      <c r="T396" t="b">
        <f>AND(IF(Metadata!E396="",FALSE,TRUE),OR(EXACT(Metadata!E396,"a"),EXACT(Metadata!E396,"b")))</f>
        <v>0</v>
      </c>
      <c r="U396" t="b">
        <f>OR(AND(IF(Metadata!F396="",FALSE,TRUE),OR(EXACT(Metadata!F396,"missing: not collected"),EXACT(Metadata!F396,"missing: not provided"))),AND(IF(Metadata!F396="",FALSE,TRUE),OR(EXACT(Metadata!F396,"lo"),EXACT(Metadata!F396,"med"),EXACT(Metadata!F396,"hi"))))</f>
        <v>0</v>
      </c>
    </row>
    <row r="397" spans="1:21" x14ac:dyDescent="0.2">
      <c r="A397" s="4" t="str">
        <f ca="1">IF(B397=" "," ",HYPERLINK(CONCATENATE("#metadata!",ADDRESS(INDEX($L$2:$L$1001,MATCH(ROWS($J$2:J397),$J$2:$J$1001,0),0),1)),INDEX($O$2:$O$1001,MATCH(ROWS($J$2:J397),$J$2:$J$1001,0),0)))</f>
        <v xml:space="preserve"> </v>
      </c>
      <c r="B397" s="3" t="str">
        <f ca="1">IF(OR(INDEX($K$2:$K$1001,MATCH(ROWS($J$2:J397),$J$2:$J$1001,0),1)&gt;=100000,INDEX($Q$1005:$U$1005,1,MATCH(COLUMNS($Q$1006:Q1006),$Q$1006:$U$1006,0))&gt;=100000), " ",IF(INDEX($Q$2:$U$1001,MATCH(ROWS($J$2:J397),$J$2:$J$1001,0),MATCH(COLUMNS($Q$1006:Q1006),$Q$1006:$U$1006,0)), HYPERLINK("#",""), HYPERLINK(CONCATENATE("#Metadata!", ADDRESS(INDEX($L$2:$L$1001,MATCH(ROWS($J$2:J397),$J$2:$J$1001,0),0), INDEX($Q$1004:$U$1004,1,MATCH(COLUMNS($Q$1006:Q1006),$Q$1006:$U$1006,0)))),"Fix")))</f>
        <v xml:space="preserve"> </v>
      </c>
      <c r="C397" s="3" t="str">
        <f ca="1">IF(OR(INDEX($K$2:$K$1001,MATCH(ROWS($J$2:J397),$J$2:$J$1001,0),1)&gt;=100000,INDEX($Q$1005:$U$1005,1,MATCH(COLUMNS($Q$1006:R1006),$Q$1006:$U$1006,0))&gt;=100000), " ",IF(INDEX($Q$2:$U$1001,MATCH(ROWS($J$2:J397),$J$2:$J$1001,0),MATCH(COLUMNS($Q$1006:R1006),$Q$1006:$U$1006,0)), HYPERLINK("#",""), HYPERLINK(CONCATENATE("#Metadata!", ADDRESS(INDEX($L$2:$L$1001,MATCH(ROWS($J$2:J397),$J$2:$J$1001,0),0), INDEX($Q$1004:$U$1004,1,MATCH(COLUMNS($Q$1006:R1006),$Q$1006:$U$1006,0)))),"Fix")))</f>
        <v xml:space="preserve"> </v>
      </c>
      <c r="D397" s="3" t="str">
        <f ca="1">IF(OR(INDEX($K$2:$K$1001,MATCH(ROWS($J$2:J397),$J$2:$J$1001,0),1)&gt;=100000,INDEX($Q$1005:$U$1005,1,MATCH(COLUMNS($Q$1006:S1006),$Q$1006:$U$1006,0))&gt;=100000), " ",IF(INDEX($Q$2:$U$1001,MATCH(ROWS($J$2:J397),$J$2:$J$1001,0),MATCH(COLUMNS($Q$1006:S1006),$Q$1006:$U$1006,0)), HYPERLINK("#",""), HYPERLINK(CONCATENATE("#Metadata!", ADDRESS(INDEX($L$2:$L$1001,MATCH(ROWS($J$2:J397),$J$2:$J$1001,0),0), INDEX($Q$1004:$U$1004,1,MATCH(COLUMNS($Q$1006:S1006),$Q$1006:$U$1006,0)))),"Fix")))</f>
        <v xml:space="preserve"> </v>
      </c>
      <c r="E397" s="3" t="str">
        <f ca="1">IF(OR(INDEX($K$2:$K$1001,MATCH(ROWS($J$2:J397),$J$2:$J$1001,0),1)&gt;=100000,INDEX($Q$1005:$U$1005,1,MATCH(COLUMNS($Q$1006:T1006),$Q$1006:$U$1006,0))&gt;=100000), " ",IF(INDEX($Q$2:$U$1001,MATCH(ROWS($J$2:J397),$J$2:$J$1001,0),MATCH(COLUMNS($Q$1006:T1006),$Q$1006:$U$1006,0)), HYPERLINK("#",""), HYPERLINK(CONCATENATE("#Metadata!", ADDRESS(INDEX($L$2:$L$1001,MATCH(ROWS($J$2:J397),$J$2:$J$1001,0),0), INDEX($Q$1004:$U$1004,1,MATCH(COLUMNS($Q$1006:T1006),$Q$1006:$U$1006,0)))),"Fix")))</f>
        <v xml:space="preserve"> </v>
      </c>
      <c r="F397" s="3" t="str">
        <f ca="1">IF(OR(INDEX($K$2:$K$1001,MATCH(ROWS($J$2:J397),$J$2:$J$1001,0),1)&gt;=100000,INDEX($Q$1005:$U$1005,1,MATCH(COLUMNS($Q$1006:U1006),$Q$1006:$U$1006,0))&gt;=100000), " ",IF(INDEX($Q$2:$U$1001,MATCH(ROWS($J$2:J397),$J$2:$J$1001,0),MATCH(COLUMNS($Q$1006:U1006),$Q$1006:$U$1006,0)), HYPERLINK("#",""), HYPERLINK(CONCATENATE("#Metadata!", ADDRESS(INDEX($L$2:$L$1001,MATCH(ROWS($J$2:J397),$J$2:$J$1001,0),0), INDEX($Q$1004:$U$1004,1,MATCH(COLUMNS($Q$1006:U1006),$Q$1006:$U$1006,0)))),"Fix")))</f>
        <v xml:space="preserve"> </v>
      </c>
      <c r="J397">
        <f ca="1"/>
        <v>396</v>
      </c>
      <c r="K397">
        <v>100397</v>
      </c>
      <c r="L397">
        <v>397</v>
      </c>
      <c r="M397" t="b">
        <f t="shared" si="6"/>
        <v>1</v>
      </c>
      <c r="N397" t="b">
        <f>COUNTBLANK(Metadata!B397:F397)=COLUMNS(Metadata!B397:F397)</f>
        <v>1</v>
      </c>
      <c r="O397" t="str">
        <v/>
      </c>
      <c r="Q397" t="b">
        <f ca="1"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R397" t="b">
        <f>IF(Metadata!C397="",FALSE,TRUE)</f>
        <v>0</v>
      </c>
      <c r="S397" t="b">
        <f>OR(AND(IF(Metadata!D397="",FALSE,TRUE),EXACT(Metadata!D397,"missing: not collected")),AND(IF(Metadata!D397="",FALSE,TRUE),OR(EXACT(Metadata!D397,"t"),EXACT(Metadata!D397,"f"))))</f>
        <v>0</v>
      </c>
      <c r="T397" t="b">
        <f>AND(IF(Metadata!E397="",FALSE,TRUE),OR(EXACT(Metadata!E397,"a"),EXACT(Metadata!E397,"b")))</f>
        <v>0</v>
      </c>
      <c r="U397" t="b">
        <f>OR(AND(IF(Metadata!F397="",FALSE,TRUE),OR(EXACT(Metadata!F397,"missing: not collected"),EXACT(Metadata!F397,"missing: not provided"))),AND(IF(Metadata!F397="",FALSE,TRUE),OR(EXACT(Metadata!F397,"lo"),EXACT(Metadata!F397,"med"),EXACT(Metadata!F397,"hi"))))</f>
        <v>0</v>
      </c>
    </row>
    <row r="398" spans="1:21" x14ac:dyDescent="0.2">
      <c r="A398" s="4" t="str">
        <f ca="1">IF(B398=" "," ",HYPERLINK(CONCATENATE("#metadata!",ADDRESS(INDEX($L$2:$L$1001,MATCH(ROWS($J$2:J398),$J$2:$J$1001,0),0),1)),INDEX($O$2:$O$1001,MATCH(ROWS($J$2:J398),$J$2:$J$1001,0),0)))</f>
        <v xml:space="preserve"> </v>
      </c>
      <c r="B398" s="3" t="str">
        <f ca="1">IF(OR(INDEX($K$2:$K$1001,MATCH(ROWS($J$2:J398),$J$2:$J$1001,0),1)&gt;=100000,INDEX($Q$1005:$U$1005,1,MATCH(COLUMNS($Q$1006:Q1006),$Q$1006:$U$1006,0))&gt;=100000), " ",IF(INDEX($Q$2:$U$1001,MATCH(ROWS($J$2:J398),$J$2:$J$1001,0),MATCH(COLUMNS($Q$1006:Q1006),$Q$1006:$U$1006,0)), HYPERLINK("#",""), HYPERLINK(CONCATENATE("#Metadata!", ADDRESS(INDEX($L$2:$L$1001,MATCH(ROWS($J$2:J398),$J$2:$J$1001,0),0), INDEX($Q$1004:$U$1004,1,MATCH(COLUMNS($Q$1006:Q1006),$Q$1006:$U$1006,0)))),"Fix")))</f>
        <v xml:space="preserve"> </v>
      </c>
      <c r="C398" s="3" t="str">
        <f ca="1">IF(OR(INDEX($K$2:$K$1001,MATCH(ROWS($J$2:J398),$J$2:$J$1001,0),1)&gt;=100000,INDEX($Q$1005:$U$1005,1,MATCH(COLUMNS($Q$1006:R1006),$Q$1006:$U$1006,0))&gt;=100000), " ",IF(INDEX($Q$2:$U$1001,MATCH(ROWS($J$2:J398),$J$2:$J$1001,0),MATCH(COLUMNS($Q$1006:R1006),$Q$1006:$U$1006,0)), HYPERLINK("#",""), HYPERLINK(CONCATENATE("#Metadata!", ADDRESS(INDEX($L$2:$L$1001,MATCH(ROWS($J$2:J398),$J$2:$J$1001,0),0), INDEX($Q$1004:$U$1004,1,MATCH(COLUMNS($Q$1006:R1006),$Q$1006:$U$1006,0)))),"Fix")))</f>
        <v xml:space="preserve"> </v>
      </c>
      <c r="D398" s="3" t="str">
        <f ca="1">IF(OR(INDEX($K$2:$K$1001,MATCH(ROWS($J$2:J398),$J$2:$J$1001,0),1)&gt;=100000,INDEX($Q$1005:$U$1005,1,MATCH(COLUMNS($Q$1006:S1006),$Q$1006:$U$1006,0))&gt;=100000), " ",IF(INDEX($Q$2:$U$1001,MATCH(ROWS($J$2:J398),$J$2:$J$1001,0),MATCH(COLUMNS($Q$1006:S1006),$Q$1006:$U$1006,0)), HYPERLINK("#",""), HYPERLINK(CONCATENATE("#Metadata!", ADDRESS(INDEX($L$2:$L$1001,MATCH(ROWS($J$2:J398),$J$2:$J$1001,0),0), INDEX($Q$1004:$U$1004,1,MATCH(COLUMNS($Q$1006:S1006),$Q$1006:$U$1006,0)))),"Fix")))</f>
        <v xml:space="preserve"> </v>
      </c>
      <c r="E398" s="3" t="str">
        <f ca="1">IF(OR(INDEX($K$2:$K$1001,MATCH(ROWS($J$2:J398),$J$2:$J$1001,0),1)&gt;=100000,INDEX($Q$1005:$U$1005,1,MATCH(COLUMNS($Q$1006:T1006),$Q$1006:$U$1006,0))&gt;=100000), " ",IF(INDEX($Q$2:$U$1001,MATCH(ROWS($J$2:J398),$J$2:$J$1001,0),MATCH(COLUMNS($Q$1006:T1006),$Q$1006:$U$1006,0)), HYPERLINK("#",""), HYPERLINK(CONCATENATE("#Metadata!", ADDRESS(INDEX($L$2:$L$1001,MATCH(ROWS($J$2:J398),$J$2:$J$1001,0),0), INDEX($Q$1004:$U$1004,1,MATCH(COLUMNS($Q$1006:T1006),$Q$1006:$U$1006,0)))),"Fix")))</f>
        <v xml:space="preserve"> </v>
      </c>
      <c r="F398" s="3" t="str">
        <f ca="1">IF(OR(INDEX($K$2:$K$1001,MATCH(ROWS($J$2:J398),$J$2:$J$1001,0),1)&gt;=100000,INDEX($Q$1005:$U$1005,1,MATCH(COLUMNS($Q$1006:U1006),$Q$1006:$U$1006,0))&gt;=100000), " ",IF(INDEX($Q$2:$U$1001,MATCH(ROWS($J$2:J398),$J$2:$J$1001,0),MATCH(COLUMNS($Q$1006:U1006),$Q$1006:$U$1006,0)), HYPERLINK("#",""), HYPERLINK(CONCATENATE("#Metadata!", ADDRESS(INDEX($L$2:$L$1001,MATCH(ROWS($J$2:J398),$J$2:$J$1001,0),0), INDEX($Q$1004:$U$1004,1,MATCH(COLUMNS($Q$1006:U1006),$Q$1006:$U$1006,0)))),"Fix")))</f>
        <v xml:space="preserve"> </v>
      </c>
      <c r="J398">
        <f ca="1"/>
        <v>397</v>
      </c>
      <c r="K398">
        <v>100398</v>
      </c>
      <c r="L398">
        <v>398</v>
      </c>
      <c r="M398" t="b">
        <f t="shared" si="6"/>
        <v>1</v>
      </c>
      <c r="N398" t="b">
        <f>COUNTBLANK(Metadata!B398:F398)=COLUMNS(Metadata!B398:F398)</f>
        <v>1</v>
      </c>
      <c r="O398" t="str">
        <v/>
      </c>
      <c r="Q398" t="b">
        <f ca="1"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R398" t="b">
        <f>IF(Metadata!C398="",FALSE,TRUE)</f>
        <v>0</v>
      </c>
      <c r="S398" t="b">
        <f>OR(AND(IF(Metadata!D398="",FALSE,TRUE),EXACT(Metadata!D398,"missing: not collected")),AND(IF(Metadata!D398="",FALSE,TRUE),OR(EXACT(Metadata!D398,"t"),EXACT(Metadata!D398,"f"))))</f>
        <v>0</v>
      </c>
      <c r="T398" t="b">
        <f>AND(IF(Metadata!E398="",FALSE,TRUE),OR(EXACT(Metadata!E398,"a"),EXACT(Metadata!E398,"b")))</f>
        <v>0</v>
      </c>
      <c r="U398" t="b">
        <f>OR(AND(IF(Metadata!F398="",FALSE,TRUE),OR(EXACT(Metadata!F398,"missing: not collected"),EXACT(Metadata!F398,"missing: not provided"))),AND(IF(Metadata!F398="",FALSE,TRUE),OR(EXACT(Metadata!F398,"lo"),EXACT(Metadata!F398,"med"),EXACT(Metadata!F398,"hi"))))</f>
        <v>0</v>
      </c>
    </row>
    <row r="399" spans="1:21" x14ac:dyDescent="0.2">
      <c r="A399" s="4" t="str">
        <f ca="1">IF(B399=" "," ",HYPERLINK(CONCATENATE("#metadata!",ADDRESS(INDEX($L$2:$L$1001,MATCH(ROWS($J$2:J399),$J$2:$J$1001,0),0),1)),INDEX($O$2:$O$1001,MATCH(ROWS($J$2:J399),$J$2:$J$1001,0),0)))</f>
        <v xml:space="preserve"> </v>
      </c>
      <c r="B399" s="3" t="str">
        <f ca="1">IF(OR(INDEX($K$2:$K$1001,MATCH(ROWS($J$2:J399),$J$2:$J$1001,0),1)&gt;=100000,INDEX($Q$1005:$U$1005,1,MATCH(COLUMNS($Q$1006:Q1006),$Q$1006:$U$1006,0))&gt;=100000), " ",IF(INDEX($Q$2:$U$1001,MATCH(ROWS($J$2:J399),$J$2:$J$1001,0),MATCH(COLUMNS($Q$1006:Q1006),$Q$1006:$U$1006,0)), HYPERLINK("#",""), HYPERLINK(CONCATENATE("#Metadata!", ADDRESS(INDEX($L$2:$L$1001,MATCH(ROWS($J$2:J399),$J$2:$J$1001,0),0), INDEX($Q$1004:$U$1004,1,MATCH(COLUMNS($Q$1006:Q1006),$Q$1006:$U$1006,0)))),"Fix")))</f>
        <v xml:space="preserve"> </v>
      </c>
      <c r="C399" s="3" t="str">
        <f ca="1">IF(OR(INDEX($K$2:$K$1001,MATCH(ROWS($J$2:J399),$J$2:$J$1001,0),1)&gt;=100000,INDEX($Q$1005:$U$1005,1,MATCH(COLUMNS($Q$1006:R1006),$Q$1006:$U$1006,0))&gt;=100000), " ",IF(INDEX($Q$2:$U$1001,MATCH(ROWS($J$2:J399),$J$2:$J$1001,0),MATCH(COLUMNS($Q$1006:R1006),$Q$1006:$U$1006,0)), HYPERLINK("#",""), HYPERLINK(CONCATENATE("#Metadata!", ADDRESS(INDEX($L$2:$L$1001,MATCH(ROWS($J$2:J399),$J$2:$J$1001,0),0), INDEX($Q$1004:$U$1004,1,MATCH(COLUMNS($Q$1006:R1006),$Q$1006:$U$1006,0)))),"Fix")))</f>
        <v xml:space="preserve"> </v>
      </c>
      <c r="D399" s="3" t="str">
        <f ca="1">IF(OR(INDEX($K$2:$K$1001,MATCH(ROWS($J$2:J399),$J$2:$J$1001,0),1)&gt;=100000,INDEX($Q$1005:$U$1005,1,MATCH(COLUMNS($Q$1006:S1006),$Q$1006:$U$1006,0))&gt;=100000), " ",IF(INDEX($Q$2:$U$1001,MATCH(ROWS($J$2:J399),$J$2:$J$1001,0),MATCH(COLUMNS($Q$1006:S1006),$Q$1006:$U$1006,0)), HYPERLINK("#",""), HYPERLINK(CONCATENATE("#Metadata!", ADDRESS(INDEX($L$2:$L$1001,MATCH(ROWS($J$2:J399),$J$2:$J$1001,0),0), INDEX($Q$1004:$U$1004,1,MATCH(COLUMNS($Q$1006:S1006),$Q$1006:$U$1006,0)))),"Fix")))</f>
        <v xml:space="preserve"> </v>
      </c>
      <c r="E399" s="3" t="str">
        <f ca="1">IF(OR(INDEX($K$2:$K$1001,MATCH(ROWS($J$2:J399),$J$2:$J$1001,0),1)&gt;=100000,INDEX($Q$1005:$U$1005,1,MATCH(COLUMNS($Q$1006:T1006),$Q$1006:$U$1006,0))&gt;=100000), " ",IF(INDEX($Q$2:$U$1001,MATCH(ROWS($J$2:J399),$J$2:$J$1001,0),MATCH(COLUMNS($Q$1006:T1006),$Q$1006:$U$1006,0)), HYPERLINK("#",""), HYPERLINK(CONCATENATE("#Metadata!", ADDRESS(INDEX($L$2:$L$1001,MATCH(ROWS($J$2:J399),$J$2:$J$1001,0),0), INDEX($Q$1004:$U$1004,1,MATCH(COLUMNS($Q$1006:T1006),$Q$1006:$U$1006,0)))),"Fix")))</f>
        <v xml:space="preserve"> </v>
      </c>
      <c r="F399" s="3" t="str">
        <f ca="1">IF(OR(INDEX($K$2:$K$1001,MATCH(ROWS($J$2:J399),$J$2:$J$1001,0),1)&gt;=100000,INDEX($Q$1005:$U$1005,1,MATCH(COLUMNS($Q$1006:U1006),$Q$1006:$U$1006,0))&gt;=100000), " ",IF(INDEX($Q$2:$U$1001,MATCH(ROWS($J$2:J399),$J$2:$J$1001,0),MATCH(COLUMNS($Q$1006:U1006),$Q$1006:$U$1006,0)), HYPERLINK("#",""), HYPERLINK(CONCATENATE("#Metadata!", ADDRESS(INDEX($L$2:$L$1001,MATCH(ROWS($J$2:J399),$J$2:$J$1001,0),0), INDEX($Q$1004:$U$1004,1,MATCH(COLUMNS($Q$1006:U1006),$Q$1006:$U$1006,0)))),"Fix")))</f>
        <v xml:space="preserve"> </v>
      </c>
      <c r="J399">
        <f ca="1"/>
        <v>398</v>
      </c>
      <c r="K399">
        <v>100399</v>
      </c>
      <c r="L399">
        <v>399</v>
      </c>
      <c r="M399" t="b">
        <f t="shared" si="6"/>
        <v>1</v>
      </c>
      <c r="N399" t="b">
        <f>COUNTBLANK(Metadata!B399:F399)=COLUMNS(Metadata!B399:F399)</f>
        <v>1</v>
      </c>
      <c r="O399" t="str">
        <v/>
      </c>
      <c r="Q399" t="b">
        <f ca="1"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R399" t="b">
        <f>IF(Metadata!C399="",FALSE,TRUE)</f>
        <v>0</v>
      </c>
      <c r="S399" t="b">
        <f>OR(AND(IF(Metadata!D399="",FALSE,TRUE),EXACT(Metadata!D399,"missing: not collected")),AND(IF(Metadata!D399="",FALSE,TRUE),OR(EXACT(Metadata!D399,"t"),EXACT(Metadata!D399,"f"))))</f>
        <v>0</v>
      </c>
      <c r="T399" t="b">
        <f>AND(IF(Metadata!E399="",FALSE,TRUE),OR(EXACT(Metadata!E399,"a"),EXACT(Metadata!E399,"b")))</f>
        <v>0</v>
      </c>
      <c r="U399" t="b">
        <f>OR(AND(IF(Metadata!F399="",FALSE,TRUE),OR(EXACT(Metadata!F399,"missing: not collected"),EXACT(Metadata!F399,"missing: not provided"))),AND(IF(Metadata!F399="",FALSE,TRUE),OR(EXACT(Metadata!F399,"lo"),EXACT(Metadata!F399,"med"),EXACT(Metadata!F399,"hi"))))</f>
        <v>0</v>
      </c>
    </row>
    <row r="400" spans="1:21" x14ac:dyDescent="0.2">
      <c r="A400" s="4" t="str">
        <f ca="1">IF(B400=" "," ",HYPERLINK(CONCATENATE("#metadata!",ADDRESS(INDEX($L$2:$L$1001,MATCH(ROWS($J$2:J400),$J$2:$J$1001,0),0),1)),INDEX($O$2:$O$1001,MATCH(ROWS($J$2:J400),$J$2:$J$1001,0),0)))</f>
        <v xml:space="preserve"> </v>
      </c>
      <c r="B400" s="3" t="str">
        <f ca="1">IF(OR(INDEX($K$2:$K$1001,MATCH(ROWS($J$2:J400),$J$2:$J$1001,0),1)&gt;=100000,INDEX($Q$1005:$U$1005,1,MATCH(COLUMNS($Q$1006:Q1006),$Q$1006:$U$1006,0))&gt;=100000), " ",IF(INDEX($Q$2:$U$1001,MATCH(ROWS($J$2:J400),$J$2:$J$1001,0),MATCH(COLUMNS($Q$1006:Q1006),$Q$1006:$U$1006,0)), HYPERLINK("#",""), HYPERLINK(CONCATENATE("#Metadata!", ADDRESS(INDEX($L$2:$L$1001,MATCH(ROWS($J$2:J400),$J$2:$J$1001,0),0), INDEX($Q$1004:$U$1004,1,MATCH(COLUMNS($Q$1006:Q1006),$Q$1006:$U$1006,0)))),"Fix")))</f>
        <v xml:space="preserve"> </v>
      </c>
      <c r="C400" s="3" t="str">
        <f ca="1">IF(OR(INDEX($K$2:$K$1001,MATCH(ROWS($J$2:J400),$J$2:$J$1001,0),1)&gt;=100000,INDEX($Q$1005:$U$1005,1,MATCH(COLUMNS($Q$1006:R1006),$Q$1006:$U$1006,0))&gt;=100000), " ",IF(INDEX($Q$2:$U$1001,MATCH(ROWS($J$2:J400),$J$2:$J$1001,0),MATCH(COLUMNS($Q$1006:R1006),$Q$1006:$U$1006,0)), HYPERLINK("#",""), HYPERLINK(CONCATENATE("#Metadata!", ADDRESS(INDEX($L$2:$L$1001,MATCH(ROWS($J$2:J400),$J$2:$J$1001,0),0), INDEX($Q$1004:$U$1004,1,MATCH(COLUMNS($Q$1006:R1006),$Q$1006:$U$1006,0)))),"Fix")))</f>
        <v xml:space="preserve"> </v>
      </c>
      <c r="D400" s="3" t="str">
        <f ca="1">IF(OR(INDEX($K$2:$K$1001,MATCH(ROWS($J$2:J400),$J$2:$J$1001,0),1)&gt;=100000,INDEX($Q$1005:$U$1005,1,MATCH(COLUMNS($Q$1006:S1006),$Q$1006:$U$1006,0))&gt;=100000), " ",IF(INDEX($Q$2:$U$1001,MATCH(ROWS($J$2:J400),$J$2:$J$1001,0),MATCH(COLUMNS($Q$1006:S1006),$Q$1006:$U$1006,0)), HYPERLINK("#",""), HYPERLINK(CONCATENATE("#Metadata!", ADDRESS(INDEX($L$2:$L$1001,MATCH(ROWS($J$2:J400),$J$2:$J$1001,0),0), INDEX($Q$1004:$U$1004,1,MATCH(COLUMNS($Q$1006:S1006),$Q$1006:$U$1006,0)))),"Fix")))</f>
        <v xml:space="preserve"> </v>
      </c>
      <c r="E400" s="3" t="str">
        <f ca="1">IF(OR(INDEX($K$2:$K$1001,MATCH(ROWS($J$2:J400),$J$2:$J$1001,0),1)&gt;=100000,INDEX($Q$1005:$U$1005,1,MATCH(COLUMNS($Q$1006:T1006),$Q$1006:$U$1006,0))&gt;=100000), " ",IF(INDEX($Q$2:$U$1001,MATCH(ROWS($J$2:J400),$J$2:$J$1001,0),MATCH(COLUMNS($Q$1006:T1006),$Q$1006:$U$1006,0)), HYPERLINK("#",""), HYPERLINK(CONCATENATE("#Metadata!", ADDRESS(INDEX($L$2:$L$1001,MATCH(ROWS($J$2:J400),$J$2:$J$1001,0),0), INDEX($Q$1004:$U$1004,1,MATCH(COLUMNS($Q$1006:T1006),$Q$1006:$U$1006,0)))),"Fix")))</f>
        <v xml:space="preserve"> </v>
      </c>
      <c r="F400" s="3" t="str">
        <f ca="1">IF(OR(INDEX($K$2:$K$1001,MATCH(ROWS($J$2:J400),$J$2:$J$1001,0),1)&gt;=100000,INDEX($Q$1005:$U$1005,1,MATCH(COLUMNS($Q$1006:U1006),$Q$1006:$U$1006,0))&gt;=100000), " ",IF(INDEX($Q$2:$U$1001,MATCH(ROWS($J$2:J400),$J$2:$J$1001,0),MATCH(COLUMNS($Q$1006:U1006),$Q$1006:$U$1006,0)), HYPERLINK("#",""), HYPERLINK(CONCATENATE("#Metadata!", ADDRESS(INDEX($L$2:$L$1001,MATCH(ROWS($J$2:J400),$J$2:$J$1001,0),0), INDEX($Q$1004:$U$1004,1,MATCH(COLUMNS($Q$1006:U1006),$Q$1006:$U$1006,0)))),"Fix")))</f>
        <v xml:space="preserve"> </v>
      </c>
      <c r="J400">
        <f ca="1"/>
        <v>399</v>
      </c>
      <c r="K400">
        <v>100400</v>
      </c>
      <c r="L400">
        <v>400</v>
      </c>
      <c r="M400" t="b">
        <f t="shared" si="6"/>
        <v>1</v>
      </c>
      <c r="N400" t="b">
        <f>COUNTBLANK(Metadata!B400:F400)=COLUMNS(Metadata!B400:F400)</f>
        <v>1</v>
      </c>
      <c r="O400" t="str">
        <v/>
      </c>
      <c r="Q400" t="b">
        <f ca="1"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R400" t="b">
        <f>IF(Metadata!C400="",FALSE,TRUE)</f>
        <v>0</v>
      </c>
      <c r="S400" t="b">
        <f>OR(AND(IF(Metadata!D400="",FALSE,TRUE),EXACT(Metadata!D400,"missing: not collected")),AND(IF(Metadata!D400="",FALSE,TRUE),OR(EXACT(Metadata!D400,"t"),EXACT(Metadata!D400,"f"))))</f>
        <v>0</v>
      </c>
      <c r="T400" t="b">
        <f>AND(IF(Metadata!E400="",FALSE,TRUE),OR(EXACT(Metadata!E400,"a"),EXACT(Metadata!E400,"b")))</f>
        <v>0</v>
      </c>
      <c r="U400" t="b">
        <f>OR(AND(IF(Metadata!F400="",FALSE,TRUE),OR(EXACT(Metadata!F400,"missing: not collected"),EXACT(Metadata!F400,"missing: not provided"))),AND(IF(Metadata!F400="",FALSE,TRUE),OR(EXACT(Metadata!F400,"lo"),EXACT(Metadata!F400,"med"),EXACT(Metadata!F400,"hi"))))</f>
        <v>0</v>
      </c>
    </row>
    <row r="401" spans="1:21" x14ac:dyDescent="0.2">
      <c r="A401" s="4" t="str">
        <f ca="1">IF(B401=" "," ",HYPERLINK(CONCATENATE("#metadata!",ADDRESS(INDEX($L$2:$L$1001,MATCH(ROWS($J$2:J401),$J$2:$J$1001,0),0),1)),INDEX($O$2:$O$1001,MATCH(ROWS($J$2:J401),$J$2:$J$1001,0),0)))</f>
        <v xml:space="preserve"> </v>
      </c>
      <c r="B401" s="3" t="str">
        <f ca="1">IF(OR(INDEX($K$2:$K$1001,MATCH(ROWS($J$2:J401),$J$2:$J$1001,0),1)&gt;=100000,INDEX($Q$1005:$U$1005,1,MATCH(COLUMNS($Q$1006:Q1006),$Q$1006:$U$1006,0))&gt;=100000), " ",IF(INDEX($Q$2:$U$1001,MATCH(ROWS($J$2:J401),$J$2:$J$1001,0),MATCH(COLUMNS($Q$1006:Q1006),$Q$1006:$U$1006,0)), HYPERLINK("#",""), HYPERLINK(CONCATENATE("#Metadata!", ADDRESS(INDEX($L$2:$L$1001,MATCH(ROWS($J$2:J401),$J$2:$J$1001,0),0), INDEX($Q$1004:$U$1004,1,MATCH(COLUMNS($Q$1006:Q1006),$Q$1006:$U$1006,0)))),"Fix")))</f>
        <v xml:space="preserve"> </v>
      </c>
      <c r="C401" s="3" t="str">
        <f ca="1">IF(OR(INDEX($K$2:$K$1001,MATCH(ROWS($J$2:J401),$J$2:$J$1001,0),1)&gt;=100000,INDEX($Q$1005:$U$1005,1,MATCH(COLUMNS($Q$1006:R1006),$Q$1006:$U$1006,0))&gt;=100000), " ",IF(INDEX($Q$2:$U$1001,MATCH(ROWS($J$2:J401),$J$2:$J$1001,0),MATCH(COLUMNS($Q$1006:R1006),$Q$1006:$U$1006,0)), HYPERLINK("#",""), HYPERLINK(CONCATENATE("#Metadata!", ADDRESS(INDEX($L$2:$L$1001,MATCH(ROWS($J$2:J401),$J$2:$J$1001,0),0), INDEX($Q$1004:$U$1004,1,MATCH(COLUMNS($Q$1006:R1006),$Q$1006:$U$1006,0)))),"Fix")))</f>
        <v xml:space="preserve"> </v>
      </c>
      <c r="D401" s="3" t="str">
        <f ca="1">IF(OR(INDEX($K$2:$K$1001,MATCH(ROWS($J$2:J401),$J$2:$J$1001,0),1)&gt;=100000,INDEX($Q$1005:$U$1005,1,MATCH(COLUMNS($Q$1006:S1006),$Q$1006:$U$1006,0))&gt;=100000), " ",IF(INDEX($Q$2:$U$1001,MATCH(ROWS($J$2:J401),$J$2:$J$1001,0),MATCH(COLUMNS($Q$1006:S1006),$Q$1006:$U$1006,0)), HYPERLINK("#",""), HYPERLINK(CONCATENATE("#Metadata!", ADDRESS(INDEX($L$2:$L$1001,MATCH(ROWS($J$2:J401),$J$2:$J$1001,0),0), INDEX($Q$1004:$U$1004,1,MATCH(COLUMNS($Q$1006:S1006),$Q$1006:$U$1006,0)))),"Fix")))</f>
        <v xml:space="preserve"> </v>
      </c>
      <c r="E401" s="3" t="str">
        <f ca="1">IF(OR(INDEX($K$2:$K$1001,MATCH(ROWS($J$2:J401),$J$2:$J$1001,0),1)&gt;=100000,INDEX($Q$1005:$U$1005,1,MATCH(COLUMNS($Q$1006:T1006),$Q$1006:$U$1006,0))&gt;=100000), " ",IF(INDEX($Q$2:$U$1001,MATCH(ROWS($J$2:J401),$J$2:$J$1001,0),MATCH(COLUMNS($Q$1006:T1006),$Q$1006:$U$1006,0)), HYPERLINK("#",""), HYPERLINK(CONCATENATE("#Metadata!", ADDRESS(INDEX($L$2:$L$1001,MATCH(ROWS($J$2:J401),$J$2:$J$1001,0),0), INDEX($Q$1004:$U$1004,1,MATCH(COLUMNS($Q$1006:T1006),$Q$1006:$U$1006,0)))),"Fix")))</f>
        <v xml:space="preserve"> </v>
      </c>
      <c r="F401" s="3" t="str">
        <f ca="1">IF(OR(INDEX($K$2:$K$1001,MATCH(ROWS($J$2:J401),$J$2:$J$1001,0),1)&gt;=100000,INDEX($Q$1005:$U$1005,1,MATCH(COLUMNS($Q$1006:U1006),$Q$1006:$U$1006,0))&gt;=100000), " ",IF(INDEX($Q$2:$U$1001,MATCH(ROWS($J$2:J401),$J$2:$J$1001,0),MATCH(COLUMNS($Q$1006:U1006),$Q$1006:$U$1006,0)), HYPERLINK("#",""), HYPERLINK(CONCATENATE("#Metadata!", ADDRESS(INDEX($L$2:$L$1001,MATCH(ROWS($J$2:J401),$J$2:$J$1001,0),0), INDEX($Q$1004:$U$1004,1,MATCH(COLUMNS($Q$1006:U1006),$Q$1006:$U$1006,0)))),"Fix")))</f>
        <v xml:space="preserve"> </v>
      </c>
      <c r="J401">
        <f ca="1"/>
        <v>400</v>
      </c>
      <c r="K401">
        <v>100401</v>
      </c>
      <c r="L401">
        <v>401</v>
      </c>
      <c r="M401" t="b">
        <f t="shared" si="6"/>
        <v>1</v>
      </c>
      <c r="N401" t="b">
        <f>COUNTBLANK(Metadata!B401:F401)=COLUMNS(Metadata!B401:F401)</f>
        <v>1</v>
      </c>
      <c r="O401" t="str">
        <v/>
      </c>
      <c r="Q401" t="b">
        <f ca="1"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R401" t="b">
        <f>IF(Metadata!C401="",FALSE,TRUE)</f>
        <v>0</v>
      </c>
      <c r="S401" t="b">
        <f>OR(AND(IF(Metadata!D401="",FALSE,TRUE),EXACT(Metadata!D401,"missing: not collected")),AND(IF(Metadata!D401="",FALSE,TRUE),OR(EXACT(Metadata!D401,"t"),EXACT(Metadata!D401,"f"))))</f>
        <v>0</v>
      </c>
      <c r="T401" t="b">
        <f>AND(IF(Metadata!E401="",FALSE,TRUE),OR(EXACT(Metadata!E401,"a"),EXACT(Metadata!E401,"b")))</f>
        <v>0</v>
      </c>
      <c r="U401" t="b">
        <f>OR(AND(IF(Metadata!F401="",FALSE,TRUE),OR(EXACT(Metadata!F401,"missing: not collected"),EXACT(Metadata!F401,"missing: not provided"))),AND(IF(Metadata!F401="",FALSE,TRUE),OR(EXACT(Metadata!F401,"lo"),EXACT(Metadata!F401,"med"),EXACT(Metadata!F401,"hi"))))</f>
        <v>0</v>
      </c>
    </row>
    <row r="402" spans="1:21" x14ac:dyDescent="0.2">
      <c r="A402" s="4" t="str">
        <f ca="1">IF(B402=" "," ",HYPERLINK(CONCATENATE("#metadata!",ADDRESS(INDEX($L$2:$L$1001,MATCH(ROWS($J$2:J402),$J$2:$J$1001,0),0),1)),INDEX($O$2:$O$1001,MATCH(ROWS($J$2:J402),$J$2:$J$1001,0),0)))</f>
        <v xml:space="preserve"> </v>
      </c>
      <c r="B402" s="3" t="str">
        <f ca="1">IF(OR(INDEX($K$2:$K$1001,MATCH(ROWS($J$2:J402),$J$2:$J$1001,0),1)&gt;=100000,INDEX($Q$1005:$U$1005,1,MATCH(COLUMNS($Q$1006:Q1006),$Q$1006:$U$1006,0))&gt;=100000), " ",IF(INDEX($Q$2:$U$1001,MATCH(ROWS($J$2:J402),$J$2:$J$1001,0),MATCH(COLUMNS($Q$1006:Q1006),$Q$1006:$U$1006,0)), HYPERLINK("#",""), HYPERLINK(CONCATENATE("#Metadata!", ADDRESS(INDEX($L$2:$L$1001,MATCH(ROWS($J$2:J402),$J$2:$J$1001,0),0), INDEX($Q$1004:$U$1004,1,MATCH(COLUMNS($Q$1006:Q1006),$Q$1006:$U$1006,0)))),"Fix")))</f>
        <v xml:space="preserve"> </v>
      </c>
      <c r="C402" s="3" t="str">
        <f ca="1">IF(OR(INDEX($K$2:$K$1001,MATCH(ROWS($J$2:J402),$J$2:$J$1001,0),1)&gt;=100000,INDEX($Q$1005:$U$1005,1,MATCH(COLUMNS($Q$1006:R1006),$Q$1006:$U$1006,0))&gt;=100000), " ",IF(INDEX($Q$2:$U$1001,MATCH(ROWS($J$2:J402),$J$2:$J$1001,0),MATCH(COLUMNS($Q$1006:R1006),$Q$1006:$U$1006,0)), HYPERLINK("#",""), HYPERLINK(CONCATENATE("#Metadata!", ADDRESS(INDEX($L$2:$L$1001,MATCH(ROWS($J$2:J402),$J$2:$J$1001,0),0), INDEX($Q$1004:$U$1004,1,MATCH(COLUMNS($Q$1006:R1006),$Q$1006:$U$1006,0)))),"Fix")))</f>
        <v xml:space="preserve"> </v>
      </c>
      <c r="D402" s="3" t="str">
        <f ca="1">IF(OR(INDEX($K$2:$K$1001,MATCH(ROWS($J$2:J402),$J$2:$J$1001,0),1)&gt;=100000,INDEX($Q$1005:$U$1005,1,MATCH(COLUMNS($Q$1006:S1006),$Q$1006:$U$1006,0))&gt;=100000), " ",IF(INDEX($Q$2:$U$1001,MATCH(ROWS($J$2:J402),$J$2:$J$1001,0),MATCH(COLUMNS($Q$1006:S1006),$Q$1006:$U$1006,0)), HYPERLINK("#",""), HYPERLINK(CONCATENATE("#Metadata!", ADDRESS(INDEX($L$2:$L$1001,MATCH(ROWS($J$2:J402),$J$2:$J$1001,0),0), INDEX($Q$1004:$U$1004,1,MATCH(COLUMNS($Q$1006:S1006),$Q$1006:$U$1006,0)))),"Fix")))</f>
        <v xml:space="preserve"> </v>
      </c>
      <c r="E402" s="3" t="str">
        <f ca="1">IF(OR(INDEX($K$2:$K$1001,MATCH(ROWS($J$2:J402),$J$2:$J$1001,0),1)&gt;=100000,INDEX($Q$1005:$U$1005,1,MATCH(COLUMNS($Q$1006:T1006),$Q$1006:$U$1006,0))&gt;=100000), " ",IF(INDEX($Q$2:$U$1001,MATCH(ROWS($J$2:J402),$J$2:$J$1001,0),MATCH(COLUMNS($Q$1006:T1006),$Q$1006:$U$1006,0)), HYPERLINK("#",""), HYPERLINK(CONCATENATE("#Metadata!", ADDRESS(INDEX($L$2:$L$1001,MATCH(ROWS($J$2:J402),$J$2:$J$1001,0),0), INDEX($Q$1004:$U$1004,1,MATCH(COLUMNS($Q$1006:T1006),$Q$1006:$U$1006,0)))),"Fix")))</f>
        <v xml:space="preserve"> </v>
      </c>
      <c r="F402" s="3" t="str">
        <f ca="1">IF(OR(INDEX($K$2:$K$1001,MATCH(ROWS($J$2:J402),$J$2:$J$1001,0),1)&gt;=100000,INDEX($Q$1005:$U$1005,1,MATCH(COLUMNS($Q$1006:U1006),$Q$1006:$U$1006,0))&gt;=100000), " ",IF(INDEX($Q$2:$U$1001,MATCH(ROWS($J$2:J402),$J$2:$J$1001,0),MATCH(COLUMNS($Q$1006:U1006),$Q$1006:$U$1006,0)), HYPERLINK("#",""), HYPERLINK(CONCATENATE("#Metadata!", ADDRESS(INDEX($L$2:$L$1001,MATCH(ROWS($J$2:J402),$J$2:$J$1001,0),0), INDEX($Q$1004:$U$1004,1,MATCH(COLUMNS($Q$1006:U1006),$Q$1006:$U$1006,0)))),"Fix")))</f>
        <v xml:space="preserve"> </v>
      </c>
      <c r="J402">
        <f ca="1"/>
        <v>401</v>
      </c>
      <c r="K402">
        <v>100402</v>
      </c>
      <c r="L402">
        <v>402</v>
      </c>
      <c r="M402" t="b">
        <f t="shared" si="6"/>
        <v>1</v>
      </c>
      <c r="N402" t="b">
        <f>COUNTBLANK(Metadata!B402:F402)=COLUMNS(Metadata!B402:F402)</f>
        <v>1</v>
      </c>
      <c r="O402" t="str">
        <v/>
      </c>
      <c r="Q402" t="b">
        <f ca="1"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R402" t="b">
        <f>IF(Metadata!C402="",FALSE,TRUE)</f>
        <v>0</v>
      </c>
      <c r="S402" t="b">
        <f>OR(AND(IF(Metadata!D402="",FALSE,TRUE),EXACT(Metadata!D402,"missing: not collected")),AND(IF(Metadata!D402="",FALSE,TRUE),OR(EXACT(Metadata!D402,"t"),EXACT(Metadata!D402,"f"))))</f>
        <v>0</v>
      </c>
      <c r="T402" t="b">
        <f>AND(IF(Metadata!E402="",FALSE,TRUE),OR(EXACT(Metadata!E402,"a"),EXACT(Metadata!E402,"b")))</f>
        <v>0</v>
      </c>
      <c r="U402" t="b">
        <f>OR(AND(IF(Metadata!F402="",FALSE,TRUE),OR(EXACT(Metadata!F402,"missing: not collected"),EXACT(Metadata!F402,"missing: not provided"))),AND(IF(Metadata!F402="",FALSE,TRUE),OR(EXACT(Metadata!F402,"lo"),EXACT(Metadata!F402,"med"),EXACT(Metadata!F402,"hi"))))</f>
        <v>0</v>
      </c>
    </row>
    <row r="403" spans="1:21" x14ac:dyDescent="0.2">
      <c r="A403" s="4" t="str">
        <f ca="1">IF(B403=" "," ",HYPERLINK(CONCATENATE("#metadata!",ADDRESS(INDEX($L$2:$L$1001,MATCH(ROWS($J$2:J403),$J$2:$J$1001,0),0),1)),INDEX($O$2:$O$1001,MATCH(ROWS($J$2:J403),$J$2:$J$1001,0),0)))</f>
        <v xml:space="preserve"> </v>
      </c>
      <c r="B403" s="3" t="str">
        <f ca="1">IF(OR(INDEX($K$2:$K$1001,MATCH(ROWS($J$2:J403),$J$2:$J$1001,0),1)&gt;=100000,INDEX($Q$1005:$U$1005,1,MATCH(COLUMNS($Q$1006:Q1006),$Q$1006:$U$1006,0))&gt;=100000), " ",IF(INDEX($Q$2:$U$1001,MATCH(ROWS($J$2:J403),$J$2:$J$1001,0),MATCH(COLUMNS($Q$1006:Q1006),$Q$1006:$U$1006,0)), HYPERLINK("#",""), HYPERLINK(CONCATENATE("#Metadata!", ADDRESS(INDEX($L$2:$L$1001,MATCH(ROWS($J$2:J403),$J$2:$J$1001,0),0), INDEX($Q$1004:$U$1004,1,MATCH(COLUMNS($Q$1006:Q1006),$Q$1006:$U$1006,0)))),"Fix")))</f>
        <v xml:space="preserve"> </v>
      </c>
      <c r="C403" s="3" t="str">
        <f ca="1">IF(OR(INDEX($K$2:$K$1001,MATCH(ROWS($J$2:J403),$J$2:$J$1001,0),1)&gt;=100000,INDEX($Q$1005:$U$1005,1,MATCH(COLUMNS($Q$1006:R1006),$Q$1006:$U$1006,0))&gt;=100000), " ",IF(INDEX($Q$2:$U$1001,MATCH(ROWS($J$2:J403),$J$2:$J$1001,0),MATCH(COLUMNS($Q$1006:R1006),$Q$1006:$U$1006,0)), HYPERLINK("#",""), HYPERLINK(CONCATENATE("#Metadata!", ADDRESS(INDEX($L$2:$L$1001,MATCH(ROWS($J$2:J403),$J$2:$J$1001,0),0), INDEX($Q$1004:$U$1004,1,MATCH(COLUMNS($Q$1006:R1006),$Q$1006:$U$1006,0)))),"Fix")))</f>
        <v xml:space="preserve"> </v>
      </c>
      <c r="D403" s="3" t="str">
        <f ca="1">IF(OR(INDEX($K$2:$K$1001,MATCH(ROWS($J$2:J403),$J$2:$J$1001,0),1)&gt;=100000,INDEX($Q$1005:$U$1005,1,MATCH(COLUMNS($Q$1006:S1006),$Q$1006:$U$1006,0))&gt;=100000), " ",IF(INDEX($Q$2:$U$1001,MATCH(ROWS($J$2:J403),$J$2:$J$1001,0),MATCH(COLUMNS($Q$1006:S1006),$Q$1006:$U$1006,0)), HYPERLINK("#",""), HYPERLINK(CONCATENATE("#Metadata!", ADDRESS(INDEX($L$2:$L$1001,MATCH(ROWS($J$2:J403),$J$2:$J$1001,0),0), INDEX($Q$1004:$U$1004,1,MATCH(COLUMNS($Q$1006:S1006),$Q$1006:$U$1006,0)))),"Fix")))</f>
        <v xml:space="preserve"> </v>
      </c>
      <c r="E403" s="3" t="str">
        <f ca="1">IF(OR(INDEX($K$2:$K$1001,MATCH(ROWS($J$2:J403),$J$2:$J$1001,0),1)&gt;=100000,INDEX($Q$1005:$U$1005,1,MATCH(COLUMNS($Q$1006:T1006),$Q$1006:$U$1006,0))&gt;=100000), " ",IF(INDEX($Q$2:$U$1001,MATCH(ROWS($J$2:J403),$J$2:$J$1001,0),MATCH(COLUMNS($Q$1006:T1006),$Q$1006:$U$1006,0)), HYPERLINK("#",""), HYPERLINK(CONCATENATE("#Metadata!", ADDRESS(INDEX($L$2:$L$1001,MATCH(ROWS($J$2:J403),$J$2:$J$1001,0),0), INDEX($Q$1004:$U$1004,1,MATCH(COLUMNS($Q$1006:T1006),$Q$1006:$U$1006,0)))),"Fix")))</f>
        <v xml:space="preserve"> </v>
      </c>
      <c r="F403" s="3" t="str">
        <f ca="1">IF(OR(INDEX($K$2:$K$1001,MATCH(ROWS($J$2:J403),$J$2:$J$1001,0),1)&gt;=100000,INDEX($Q$1005:$U$1005,1,MATCH(COLUMNS($Q$1006:U1006),$Q$1006:$U$1006,0))&gt;=100000), " ",IF(INDEX($Q$2:$U$1001,MATCH(ROWS($J$2:J403),$J$2:$J$1001,0),MATCH(COLUMNS($Q$1006:U1006),$Q$1006:$U$1006,0)), HYPERLINK("#",""), HYPERLINK(CONCATENATE("#Metadata!", ADDRESS(INDEX($L$2:$L$1001,MATCH(ROWS($J$2:J403),$J$2:$J$1001,0),0), INDEX($Q$1004:$U$1004,1,MATCH(COLUMNS($Q$1006:U1006),$Q$1006:$U$1006,0)))),"Fix")))</f>
        <v xml:space="preserve"> </v>
      </c>
      <c r="J403">
        <f ca="1"/>
        <v>402</v>
      </c>
      <c r="K403">
        <v>100403</v>
      </c>
      <c r="L403">
        <v>403</v>
      </c>
      <c r="M403" t="b">
        <f t="shared" si="6"/>
        <v>1</v>
      </c>
      <c r="N403" t="b">
        <f>COUNTBLANK(Metadata!B403:F403)=COLUMNS(Metadata!B403:F403)</f>
        <v>1</v>
      </c>
      <c r="O403" t="str">
        <v/>
      </c>
      <c r="Q403" t="b">
        <f ca="1"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R403" t="b">
        <f>IF(Metadata!C403="",FALSE,TRUE)</f>
        <v>0</v>
      </c>
      <c r="S403" t="b">
        <f>OR(AND(IF(Metadata!D403="",FALSE,TRUE),EXACT(Metadata!D403,"missing: not collected")),AND(IF(Metadata!D403="",FALSE,TRUE),OR(EXACT(Metadata!D403,"t"),EXACT(Metadata!D403,"f"))))</f>
        <v>0</v>
      </c>
      <c r="T403" t="b">
        <f>AND(IF(Metadata!E403="",FALSE,TRUE),OR(EXACT(Metadata!E403,"a"),EXACT(Metadata!E403,"b")))</f>
        <v>0</v>
      </c>
      <c r="U403" t="b">
        <f>OR(AND(IF(Metadata!F403="",FALSE,TRUE),OR(EXACT(Metadata!F403,"missing: not collected"),EXACT(Metadata!F403,"missing: not provided"))),AND(IF(Metadata!F403="",FALSE,TRUE),OR(EXACT(Metadata!F403,"lo"),EXACT(Metadata!F403,"med"),EXACT(Metadata!F403,"hi"))))</f>
        <v>0</v>
      </c>
    </row>
    <row r="404" spans="1:21" x14ac:dyDescent="0.2">
      <c r="A404" s="4" t="str">
        <f ca="1">IF(B404=" "," ",HYPERLINK(CONCATENATE("#metadata!",ADDRESS(INDEX($L$2:$L$1001,MATCH(ROWS($J$2:J404),$J$2:$J$1001,0),0),1)),INDEX($O$2:$O$1001,MATCH(ROWS($J$2:J404),$J$2:$J$1001,0),0)))</f>
        <v xml:space="preserve"> </v>
      </c>
      <c r="B404" s="3" t="str">
        <f ca="1">IF(OR(INDEX($K$2:$K$1001,MATCH(ROWS($J$2:J404),$J$2:$J$1001,0),1)&gt;=100000,INDEX($Q$1005:$U$1005,1,MATCH(COLUMNS($Q$1006:Q1006),$Q$1006:$U$1006,0))&gt;=100000), " ",IF(INDEX($Q$2:$U$1001,MATCH(ROWS($J$2:J404),$J$2:$J$1001,0),MATCH(COLUMNS($Q$1006:Q1006),$Q$1006:$U$1006,0)), HYPERLINK("#",""), HYPERLINK(CONCATENATE("#Metadata!", ADDRESS(INDEX($L$2:$L$1001,MATCH(ROWS($J$2:J404),$J$2:$J$1001,0),0), INDEX($Q$1004:$U$1004,1,MATCH(COLUMNS($Q$1006:Q1006),$Q$1006:$U$1006,0)))),"Fix")))</f>
        <v xml:space="preserve"> </v>
      </c>
      <c r="C404" s="3" t="str">
        <f ca="1">IF(OR(INDEX($K$2:$K$1001,MATCH(ROWS($J$2:J404),$J$2:$J$1001,0),1)&gt;=100000,INDEX($Q$1005:$U$1005,1,MATCH(COLUMNS($Q$1006:R1006),$Q$1006:$U$1006,0))&gt;=100000), " ",IF(INDEX($Q$2:$U$1001,MATCH(ROWS($J$2:J404),$J$2:$J$1001,0),MATCH(COLUMNS($Q$1006:R1006),$Q$1006:$U$1006,0)), HYPERLINK("#",""), HYPERLINK(CONCATENATE("#Metadata!", ADDRESS(INDEX($L$2:$L$1001,MATCH(ROWS($J$2:J404),$J$2:$J$1001,0),0), INDEX($Q$1004:$U$1004,1,MATCH(COLUMNS($Q$1006:R1006),$Q$1006:$U$1006,0)))),"Fix")))</f>
        <v xml:space="preserve"> </v>
      </c>
      <c r="D404" s="3" t="str">
        <f ca="1">IF(OR(INDEX($K$2:$K$1001,MATCH(ROWS($J$2:J404),$J$2:$J$1001,0),1)&gt;=100000,INDEX($Q$1005:$U$1005,1,MATCH(COLUMNS($Q$1006:S1006),$Q$1006:$U$1006,0))&gt;=100000), " ",IF(INDEX($Q$2:$U$1001,MATCH(ROWS($J$2:J404),$J$2:$J$1001,0),MATCH(COLUMNS($Q$1006:S1006),$Q$1006:$U$1006,0)), HYPERLINK("#",""), HYPERLINK(CONCATENATE("#Metadata!", ADDRESS(INDEX($L$2:$L$1001,MATCH(ROWS($J$2:J404),$J$2:$J$1001,0),0), INDEX($Q$1004:$U$1004,1,MATCH(COLUMNS($Q$1006:S1006),$Q$1006:$U$1006,0)))),"Fix")))</f>
        <v xml:space="preserve"> </v>
      </c>
      <c r="E404" s="3" t="str">
        <f ca="1">IF(OR(INDEX($K$2:$K$1001,MATCH(ROWS($J$2:J404),$J$2:$J$1001,0),1)&gt;=100000,INDEX($Q$1005:$U$1005,1,MATCH(COLUMNS($Q$1006:T1006),$Q$1006:$U$1006,0))&gt;=100000), " ",IF(INDEX($Q$2:$U$1001,MATCH(ROWS($J$2:J404),$J$2:$J$1001,0),MATCH(COLUMNS($Q$1006:T1006),$Q$1006:$U$1006,0)), HYPERLINK("#",""), HYPERLINK(CONCATENATE("#Metadata!", ADDRESS(INDEX($L$2:$L$1001,MATCH(ROWS($J$2:J404),$J$2:$J$1001,0),0), INDEX($Q$1004:$U$1004,1,MATCH(COLUMNS($Q$1006:T1006),$Q$1006:$U$1006,0)))),"Fix")))</f>
        <v xml:space="preserve"> </v>
      </c>
      <c r="F404" s="3" t="str">
        <f ca="1">IF(OR(INDEX($K$2:$K$1001,MATCH(ROWS($J$2:J404),$J$2:$J$1001,0),1)&gt;=100000,INDEX($Q$1005:$U$1005,1,MATCH(COLUMNS($Q$1006:U1006),$Q$1006:$U$1006,0))&gt;=100000), " ",IF(INDEX($Q$2:$U$1001,MATCH(ROWS($J$2:J404),$J$2:$J$1001,0),MATCH(COLUMNS($Q$1006:U1006),$Q$1006:$U$1006,0)), HYPERLINK("#",""), HYPERLINK(CONCATENATE("#Metadata!", ADDRESS(INDEX($L$2:$L$1001,MATCH(ROWS($J$2:J404),$J$2:$J$1001,0),0), INDEX($Q$1004:$U$1004,1,MATCH(COLUMNS($Q$1006:U1006),$Q$1006:$U$1006,0)))),"Fix")))</f>
        <v xml:space="preserve"> </v>
      </c>
      <c r="J404">
        <f ca="1"/>
        <v>403</v>
      </c>
      <c r="K404">
        <v>100404</v>
      </c>
      <c r="L404">
        <v>404</v>
      </c>
      <c r="M404" t="b">
        <f t="shared" si="6"/>
        <v>1</v>
      </c>
      <c r="N404" t="b">
        <f>COUNTBLANK(Metadata!B404:F404)=COLUMNS(Metadata!B404:F404)</f>
        <v>1</v>
      </c>
      <c r="O404" t="str">
        <v/>
      </c>
      <c r="Q404" t="b">
        <f ca="1"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R404" t="b">
        <f>IF(Metadata!C404="",FALSE,TRUE)</f>
        <v>0</v>
      </c>
      <c r="S404" t="b">
        <f>OR(AND(IF(Metadata!D404="",FALSE,TRUE),EXACT(Metadata!D404,"missing: not collected")),AND(IF(Metadata!D404="",FALSE,TRUE),OR(EXACT(Metadata!D404,"t"),EXACT(Metadata!D404,"f"))))</f>
        <v>0</v>
      </c>
      <c r="T404" t="b">
        <f>AND(IF(Metadata!E404="",FALSE,TRUE),OR(EXACT(Metadata!E404,"a"),EXACT(Metadata!E404,"b")))</f>
        <v>0</v>
      </c>
      <c r="U404" t="b">
        <f>OR(AND(IF(Metadata!F404="",FALSE,TRUE),OR(EXACT(Metadata!F404,"missing: not collected"),EXACT(Metadata!F404,"missing: not provided"))),AND(IF(Metadata!F404="",FALSE,TRUE),OR(EXACT(Metadata!F404,"lo"),EXACT(Metadata!F404,"med"),EXACT(Metadata!F404,"hi"))))</f>
        <v>0</v>
      </c>
    </row>
    <row r="405" spans="1:21" x14ac:dyDescent="0.2">
      <c r="A405" s="4" t="str">
        <f ca="1">IF(B405=" "," ",HYPERLINK(CONCATENATE("#metadata!",ADDRESS(INDEX($L$2:$L$1001,MATCH(ROWS($J$2:J405),$J$2:$J$1001,0),0),1)),INDEX($O$2:$O$1001,MATCH(ROWS($J$2:J405),$J$2:$J$1001,0),0)))</f>
        <v xml:space="preserve"> </v>
      </c>
      <c r="B405" s="3" t="str">
        <f ca="1">IF(OR(INDEX($K$2:$K$1001,MATCH(ROWS($J$2:J405),$J$2:$J$1001,0),1)&gt;=100000,INDEX($Q$1005:$U$1005,1,MATCH(COLUMNS($Q$1006:Q1006),$Q$1006:$U$1006,0))&gt;=100000), " ",IF(INDEX($Q$2:$U$1001,MATCH(ROWS($J$2:J405),$J$2:$J$1001,0),MATCH(COLUMNS($Q$1006:Q1006),$Q$1006:$U$1006,0)), HYPERLINK("#",""), HYPERLINK(CONCATENATE("#Metadata!", ADDRESS(INDEX($L$2:$L$1001,MATCH(ROWS($J$2:J405),$J$2:$J$1001,0),0), INDEX($Q$1004:$U$1004,1,MATCH(COLUMNS($Q$1006:Q1006),$Q$1006:$U$1006,0)))),"Fix")))</f>
        <v xml:space="preserve"> </v>
      </c>
      <c r="C405" s="3" t="str">
        <f ca="1">IF(OR(INDEX($K$2:$K$1001,MATCH(ROWS($J$2:J405),$J$2:$J$1001,0),1)&gt;=100000,INDEX($Q$1005:$U$1005,1,MATCH(COLUMNS($Q$1006:R1006),$Q$1006:$U$1006,0))&gt;=100000), " ",IF(INDEX($Q$2:$U$1001,MATCH(ROWS($J$2:J405),$J$2:$J$1001,0),MATCH(COLUMNS($Q$1006:R1006),$Q$1006:$U$1006,0)), HYPERLINK("#",""), HYPERLINK(CONCATENATE("#Metadata!", ADDRESS(INDEX($L$2:$L$1001,MATCH(ROWS($J$2:J405),$J$2:$J$1001,0),0), INDEX($Q$1004:$U$1004,1,MATCH(COLUMNS($Q$1006:R1006),$Q$1006:$U$1006,0)))),"Fix")))</f>
        <v xml:space="preserve"> </v>
      </c>
      <c r="D405" s="3" t="str">
        <f ca="1">IF(OR(INDEX($K$2:$K$1001,MATCH(ROWS($J$2:J405),$J$2:$J$1001,0),1)&gt;=100000,INDEX($Q$1005:$U$1005,1,MATCH(COLUMNS($Q$1006:S1006),$Q$1006:$U$1006,0))&gt;=100000), " ",IF(INDEX($Q$2:$U$1001,MATCH(ROWS($J$2:J405),$J$2:$J$1001,0),MATCH(COLUMNS($Q$1006:S1006),$Q$1006:$U$1006,0)), HYPERLINK("#",""), HYPERLINK(CONCATENATE("#Metadata!", ADDRESS(INDEX($L$2:$L$1001,MATCH(ROWS($J$2:J405),$J$2:$J$1001,0),0), INDEX($Q$1004:$U$1004,1,MATCH(COLUMNS($Q$1006:S1006),$Q$1006:$U$1006,0)))),"Fix")))</f>
        <v xml:space="preserve"> </v>
      </c>
      <c r="E405" s="3" t="str">
        <f ca="1">IF(OR(INDEX($K$2:$K$1001,MATCH(ROWS($J$2:J405),$J$2:$J$1001,0),1)&gt;=100000,INDEX($Q$1005:$U$1005,1,MATCH(COLUMNS($Q$1006:T1006),$Q$1006:$U$1006,0))&gt;=100000), " ",IF(INDEX($Q$2:$U$1001,MATCH(ROWS($J$2:J405),$J$2:$J$1001,0),MATCH(COLUMNS($Q$1006:T1006),$Q$1006:$U$1006,0)), HYPERLINK("#",""), HYPERLINK(CONCATENATE("#Metadata!", ADDRESS(INDEX($L$2:$L$1001,MATCH(ROWS($J$2:J405),$J$2:$J$1001,0),0), INDEX($Q$1004:$U$1004,1,MATCH(COLUMNS($Q$1006:T1006),$Q$1006:$U$1006,0)))),"Fix")))</f>
        <v xml:space="preserve"> </v>
      </c>
      <c r="F405" s="3" t="str">
        <f ca="1">IF(OR(INDEX($K$2:$K$1001,MATCH(ROWS($J$2:J405),$J$2:$J$1001,0),1)&gt;=100000,INDEX($Q$1005:$U$1005,1,MATCH(COLUMNS($Q$1006:U1006),$Q$1006:$U$1006,0))&gt;=100000), " ",IF(INDEX($Q$2:$U$1001,MATCH(ROWS($J$2:J405),$J$2:$J$1001,0),MATCH(COLUMNS($Q$1006:U1006),$Q$1006:$U$1006,0)), HYPERLINK("#",""), HYPERLINK(CONCATENATE("#Metadata!", ADDRESS(INDEX($L$2:$L$1001,MATCH(ROWS($J$2:J405),$J$2:$J$1001,0),0), INDEX($Q$1004:$U$1004,1,MATCH(COLUMNS($Q$1006:U1006),$Q$1006:$U$1006,0)))),"Fix")))</f>
        <v xml:space="preserve"> </v>
      </c>
      <c r="J405">
        <f ca="1"/>
        <v>404</v>
      </c>
      <c r="K405">
        <v>100405</v>
      </c>
      <c r="L405">
        <v>405</v>
      </c>
      <c r="M405" t="b">
        <f t="shared" si="6"/>
        <v>1</v>
      </c>
      <c r="N405" t="b">
        <f>COUNTBLANK(Metadata!B405:F405)=COLUMNS(Metadata!B405:F405)</f>
        <v>1</v>
      </c>
      <c r="O405" t="str">
        <v/>
      </c>
      <c r="Q405" t="b">
        <f ca="1"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R405" t="b">
        <f>IF(Metadata!C405="",FALSE,TRUE)</f>
        <v>0</v>
      </c>
      <c r="S405" t="b">
        <f>OR(AND(IF(Metadata!D405="",FALSE,TRUE),EXACT(Metadata!D405,"missing: not collected")),AND(IF(Metadata!D405="",FALSE,TRUE),OR(EXACT(Metadata!D405,"t"),EXACT(Metadata!D405,"f"))))</f>
        <v>0</v>
      </c>
      <c r="T405" t="b">
        <f>AND(IF(Metadata!E405="",FALSE,TRUE),OR(EXACT(Metadata!E405,"a"),EXACT(Metadata!E405,"b")))</f>
        <v>0</v>
      </c>
      <c r="U405" t="b">
        <f>OR(AND(IF(Metadata!F405="",FALSE,TRUE),OR(EXACT(Metadata!F405,"missing: not collected"),EXACT(Metadata!F405,"missing: not provided"))),AND(IF(Metadata!F405="",FALSE,TRUE),OR(EXACT(Metadata!F405,"lo"),EXACT(Metadata!F405,"med"),EXACT(Metadata!F405,"hi"))))</f>
        <v>0</v>
      </c>
    </row>
    <row r="406" spans="1:21" x14ac:dyDescent="0.2">
      <c r="A406" s="4" t="str">
        <f ca="1">IF(B406=" "," ",HYPERLINK(CONCATENATE("#metadata!",ADDRESS(INDEX($L$2:$L$1001,MATCH(ROWS($J$2:J406),$J$2:$J$1001,0),0),1)),INDEX($O$2:$O$1001,MATCH(ROWS($J$2:J406),$J$2:$J$1001,0),0)))</f>
        <v xml:space="preserve"> </v>
      </c>
      <c r="B406" s="3" t="str">
        <f ca="1">IF(OR(INDEX($K$2:$K$1001,MATCH(ROWS($J$2:J406),$J$2:$J$1001,0),1)&gt;=100000,INDEX($Q$1005:$U$1005,1,MATCH(COLUMNS($Q$1006:Q1006),$Q$1006:$U$1006,0))&gt;=100000), " ",IF(INDEX($Q$2:$U$1001,MATCH(ROWS($J$2:J406),$J$2:$J$1001,0),MATCH(COLUMNS($Q$1006:Q1006),$Q$1006:$U$1006,0)), HYPERLINK("#",""), HYPERLINK(CONCATENATE("#Metadata!", ADDRESS(INDEX($L$2:$L$1001,MATCH(ROWS($J$2:J406),$J$2:$J$1001,0),0), INDEX($Q$1004:$U$1004,1,MATCH(COLUMNS($Q$1006:Q1006),$Q$1006:$U$1006,0)))),"Fix")))</f>
        <v xml:space="preserve"> </v>
      </c>
      <c r="C406" s="3" t="str">
        <f ca="1">IF(OR(INDEX($K$2:$K$1001,MATCH(ROWS($J$2:J406),$J$2:$J$1001,0),1)&gt;=100000,INDEX($Q$1005:$U$1005,1,MATCH(COLUMNS($Q$1006:R1006),$Q$1006:$U$1006,0))&gt;=100000), " ",IF(INDEX($Q$2:$U$1001,MATCH(ROWS($J$2:J406),$J$2:$J$1001,0),MATCH(COLUMNS($Q$1006:R1006),$Q$1006:$U$1006,0)), HYPERLINK("#",""), HYPERLINK(CONCATENATE("#Metadata!", ADDRESS(INDEX($L$2:$L$1001,MATCH(ROWS($J$2:J406),$J$2:$J$1001,0),0), INDEX($Q$1004:$U$1004,1,MATCH(COLUMNS($Q$1006:R1006),$Q$1006:$U$1006,0)))),"Fix")))</f>
        <v xml:space="preserve"> </v>
      </c>
      <c r="D406" s="3" t="str">
        <f ca="1">IF(OR(INDEX($K$2:$K$1001,MATCH(ROWS($J$2:J406),$J$2:$J$1001,0),1)&gt;=100000,INDEX($Q$1005:$U$1005,1,MATCH(COLUMNS($Q$1006:S1006),$Q$1006:$U$1006,0))&gt;=100000), " ",IF(INDEX($Q$2:$U$1001,MATCH(ROWS($J$2:J406),$J$2:$J$1001,0),MATCH(COLUMNS($Q$1006:S1006),$Q$1006:$U$1006,0)), HYPERLINK("#",""), HYPERLINK(CONCATENATE("#Metadata!", ADDRESS(INDEX($L$2:$L$1001,MATCH(ROWS($J$2:J406),$J$2:$J$1001,0),0), INDEX($Q$1004:$U$1004,1,MATCH(COLUMNS($Q$1006:S1006),$Q$1006:$U$1006,0)))),"Fix")))</f>
        <v xml:space="preserve"> </v>
      </c>
      <c r="E406" s="3" t="str">
        <f ca="1">IF(OR(INDEX($K$2:$K$1001,MATCH(ROWS($J$2:J406),$J$2:$J$1001,0),1)&gt;=100000,INDEX($Q$1005:$U$1005,1,MATCH(COLUMNS($Q$1006:T1006),$Q$1006:$U$1006,0))&gt;=100000), " ",IF(INDEX($Q$2:$U$1001,MATCH(ROWS($J$2:J406),$J$2:$J$1001,0),MATCH(COLUMNS($Q$1006:T1006),$Q$1006:$U$1006,0)), HYPERLINK("#",""), HYPERLINK(CONCATENATE("#Metadata!", ADDRESS(INDEX($L$2:$L$1001,MATCH(ROWS($J$2:J406),$J$2:$J$1001,0),0), INDEX($Q$1004:$U$1004,1,MATCH(COLUMNS($Q$1006:T1006),$Q$1006:$U$1006,0)))),"Fix")))</f>
        <v xml:space="preserve"> </v>
      </c>
      <c r="F406" s="3" t="str">
        <f ca="1">IF(OR(INDEX($K$2:$K$1001,MATCH(ROWS($J$2:J406),$J$2:$J$1001,0),1)&gt;=100000,INDEX($Q$1005:$U$1005,1,MATCH(COLUMNS($Q$1006:U1006),$Q$1006:$U$1006,0))&gt;=100000), " ",IF(INDEX($Q$2:$U$1001,MATCH(ROWS($J$2:J406),$J$2:$J$1001,0),MATCH(COLUMNS($Q$1006:U1006),$Q$1006:$U$1006,0)), HYPERLINK("#",""), HYPERLINK(CONCATENATE("#Metadata!", ADDRESS(INDEX($L$2:$L$1001,MATCH(ROWS($J$2:J406),$J$2:$J$1001,0),0), INDEX($Q$1004:$U$1004,1,MATCH(COLUMNS($Q$1006:U1006),$Q$1006:$U$1006,0)))),"Fix")))</f>
        <v xml:space="preserve"> </v>
      </c>
      <c r="J406">
        <f ca="1"/>
        <v>405</v>
      </c>
      <c r="K406">
        <v>100406</v>
      </c>
      <c r="L406">
        <v>406</v>
      </c>
      <c r="M406" t="b">
        <f t="shared" si="6"/>
        <v>1</v>
      </c>
      <c r="N406" t="b">
        <f>COUNTBLANK(Metadata!B406:F406)=COLUMNS(Metadata!B406:F406)</f>
        <v>1</v>
      </c>
      <c r="O406" t="str">
        <v/>
      </c>
      <c r="Q406" t="b">
        <f ca="1"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R406" t="b">
        <f>IF(Metadata!C406="",FALSE,TRUE)</f>
        <v>0</v>
      </c>
      <c r="S406" t="b">
        <f>OR(AND(IF(Metadata!D406="",FALSE,TRUE),EXACT(Metadata!D406,"missing: not collected")),AND(IF(Metadata!D406="",FALSE,TRUE),OR(EXACT(Metadata!D406,"t"),EXACT(Metadata!D406,"f"))))</f>
        <v>0</v>
      </c>
      <c r="T406" t="b">
        <f>AND(IF(Metadata!E406="",FALSE,TRUE),OR(EXACT(Metadata!E406,"a"),EXACT(Metadata!E406,"b")))</f>
        <v>0</v>
      </c>
      <c r="U406" t="b">
        <f>OR(AND(IF(Metadata!F406="",FALSE,TRUE),OR(EXACT(Metadata!F406,"missing: not collected"),EXACT(Metadata!F406,"missing: not provided"))),AND(IF(Metadata!F406="",FALSE,TRUE),OR(EXACT(Metadata!F406,"lo"),EXACT(Metadata!F406,"med"),EXACT(Metadata!F406,"hi"))))</f>
        <v>0</v>
      </c>
    </row>
    <row r="407" spans="1:21" x14ac:dyDescent="0.2">
      <c r="A407" s="4" t="str">
        <f ca="1">IF(B407=" "," ",HYPERLINK(CONCATENATE("#metadata!",ADDRESS(INDEX($L$2:$L$1001,MATCH(ROWS($J$2:J407),$J$2:$J$1001,0),0),1)),INDEX($O$2:$O$1001,MATCH(ROWS($J$2:J407),$J$2:$J$1001,0),0)))</f>
        <v xml:space="preserve"> </v>
      </c>
      <c r="B407" s="3" t="str">
        <f ca="1">IF(OR(INDEX($K$2:$K$1001,MATCH(ROWS($J$2:J407),$J$2:$J$1001,0),1)&gt;=100000,INDEX($Q$1005:$U$1005,1,MATCH(COLUMNS($Q$1006:Q1006),$Q$1006:$U$1006,0))&gt;=100000), " ",IF(INDEX($Q$2:$U$1001,MATCH(ROWS($J$2:J407),$J$2:$J$1001,0),MATCH(COLUMNS($Q$1006:Q1006),$Q$1006:$U$1006,0)), HYPERLINK("#",""), HYPERLINK(CONCATENATE("#Metadata!", ADDRESS(INDEX($L$2:$L$1001,MATCH(ROWS($J$2:J407),$J$2:$J$1001,0),0), INDEX($Q$1004:$U$1004,1,MATCH(COLUMNS($Q$1006:Q1006),$Q$1006:$U$1006,0)))),"Fix")))</f>
        <v xml:space="preserve"> </v>
      </c>
      <c r="C407" s="3" t="str">
        <f ca="1">IF(OR(INDEX($K$2:$K$1001,MATCH(ROWS($J$2:J407),$J$2:$J$1001,0),1)&gt;=100000,INDEX($Q$1005:$U$1005,1,MATCH(COLUMNS($Q$1006:R1006),$Q$1006:$U$1006,0))&gt;=100000), " ",IF(INDEX($Q$2:$U$1001,MATCH(ROWS($J$2:J407),$J$2:$J$1001,0),MATCH(COLUMNS($Q$1006:R1006),$Q$1006:$U$1006,0)), HYPERLINK("#",""), HYPERLINK(CONCATENATE("#Metadata!", ADDRESS(INDEX($L$2:$L$1001,MATCH(ROWS($J$2:J407),$J$2:$J$1001,0),0), INDEX($Q$1004:$U$1004,1,MATCH(COLUMNS($Q$1006:R1006),$Q$1006:$U$1006,0)))),"Fix")))</f>
        <v xml:space="preserve"> </v>
      </c>
      <c r="D407" s="3" t="str">
        <f ca="1">IF(OR(INDEX($K$2:$K$1001,MATCH(ROWS($J$2:J407),$J$2:$J$1001,0),1)&gt;=100000,INDEX($Q$1005:$U$1005,1,MATCH(COLUMNS($Q$1006:S1006),$Q$1006:$U$1006,0))&gt;=100000), " ",IF(INDEX($Q$2:$U$1001,MATCH(ROWS($J$2:J407),$J$2:$J$1001,0),MATCH(COLUMNS($Q$1006:S1006),$Q$1006:$U$1006,0)), HYPERLINK("#",""), HYPERLINK(CONCATENATE("#Metadata!", ADDRESS(INDEX($L$2:$L$1001,MATCH(ROWS($J$2:J407),$J$2:$J$1001,0),0), INDEX($Q$1004:$U$1004,1,MATCH(COLUMNS($Q$1006:S1006),$Q$1006:$U$1006,0)))),"Fix")))</f>
        <v xml:space="preserve"> </v>
      </c>
      <c r="E407" s="3" t="str">
        <f ca="1">IF(OR(INDEX($K$2:$K$1001,MATCH(ROWS($J$2:J407),$J$2:$J$1001,0),1)&gt;=100000,INDEX($Q$1005:$U$1005,1,MATCH(COLUMNS($Q$1006:T1006),$Q$1006:$U$1006,0))&gt;=100000), " ",IF(INDEX($Q$2:$U$1001,MATCH(ROWS($J$2:J407),$J$2:$J$1001,0),MATCH(COLUMNS($Q$1006:T1006),$Q$1006:$U$1006,0)), HYPERLINK("#",""), HYPERLINK(CONCATENATE("#Metadata!", ADDRESS(INDEX($L$2:$L$1001,MATCH(ROWS($J$2:J407),$J$2:$J$1001,0),0), INDEX($Q$1004:$U$1004,1,MATCH(COLUMNS($Q$1006:T1006),$Q$1006:$U$1006,0)))),"Fix")))</f>
        <v xml:space="preserve"> </v>
      </c>
      <c r="F407" s="3" t="str">
        <f ca="1">IF(OR(INDEX($K$2:$K$1001,MATCH(ROWS($J$2:J407),$J$2:$J$1001,0),1)&gt;=100000,INDEX($Q$1005:$U$1005,1,MATCH(COLUMNS($Q$1006:U1006),$Q$1006:$U$1006,0))&gt;=100000), " ",IF(INDEX($Q$2:$U$1001,MATCH(ROWS($J$2:J407),$J$2:$J$1001,0),MATCH(COLUMNS($Q$1006:U1006),$Q$1006:$U$1006,0)), HYPERLINK("#",""), HYPERLINK(CONCATENATE("#Metadata!", ADDRESS(INDEX($L$2:$L$1001,MATCH(ROWS($J$2:J407),$J$2:$J$1001,0),0), INDEX($Q$1004:$U$1004,1,MATCH(COLUMNS($Q$1006:U1006),$Q$1006:$U$1006,0)))),"Fix")))</f>
        <v xml:space="preserve"> </v>
      </c>
      <c r="J407">
        <f ca="1"/>
        <v>406</v>
      </c>
      <c r="K407">
        <v>100407</v>
      </c>
      <c r="L407">
        <v>407</v>
      </c>
      <c r="M407" t="b">
        <f t="shared" si="6"/>
        <v>1</v>
      </c>
      <c r="N407" t="b">
        <f>COUNTBLANK(Metadata!B407:F407)=COLUMNS(Metadata!B407:F407)</f>
        <v>1</v>
      </c>
      <c r="O407" t="str">
        <v/>
      </c>
      <c r="Q407" t="b">
        <f ca="1"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R407" t="b">
        <f>IF(Metadata!C407="",FALSE,TRUE)</f>
        <v>0</v>
      </c>
      <c r="S407" t="b">
        <f>OR(AND(IF(Metadata!D407="",FALSE,TRUE),EXACT(Metadata!D407,"missing: not collected")),AND(IF(Metadata!D407="",FALSE,TRUE),OR(EXACT(Metadata!D407,"t"),EXACT(Metadata!D407,"f"))))</f>
        <v>0</v>
      </c>
      <c r="T407" t="b">
        <f>AND(IF(Metadata!E407="",FALSE,TRUE),OR(EXACT(Metadata!E407,"a"),EXACT(Metadata!E407,"b")))</f>
        <v>0</v>
      </c>
      <c r="U407" t="b">
        <f>OR(AND(IF(Metadata!F407="",FALSE,TRUE),OR(EXACT(Metadata!F407,"missing: not collected"),EXACT(Metadata!F407,"missing: not provided"))),AND(IF(Metadata!F407="",FALSE,TRUE),OR(EXACT(Metadata!F407,"lo"),EXACT(Metadata!F407,"med"),EXACT(Metadata!F407,"hi"))))</f>
        <v>0</v>
      </c>
    </row>
    <row r="408" spans="1:21" x14ac:dyDescent="0.2">
      <c r="A408" s="4" t="str">
        <f ca="1">IF(B408=" "," ",HYPERLINK(CONCATENATE("#metadata!",ADDRESS(INDEX($L$2:$L$1001,MATCH(ROWS($J$2:J408),$J$2:$J$1001,0),0),1)),INDEX($O$2:$O$1001,MATCH(ROWS($J$2:J408),$J$2:$J$1001,0),0)))</f>
        <v xml:space="preserve"> </v>
      </c>
      <c r="B408" s="3" t="str">
        <f ca="1">IF(OR(INDEX($K$2:$K$1001,MATCH(ROWS($J$2:J408),$J$2:$J$1001,0),1)&gt;=100000,INDEX($Q$1005:$U$1005,1,MATCH(COLUMNS($Q$1006:Q1006),$Q$1006:$U$1006,0))&gt;=100000), " ",IF(INDEX($Q$2:$U$1001,MATCH(ROWS($J$2:J408),$J$2:$J$1001,0),MATCH(COLUMNS($Q$1006:Q1006),$Q$1006:$U$1006,0)), HYPERLINK("#",""), HYPERLINK(CONCATENATE("#Metadata!", ADDRESS(INDEX($L$2:$L$1001,MATCH(ROWS($J$2:J408),$J$2:$J$1001,0),0), INDEX($Q$1004:$U$1004,1,MATCH(COLUMNS($Q$1006:Q1006),$Q$1006:$U$1006,0)))),"Fix")))</f>
        <v xml:space="preserve"> </v>
      </c>
      <c r="C408" s="3" t="str">
        <f ca="1">IF(OR(INDEX($K$2:$K$1001,MATCH(ROWS($J$2:J408),$J$2:$J$1001,0),1)&gt;=100000,INDEX($Q$1005:$U$1005,1,MATCH(COLUMNS($Q$1006:R1006),$Q$1006:$U$1006,0))&gt;=100000), " ",IF(INDEX($Q$2:$U$1001,MATCH(ROWS($J$2:J408),$J$2:$J$1001,0),MATCH(COLUMNS($Q$1006:R1006),$Q$1006:$U$1006,0)), HYPERLINK("#",""), HYPERLINK(CONCATENATE("#Metadata!", ADDRESS(INDEX($L$2:$L$1001,MATCH(ROWS($J$2:J408),$J$2:$J$1001,0),0), INDEX($Q$1004:$U$1004,1,MATCH(COLUMNS($Q$1006:R1006),$Q$1006:$U$1006,0)))),"Fix")))</f>
        <v xml:space="preserve"> </v>
      </c>
      <c r="D408" s="3" t="str">
        <f ca="1">IF(OR(INDEX($K$2:$K$1001,MATCH(ROWS($J$2:J408),$J$2:$J$1001,0),1)&gt;=100000,INDEX($Q$1005:$U$1005,1,MATCH(COLUMNS($Q$1006:S1006),$Q$1006:$U$1006,0))&gt;=100000), " ",IF(INDEX($Q$2:$U$1001,MATCH(ROWS($J$2:J408),$J$2:$J$1001,0),MATCH(COLUMNS($Q$1006:S1006),$Q$1006:$U$1006,0)), HYPERLINK("#",""), HYPERLINK(CONCATENATE("#Metadata!", ADDRESS(INDEX($L$2:$L$1001,MATCH(ROWS($J$2:J408),$J$2:$J$1001,0),0), INDEX($Q$1004:$U$1004,1,MATCH(COLUMNS($Q$1006:S1006),$Q$1006:$U$1006,0)))),"Fix")))</f>
        <v xml:space="preserve"> </v>
      </c>
      <c r="E408" s="3" t="str">
        <f ca="1">IF(OR(INDEX($K$2:$K$1001,MATCH(ROWS($J$2:J408),$J$2:$J$1001,0),1)&gt;=100000,INDEX($Q$1005:$U$1005,1,MATCH(COLUMNS($Q$1006:T1006),$Q$1006:$U$1006,0))&gt;=100000), " ",IF(INDEX($Q$2:$U$1001,MATCH(ROWS($J$2:J408),$J$2:$J$1001,0),MATCH(COLUMNS($Q$1006:T1006),$Q$1006:$U$1006,0)), HYPERLINK("#",""), HYPERLINK(CONCATENATE("#Metadata!", ADDRESS(INDEX($L$2:$L$1001,MATCH(ROWS($J$2:J408),$J$2:$J$1001,0),0), INDEX($Q$1004:$U$1004,1,MATCH(COLUMNS($Q$1006:T1006),$Q$1006:$U$1006,0)))),"Fix")))</f>
        <v xml:space="preserve"> </v>
      </c>
      <c r="F408" s="3" t="str">
        <f ca="1">IF(OR(INDEX($K$2:$K$1001,MATCH(ROWS($J$2:J408),$J$2:$J$1001,0),1)&gt;=100000,INDEX($Q$1005:$U$1005,1,MATCH(COLUMNS($Q$1006:U1006),$Q$1006:$U$1006,0))&gt;=100000), " ",IF(INDEX($Q$2:$U$1001,MATCH(ROWS($J$2:J408),$J$2:$J$1001,0),MATCH(COLUMNS($Q$1006:U1006),$Q$1006:$U$1006,0)), HYPERLINK("#",""), HYPERLINK(CONCATENATE("#Metadata!", ADDRESS(INDEX($L$2:$L$1001,MATCH(ROWS($J$2:J408),$J$2:$J$1001,0),0), INDEX($Q$1004:$U$1004,1,MATCH(COLUMNS($Q$1006:U1006),$Q$1006:$U$1006,0)))),"Fix")))</f>
        <v xml:space="preserve"> </v>
      </c>
      <c r="J408">
        <f ca="1"/>
        <v>407</v>
      </c>
      <c r="K408">
        <v>100408</v>
      </c>
      <c r="L408">
        <v>408</v>
      </c>
      <c r="M408" t="b">
        <f t="shared" si="6"/>
        <v>1</v>
      </c>
      <c r="N408" t="b">
        <f>COUNTBLANK(Metadata!B408:F408)=COLUMNS(Metadata!B408:F408)</f>
        <v>1</v>
      </c>
      <c r="O408" t="str">
        <v/>
      </c>
      <c r="Q408" t="b">
        <f ca="1"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R408" t="b">
        <f>IF(Metadata!C408="",FALSE,TRUE)</f>
        <v>0</v>
      </c>
      <c r="S408" t="b">
        <f>OR(AND(IF(Metadata!D408="",FALSE,TRUE),EXACT(Metadata!D408,"missing: not collected")),AND(IF(Metadata!D408="",FALSE,TRUE),OR(EXACT(Metadata!D408,"t"),EXACT(Metadata!D408,"f"))))</f>
        <v>0</v>
      </c>
      <c r="T408" t="b">
        <f>AND(IF(Metadata!E408="",FALSE,TRUE),OR(EXACT(Metadata!E408,"a"),EXACT(Metadata!E408,"b")))</f>
        <v>0</v>
      </c>
      <c r="U408" t="b">
        <f>OR(AND(IF(Metadata!F408="",FALSE,TRUE),OR(EXACT(Metadata!F408,"missing: not collected"),EXACT(Metadata!F408,"missing: not provided"))),AND(IF(Metadata!F408="",FALSE,TRUE),OR(EXACT(Metadata!F408,"lo"),EXACT(Metadata!F408,"med"),EXACT(Metadata!F408,"hi"))))</f>
        <v>0</v>
      </c>
    </row>
    <row r="409" spans="1:21" x14ac:dyDescent="0.2">
      <c r="A409" s="4" t="str">
        <f ca="1">IF(B409=" "," ",HYPERLINK(CONCATENATE("#metadata!",ADDRESS(INDEX($L$2:$L$1001,MATCH(ROWS($J$2:J409),$J$2:$J$1001,0),0),1)),INDEX($O$2:$O$1001,MATCH(ROWS($J$2:J409),$J$2:$J$1001,0),0)))</f>
        <v xml:space="preserve"> </v>
      </c>
      <c r="B409" s="3" t="str">
        <f ca="1">IF(OR(INDEX($K$2:$K$1001,MATCH(ROWS($J$2:J409),$J$2:$J$1001,0),1)&gt;=100000,INDEX($Q$1005:$U$1005,1,MATCH(COLUMNS($Q$1006:Q1006),$Q$1006:$U$1006,0))&gt;=100000), " ",IF(INDEX($Q$2:$U$1001,MATCH(ROWS($J$2:J409),$J$2:$J$1001,0),MATCH(COLUMNS($Q$1006:Q1006),$Q$1006:$U$1006,0)), HYPERLINK("#",""), HYPERLINK(CONCATENATE("#Metadata!", ADDRESS(INDEX($L$2:$L$1001,MATCH(ROWS($J$2:J409),$J$2:$J$1001,0),0), INDEX($Q$1004:$U$1004,1,MATCH(COLUMNS($Q$1006:Q1006),$Q$1006:$U$1006,0)))),"Fix")))</f>
        <v xml:space="preserve"> </v>
      </c>
      <c r="C409" s="3" t="str">
        <f ca="1">IF(OR(INDEX($K$2:$K$1001,MATCH(ROWS($J$2:J409),$J$2:$J$1001,0),1)&gt;=100000,INDEX($Q$1005:$U$1005,1,MATCH(COLUMNS($Q$1006:R1006),$Q$1006:$U$1006,0))&gt;=100000), " ",IF(INDEX($Q$2:$U$1001,MATCH(ROWS($J$2:J409),$J$2:$J$1001,0),MATCH(COLUMNS($Q$1006:R1006),$Q$1006:$U$1006,0)), HYPERLINK("#",""), HYPERLINK(CONCATENATE("#Metadata!", ADDRESS(INDEX($L$2:$L$1001,MATCH(ROWS($J$2:J409),$J$2:$J$1001,0),0), INDEX($Q$1004:$U$1004,1,MATCH(COLUMNS($Q$1006:R1006),$Q$1006:$U$1006,0)))),"Fix")))</f>
        <v xml:space="preserve"> </v>
      </c>
      <c r="D409" s="3" t="str">
        <f ca="1">IF(OR(INDEX($K$2:$K$1001,MATCH(ROWS($J$2:J409),$J$2:$J$1001,0),1)&gt;=100000,INDEX($Q$1005:$U$1005,1,MATCH(COLUMNS($Q$1006:S1006),$Q$1006:$U$1006,0))&gt;=100000), " ",IF(INDEX($Q$2:$U$1001,MATCH(ROWS($J$2:J409),$J$2:$J$1001,0),MATCH(COLUMNS($Q$1006:S1006),$Q$1006:$U$1006,0)), HYPERLINK("#",""), HYPERLINK(CONCATENATE("#Metadata!", ADDRESS(INDEX($L$2:$L$1001,MATCH(ROWS($J$2:J409),$J$2:$J$1001,0),0), INDEX($Q$1004:$U$1004,1,MATCH(COLUMNS($Q$1006:S1006),$Q$1006:$U$1006,0)))),"Fix")))</f>
        <v xml:space="preserve"> </v>
      </c>
      <c r="E409" s="3" t="str">
        <f ca="1">IF(OR(INDEX($K$2:$K$1001,MATCH(ROWS($J$2:J409),$J$2:$J$1001,0),1)&gt;=100000,INDEX($Q$1005:$U$1005,1,MATCH(COLUMNS($Q$1006:T1006),$Q$1006:$U$1006,0))&gt;=100000), " ",IF(INDEX($Q$2:$U$1001,MATCH(ROWS($J$2:J409),$J$2:$J$1001,0),MATCH(COLUMNS($Q$1006:T1006),$Q$1006:$U$1006,0)), HYPERLINK("#",""), HYPERLINK(CONCATENATE("#Metadata!", ADDRESS(INDEX($L$2:$L$1001,MATCH(ROWS($J$2:J409),$J$2:$J$1001,0),0), INDEX($Q$1004:$U$1004,1,MATCH(COLUMNS($Q$1006:T1006),$Q$1006:$U$1006,0)))),"Fix")))</f>
        <v xml:space="preserve"> </v>
      </c>
      <c r="F409" s="3" t="str">
        <f ca="1">IF(OR(INDEX($K$2:$K$1001,MATCH(ROWS($J$2:J409),$J$2:$J$1001,0),1)&gt;=100000,INDEX($Q$1005:$U$1005,1,MATCH(COLUMNS($Q$1006:U1006),$Q$1006:$U$1006,0))&gt;=100000), " ",IF(INDEX($Q$2:$U$1001,MATCH(ROWS($J$2:J409),$J$2:$J$1001,0),MATCH(COLUMNS($Q$1006:U1006),$Q$1006:$U$1006,0)), HYPERLINK("#",""), HYPERLINK(CONCATENATE("#Metadata!", ADDRESS(INDEX($L$2:$L$1001,MATCH(ROWS($J$2:J409),$J$2:$J$1001,0),0), INDEX($Q$1004:$U$1004,1,MATCH(COLUMNS($Q$1006:U1006),$Q$1006:$U$1006,0)))),"Fix")))</f>
        <v xml:space="preserve"> </v>
      </c>
      <c r="J409">
        <f ca="1"/>
        <v>408</v>
      </c>
      <c r="K409">
        <v>100409</v>
      </c>
      <c r="L409">
        <v>409</v>
      </c>
      <c r="M409" t="b">
        <f t="shared" si="6"/>
        <v>1</v>
      </c>
      <c r="N409" t="b">
        <f>COUNTBLANK(Metadata!B409:F409)=COLUMNS(Metadata!B409:F409)</f>
        <v>1</v>
      </c>
      <c r="O409" t="str">
        <v/>
      </c>
      <c r="Q409" t="b">
        <f ca="1"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R409" t="b">
        <f>IF(Metadata!C409="",FALSE,TRUE)</f>
        <v>0</v>
      </c>
      <c r="S409" t="b">
        <f>OR(AND(IF(Metadata!D409="",FALSE,TRUE),EXACT(Metadata!D409,"missing: not collected")),AND(IF(Metadata!D409="",FALSE,TRUE),OR(EXACT(Metadata!D409,"t"),EXACT(Metadata!D409,"f"))))</f>
        <v>0</v>
      </c>
      <c r="T409" t="b">
        <f>AND(IF(Metadata!E409="",FALSE,TRUE),OR(EXACT(Metadata!E409,"a"),EXACT(Metadata!E409,"b")))</f>
        <v>0</v>
      </c>
      <c r="U409" t="b">
        <f>OR(AND(IF(Metadata!F409="",FALSE,TRUE),OR(EXACT(Metadata!F409,"missing: not collected"),EXACT(Metadata!F409,"missing: not provided"))),AND(IF(Metadata!F409="",FALSE,TRUE),OR(EXACT(Metadata!F409,"lo"),EXACT(Metadata!F409,"med"),EXACT(Metadata!F409,"hi"))))</f>
        <v>0</v>
      </c>
    </row>
    <row r="410" spans="1:21" x14ac:dyDescent="0.2">
      <c r="A410" s="4" t="str">
        <f ca="1">IF(B410=" "," ",HYPERLINK(CONCATENATE("#metadata!",ADDRESS(INDEX($L$2:$L$1001,MATCH(ROWS($J$2:J410),$J$2:$J$1001,0),0),1)),INDEX($O$2:$O$1001,MATCH(ROWS($J$2:J410),$J$2:$J$1001,0),0)))</f>
        <v xml:space="preserve"> </v>
      </c>
      <c r="B410" s="3" t="str">
        <f ca="1">IF(OR(INDEX($K$2:$K$1001,MATCH(ROWS($J$2:J410),$J$2:$J$1001,0),1)&gt;=100000,INDEX($Q$1005:$U$1005,1,MATCH(COLUMNS($Q$1006:Q1006),$Q$1006:$U$1006,0))&gt;=100000), " ",IF(INDEX($Q$2:$U$1001,MATCH(ROWS($J$2:J410),$J$2:$J$1001,0),MATCH(COLUMNS($Q$1006:Q1006),$Q$1006:$U$1006,0)), HYPERLINK("#",""), HYPERLINK(CONCATENATE("#Metadata!", ADDRESS(INDEX($L$2:$L$1001,MATCH(ROWS($J$2:J410),$J$2:$J$1001,0),0), INDEX($Q$1004:$U$1004,1,MATCH(COLUMNS($Q$1006:Q1006),$Q$1006:$U$1006,0)))),"Fix")))</f>
        <v xml:space="preserve"> </v>
      </c>
      <c r="C410" s="3" t="str">
        <f ca="1">IF(OR(INDEX($K$2:$K$1001,MATCH(ROWS($J$2:J410),$J$2:$J$1001,0),1)&gt;=100000,INDEX($Q$1005:$U$1005,1,MATCH(COLUMNS($Q$1006:R1006),$Q$1006:$U$1006,0))&gt;=100000), " ",IF(INDEX($Q$2:$U$1001,MATCH(ROWS($J$2:J410),$J$2:$J$1001,0),MATCH(COLUMNS($Q$1006:R1006),$Q$1006:$U$1006,0)), HYPERLINK("#",""), HYPERLINK(CONCATENATE("#Metadata!", ADDRESS(INDEX($L$2:$L$1001,MATCH(ROWS($J$2:J410),$J$2:$J$1001,0),0), INDEX($Q$1004:$U$1004,1,MATCH(COLUMNS($Q$1006:R1006),$Q$1006:$U$1006,0)))),"Fix")))</f>
        <v xml:space="preserve"> </v>
      </c>
      <c r="D410" s="3" t="str">
        <f ca="1">IF(OR(INDEX($K$2:$K$1001,MATCH(ROWS($J$2:J410),$J$2:$J$1001,0),1)&gt;=100000,INDEX($Q$1005:$U$1005,1,MATCH(COLUMNS($Q$1006:S1006),$Q$1006:$U$1006,0))&gt;=100000), " ",IF(INDEX($Q$2:$U$1001,MATCH(ROWS($J$2:J410),$J$2:$J$1001,0),MATCH(COLUMNS($Q$1006:S1006),$Q$1006:$U$1006,0)), HYPERLINK("#",""), HYPERLINK(CONCATENATE("#Metadata!", ADDRESS(INDEX($L$2:$L$1001,MATCH(ROWS($J$2:J410),$J$2:$J$1001,0),0), INDEX($Q$1004:$U$1004,1,MATCH(COLUMNS($Q$1006:S1006),$Q$1006:$U$1006,0)))),"Fix")))</f>
        <v xml:space="preserve"> </v>
      </c>
      <c r="E410" s="3" t="str">
        <f ca="1">IF(OR(INDEX($K$2:$K$1001,MATCH(ROWS($J$2:J410),$J$2:$J$1001,0),1)&gt;=100000,INDEX($Q$1005:$U$1005,1,MATCH(COLUMNS($Q$1006:T1006),$Q$1006:$U$1006,0))&gt;=100000), " ",IF(INDEX($Q$2:$U$1001,MATCH(ROWS($J$2:J410),$J$2:$J$1001,0),MATCH(COLUMNS($Q$1006:T1006),$Q$1006:$U$1006,0)), HYPERLINK("#",""), HYPERLINK(CONCATENATE("#Metadata!", ADDRESS(INDEX($L$2:$L$1001,MATCH(ROWS($J$2:J410),$J$2:$J$1001,0),0), INDEX($Q$1004:$U$1004,1,MATCH(COLUMNS($Q$1006:T1006),$Q$1006:$U$1006,0)))),"Fix")))</f>
        <v xml:space="preserve"> </v>
      </c>
      <c r="F410" s="3" t="str">
        <f ca="1">IF(OR(INDEX($K$2:$K$1001,MATCH(ROWS($J$2:J410),$J$2:$J$1001,0),1)&gt;=100000,INDEX($Q$1005:$U$1005,1,MATCH(COLUMNS($Q$1006:U1006),$Q$1006:$U$1006,0))&gt;=100000), " ",IF(INDEX($Q$2:$U$1001,MATCH(ROWS($J$2:J410),$J$2:$J$1001,0),MATCH(COLUMNS($Q$1006:U1006),$Q$1006:$U$1006,0)), HYPERLINK("#",""), HYPERLINK(CONCATENATE("#Metadata!", ADDRESS(INDEX($L$2:$L$1001,MATCH(ROWS($J$2:J410),$J$2:$J$1001,0),0), INDEX($Q$1004:$U$1004,1,MATCH(COLUMNS($Q$1006:U1006),$Q$1006:$U$1006,0)))),"Fix")))</f>
        <v xml:space="preserve"> </v>
      </c>
      <c r="J410">
        <f ca="1"/>
        <v>409</v>
      </c>
      <c r="K410">
        <v>100410</v>
      </c>
      <c r="L410">
        <v>410</v>
      </c>
      <c r="M410" t="b">
        <f t="shared" si="6"/>
        <v>1</v>
      </c>
      <c r="N410" t="b">
        <f>COUNTBLANK(Metadata!B410:F410)=COLUMNS(Metadata!B410:F410)</f>
        <v>1</v>
      </c>
      <c r="O410" t="str">
        <v/>
      </c>
      <c r="Q410" t="b">
        <f ca="1"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R410" t="b">
        <f>IF(Metadata!C410="",FALSE,TRUE)</f>
        <v>0</v>
      </c>
      <c r="S410" t="b">
        <f>OR(AND(IF(Metadata!D410="",FALSE,TRUE),EXACT(Metadata!D410,"missing: not collected")),AND(IF(Metadata!D410="",FALSE,TRUE),OR(EXACT(Metadata!D410,"t"),EXACT(Metadata!D410,"f"))))</f>
        <v>0</v>
      </c>
      <c r="T410" t="b">
        <f>AND(IF(Metadata!E410="",FALSE,TRUE),OR(EXACT(Metadata!E410,"a"),EXACT(Metadata!E410,"b")))</f>
        <v>0</v>
      </c>
      <c r="U410" t="b">
        <f>OR(AND(IF(Metadata!F410="",FALSE,TRUE),OR(EXACT(Metadata!F410,"missing: not collected"),EXACT(Metadata!F410,"missing: not provided"))),AND(IF(Metadata!F410="",FALSE,TRUE),OR(EXACT(Metadata!F410,"lo"),EXACT(Metadata!F410,"med"),EXACT(Metadata!F410,"hi"))))</f>
        <v>0</v>
      </c>
    </row>
    <row r="411" spans="1:21" x14ac:dyDescent="0.2">
      <c r="A411" s="4" t="str">
        <f ca="1">IF(B411=" "," ",HYPERLINK(CONCATENATE("#metadata!",ADDRESS(INDEX($L$2:$L$1001,MATCH(ROWS($J$2:J411),$J$2:$J$1001,0),0),1)),INDEX($O$2:$O$1001,MATCH(ROWS($J$2:J411),$J$2:$J$1001,0),0)))</f>
        <v xml:space="preserve"> </v>
      </c>
      <c r="B411" s="3" t="str">
        <f ca="1">IF(OR(INDEX($K$2:$K$1001,MATCH(ROWS($J$2:J411),$J$2:$J$1001,0),1)&gt;=100000,INDEX($Q$1005:$U$1005,1,MATCH(COLUMNS($Q$1006:Q1006),$Q$1006:$U$1006,0))&gt;=100000), " ",IF(INDEX($Q$2:$U$1001,MATCH(ROWS($J$2:J411),$J$2:$J$1001,0),MATCH(COLUMNS($Q$1006:Q1006),$Q$1006:$U$1006,0)), HYPERLINK("#",""), HYPERLINK(CONCATENATE("#Metadata!", ADDRESS(INDEX($L$2:$L$1001,MATCH(ROWS($J$2:J411),$J$2:$J$1001,0),0), INDEX($Q$1004:$U$1004,1,MATCH(COLUMNS($Q$1006:Q1006),$Q$1006:$U$1006,0)))),"Fix")))</f>
        <v xml:space="preserve"> </v>
      </c>
      <c r="C411" s="3" t="str">
        <f ca="1">IF(OR(INDEX($K$2:$K$1001,MATCH(ROWS($J$2:J411),$J$2:$J$1001,0),1)&gt;=100000,INDEX($Q$1005:$U$1005,1,MATCH(COLUMNS($Q$1006:R1006),$Q$1006:$U$1006,0))&gt;=100000), " ",IF(INDEX($Q$2:$U$1001,MATCH(ROWS($J$2:J411),$J$2:$J$1001,0),MATCH(COLUMNS($Q$1006:R1006),$Q$1006:$U$1006,0)), HYPERLINK("#",""), HYPERLINK(CONCATENATE("#Metadata!", ADDRESS(INDEX($L$2:$L$1001,MATCH(ROWS($J$2:J411),$J$2:$J$1001,0),0), INDEX($Q$1004:$U$1004,1,MATCH(COLUMNS($Q$1006:R1006),$Q$1006:$U$1006,0)))),"Fix")))</f>
        <v xml:space="preserve"> </v>
      </c>
      <c r="D411" s="3" t="str">
        <f ca="1">IF(OR(INDEX($K$2:$K$1001,MATCH(ROWS($J$2:J411),$J$2:$J$1001,0),1)&gt;=100000,INDEX($Q$1005:$U$1005,1,MATCH(COLUMNS($Q$1006:S1006),$Q$1006:$U$1006,0))&gt;=100000), " ",IF(INDEX($Q$2:$U$1001,MATCH(ROWS($J$2:J411),$J$2:$J$1001,0),MATCH(COLUMNS($Q$1006:S1006),$Q$1006:$U$1006,0)), HYPERLINK("#",""), HYPERLINK(CONCATENATE("#Metadata!", ADDRESS(INDEX($L$2:$L$1001,MATCH(ROWS($J$2:J411),$J$2:$J$1001,0),0), INDEX($Q$1004:$U$1004,1,MATCH(COLUMNS($Q$1006:S1006),$Q$1006:$U$1006,0)))),"Fix")))</f>
        <v xml:space="preserve"> </v>
      </c>
      <c r="E411" s="3" t="str">
        <f ca="1">IF(OR(INDEX($K$2:$K$1001,MATCH(ROWS($J$2:J411),$J$2:$J$1001,0),1)&gt;=100000,INDEX($Q$1005:$U$1005,1,MATCH(COLUMNS($Q$1006:T1006),$Q$1006:$U$1006,0))&gt;=100000), " ",IF(INDEX($Q$2:$U$1001,MATCH(ROWS($J$2:J411),$J$2:$J$1001,0),MATCH(COLUMNS($Q$1006:T1006),$Q$1006:$U$1006,0)), HYPERLINK("#",""), HYPERLINK(CONCATENATE("#Metadata!", ADDRESS(INDEX($L$2:$L$1001,MATCH(ROWS($J$2:J411),$J$2:$J$1001,0),0), INDEX($Q$1004:$U$1004,1,MATCH(COLUMNS($Q$1006:T1006),$Q$1006:$U$1006,0)))),"Fix")))</f>
        <v xml:space="preserve"> </v>
      </c>
      <c r="F411" s="3" t="str">
        <f ca="1">IF(OR(INDEX($K$2:$K$1001,MATCH(ROWS($J$2:J411),$J$2:$J$1001,0),1)&gt;=100000,INDEX($Q$1005:$U$1005,1,MATCH(COLUMNS($Q$1006:U1006),$Q$1006:$U$1006,0))&gt;=100000), " ",IF(INDEX($Q$2:$U$1001,MATCH(ROWS($J$2:J411),$J$2:$J$1001,0),MATCH(COLUMNS($Q$1006:U1006),$Q$1006:$U$1006,0)), HYPERLINK("#",""), HYPERLINK(CONCATENATE("#Metadata!", ADDRESS(INDEX($L$2:$L$1001,MATCH(ROWS($J$2:J411),$J$2:$J$1001,0),0), INDEX($Q$1004:$U$1004,1,MATCH(COLUMNS($Q$1006:U1006),$Q$1006:$U$1006,0)))),"Fix")))</f>
        <v xml:space="preserve"> </v>
      </c>
      <c r="J411">
        <f ca="1"/>
        <v>410</v>
      </c>
      <c r="K411">
        <v>100411</v>
      </c>
      <c r="L411">
        <v>411</v>
      </c>
      <c r="M411" t="b">
        <f t="shared" si="6"/>
        <v>1</v>
      </c>
      <c r="N411" t="b">
        <f>COUNTBLANK(Metadata!B411:F411)=COLUMNS(Metadata!B411:F411)</f>
        <v>1</v>
      </c>
      <c r="O411" t="str">
        <v/>
      </c>
      <c r="Q411" t="b">
        <f ca="1"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R411" t="b">
        <f>IF(Metadata!C411="",FALSE,TRUE)</f>
        <v>0</v>
      </c>
      <c r="S411" t="b">
        <f>OR(AND(IF(Metadata!D411="",FALSE,TRUE),EXACT(Metadata!D411,"missing: not collected")),AND(IF(Metadata!D411="",FALSE,TRUE),OR(EXACT(Metadata!D411,"t"),EXACT(Metadata!D411,"f"))))</f>
        <v>0</v>
      </c>
      <c r="T411" t="b">
        <f>AND(IF(Metadata!E411="",FALSE,TRUE),OR(EXACT(Metadata!E411,"a"),EXACT(Metadata!E411,"b")))</f>
        <v>0</v>
      </c>
      <c r="U411" t="b">
        <f>OR(AND(IF(Metadata!F411="",FALSE,TRUE),OR(EXACT(Metadata!F411,"missing: not collected"),EXACT(Metadata!F411,"missing: not provided"))),AND(IF(Metadata!F411="",FALSE,TRUE),OR(EXACT(Metadata!F411,"lo"),EXACT(Metadata!F411,"med"),EXACT(Metadata!F411,"hi"))))</f>
        <v>0</v>
      </c>
    </row>
    <row r="412" spans="1:21" x14ac:dyDescent="0.2">
      <c r="A412" s="4" t="str">
        <f ca="1">IF(B412=" "," ",HYPERLINK(CONCATENATE("#metadata!",ADDRESS(INDEX($L$2:$L$1001,MATCH(ROWS($J$2:J412),$J$2:$J$1001,0),0),1)),INDEX($O$2:$O$1001,MATCH(ROWS($J$2:J412),$J$2:$J$1001,0),0)))</f>
        <v xml:space="preserve"> </v>
      </c>
      <c r="B412" s="3" t="str">
        <f ca="1">IF(OR(INDEX($K$2:$K$1001,MATCH(ROWS($J$2:J412),$J$2:$J$1001,0),1)&gt;=100000,INDEX($Q$1005:$U$1005,1,MATCH(COLUMNS($Q$1006:Q1006),$Q$1006:$U$1006,0))&gt;=100000), " ",IF(INDEX($Q$2:$U$1001,MATCH(ROWS($J$2:J412),$J$2:$J$1001,0),MATCH(COLUMNS($Q$1006:Q1006),$Q$1006:$U$1006,0)), HYPERLINK("#",""), HYPERLINK(CONCATENATE("#Metadata!", ADDRESS(INDEX($L$2:$L$1001,MATCH(ROWS($J$2:J412),$J$2:$J$1001,0),0), INDEX($Q$1004:$U$1004,1,MATCH(COLUMNS($Q$1006:Q1006),$Q$1006:$U$1006,0)))),"Fix")))</f>
        <v xml:space="preserve"> </v>
      </c>
      <c r="C412" s="3" t="str">
        <f ca="1">IF(OR(INDEX($K$2:$K$1001,MATCH(ROWS($J$2:J412),$J$2:$J$1001,0),1)&gt;=100000,INDEX($Q$1005:$U$1005,1,MATCH(COLUMNS($Q$1006:R1006),$Q$1006:$U$1006,0))&gt;=100000), " ",IF(INDEX($Q$2:$U$1001,MATCH(ROWS($J$2:J412),$J$2:$J$1001,0),MATCH(COLUMNS($Q$1006:R1006),$Q$1006:$U$1006,0)), HYPERLINK("#",""), HYPERLINK(CONCATENATE("#Metadata!", ADDRESS(INDEX($L$2:$L$1001,MATCH(ROWS($J$2:J412),$J$2:$J$1001,0),0), INDEX($Q$1004:$U$1004,1,MATCH(COLUMNS($Q$1006:R1006),$Q$1006:$U$1006,0)))),"Fix")))</f>
        <v xml:space="preserve"> </v>
      </c>
      <c r="D412" s="3" t="str">
        <f ca="1">IF(OR(INDEX($K$2:$K$1001,MATCH(ROWS($J$2:J412),$J$2:$J$1001,0),1)&gt;=100000,INDEX($Q$1005:$U$1005,1,MATCH(COLUMNS($Q$1006:S1006),$Q$1006:$U$1006,0))&gt;=100000), " ",IF(INDEX($Q$2:$U$1001,MATCH(ROWS($J$2:J412),$J$2:$J$1001,0),MATCH(COLUMNS($Q$1006:S1006),$Q$1006:$U$1006,0)), HYPERLINK("#",""), HYPERLINK(CONCATENATE("#Metadata!", ADDRESS(INDEX($L$2:$L$1001,MATCH(ROWS($J$2:J412),$J$2:$J$1001,0),0), INDEX($Q$1004:$U$1004,1,MATCH(COLUMNS($Q$1006:S1006),$Q$1006:$U$1006,0)))),"Fix")))</f>
        <v xml:space="preserve"> </v>
      </c>
      <c r="E412" s="3" t="str">
        <f ca="1">IF(OR(INDEX($K$2:$K$1001,MATCH(ROWS($J$2:J412),$J$2:$J$1001,0),1)&gt;=100000,INDEX($Q$1005:$U$1005,1,MATCH(COLUMNS($Q$1006:T1006),$Q$1006:$U$1006,0))&gt;=100000), " ",IF(INDEX($Q$2:$U$1001,MATCH(ROWS($J$2:J412),$J$2:$J$1001,0),MATCH(COLUMNS($Q$1006:T1006),$Q$1006:$U$1006,0)), HYPERLINK("#",""), HYPERLINK(CONCATENATE("#Metadata!", ADDRESS(INDEX($L$2:$L$1001,MATCH(ROWS($J$2:J412),$J$2:$J$1001,0),0), INDEX($Q$1004:$U$1004,1,MATCH(COLUMNS($Q$1006:T1006),$Q$1006:$U$1006,0)))),"Fix")))</f>
        <v xml:space="preserve"> </v>
      </c>
      <c r="F412" s="3" t="str">
        <f ca="1">IF(OR(INDEX($K$2:$K$1001,MATCH(ROWS($J$2:J412),$J$2:$J$1001,0),1)&gt;=100000,INDEX($Q$1005:$U$1005,1,MATCH(COLUMNS($Q$1006:U1006),$Q$1006:$U$1006,0))&gt;=100000), " ",IF(INDEX($Q$2:$U$1001,MATCH(ROWS($J$2:J412),$J$2:$J$1001,0),MATCH(COLUMNS($Q$1006:U1006),$Q$1006:$U$1006,0)), HYPERLINK("#",""), HYPERLINK(CONCATENATE("#Metadata!", ADDRESS(INDEX($L$2:$L$1001,MATCH(ROWS($J$2:J412),$J$2:$J$1001,0),0), INDEX($Q$1004:$U$1004,1,MATCH(COLUMNS($Q$1006:U1006),$Q$1006:$U$1006,0)))),"Fix")))</f>
        <v xml:space="preserve"> </v>
      </c>
      <c r="J412">
        <f ca="1"/>
        <v>411</v>
      </c>
      <c r="K412">
        <v>100412</v>
      </c>
      <c r="L412">
        <v>412</v>
      </c>
      <c r="M412" t="b">
        <f t="shared" si="6"/>
        <v>1</v>
      </c>
      <c r="N412" t="b">
        <f>COUNTBLANK(Metadata!B412:F412)=COLUMNS(Metadata!B412:F412)</f>
        <v>1</v>
      </c>
      <c r="O412" t="str">
        <v/>
      </c>
      <c r="Q412" t="b">
        <f ca="1"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R412" t="b">
        <f>IF(Metadata!C412="",FALSE,TRUE)</f>
        <v>0</v>
      </c>
      <c r="S412" t="b">
        <f>OR(AND(IF(Metadata!D412="",FALSE,TRUE),EXACT(Metadata!D412,"missing: not collected")),AND(IF(Metadata!D412="",FALSE,TRUE),OR(EXACT(Metadata!D412,"t"),EXACT(Metadata!D412,"f"))))</f>
        <v>0</v>
      </c>
      <c r="T412" t="b">
        <f>AND(IF(Metadata!E412="",FALSE,TRUE),OR(EXACT(Metadata!E412,"a"),EXACT(Metadata!E412,"b")))</f>
        <v>0</v>
      </c>
      <c r="U412" t="b">
        <f>OR(AND(IF(Metadata!F412="",FALSE,TRUE),OR(EXACT(Metadata!F412,"missing: not collected"),EXACT(Metadata!F412,"missing: not provided"))),AND(IF(Metadata!F412="",FALSE,TRUE),OR(EXACT(Metadata!F412,"lo"),EXACT(Metadata!F412,"med"),EXACT(Metadata!F412,"hi"))))</f>
        <v>0</v>
      </c>
    </row>
    <row r="413" spans="1:21" x14ac:dyDescent="0.2">
      <c r="A413" s="4" t="str">
        <f ca="1">IF(B413=" "," ",HYPERLINK(CONCATENATE("#metadata!",ADDRESS(INDEX($L$2:$L$1001,MATCH(ROWS($J$2:J413),$J$2:$J$1001,0),0),1)),INDEX($O$2:$O$1001,MATCH(ROWS($J$2:J413),$J$2:$J$1001,0),0)))</f>
        <v xml:space="preserve"> </v>
      </c>
      <c r="B413" s="3" t="str">
        <f ca="1">IF(OR(INDEX($K$2:$K$1001,MATCH(ROWS($J$2:J413),$J$2:$J$1001,0),1)&gt;=100000,INDEX($Q$1005:$U$1005,1,MATCH(COLUMNS($Q$1006:Q1006),$Q$1006:$U$1006,0))&gt;=100000), " ",IF(INDEX($Q$2:$U$1001,MATCH(ROWS($J$2:J413),$J$2:$J$1001,0),MATCH(COLUMNS($Q$1006:Q1006),$Q$1006:$U$1006,0)), HYPERLINK("#",""), HYPERLINK(CONCATENATE("#Metadata!", ADDRESS(INDEX($L$2:$L$1001,MATCH(ROWS($J$2:J413),$J$2:$J$1001,0),0), INDEX($Q$1004:$U$1004,1,MATCH(COLUMNS($Q$1006:Q1006),$Q$1006:$U$1006,0)))),"Fix")))</f>
        <v xml:space="preserve"> </v>
      </c>
      <c r="C413" s="3" t="str">
        <f ca="1">IF(OR(INDEX($K$2:$K$1001,MATCH(ROWS($J$2:J413),$J$2:$J$1001,0),1)&gt;=100000,INDEX($Q$1005:$U$1005,1,MATCH(COLUMNS($Q$1006:R1006),$Q$1006:$U$1006,0))&gt;=100000), " ",IF(INDEX($Q$2:$U$1001,MATCH(ROWS($J$2:J413),$J$2:$J$1001,0),MATCH(COLUMNS($Q$1006:R1006),$Q$1006:$U$1006,0)), HYPERLINK("#",""), HYPERLINK(CONCATENATE("#Metadata!", ADDRESS(INDEX($L$2:$L$1001,MATCH(ROWS($J$2:J413),$J$2:$J$1001,0),0), INDEX($Q$1004:$U$1004,1,MATCH(COLUMNS($Q$1006:R1006),$Q$1006:$U$1006,0)))),"Fix")))</f>
        <v xml:space="preserve"> </v>
      </c>
      <c r="D413" s="3" t="str">
        <f ca="1">IF(OR(INDEX($K$2:$K$1001,MATCH(ROWS($J$2:J413),$J$2:$J$1001,0),1)&gt;=100000,INDEX($Q$1005:$U$1005,1,MATCH(COLUMNS($Q$1006:S1006),$Q$1006:$U$1006,0))&gt;=100000), " ",IF(INDEX($Q$2:$U$1001,MATCH(ROWS($J$2:J413),$J$2:$J$1001,0),MATCH(COLUMNS($Q$1006:S1006),$Q$1006:$U$1006,0)), HYPERLINK("#",""), HYPERLINK(CONCATENATE("#Metadata!", ADDRESS(INDEX($L$2:$L$1001,MATCH(ROWS($J$2:J413),$J$2:$J$1001,0),0), INDEX($Q$1004:$U$1004,1,MATCH(COLUMNS($Q$1006:S1006),$Q$1006:$U$1006,0)))),"Fix")))</f>
        <v xml:space="preserve"> </v>
      </c>
      <c r="E413" s="3" t="str">
        <f ca="1">IF(OR(INDEX($K$2:$K$1001,MATCH(ROWS($J$2:J413),$J$2:$J$1001,0),1)&gt;=100000,INDEX($Q$1005:$U$1005,1,MATCH(COLUMNS($Q$1006:T1006),$Q$1006:$U$1006,0))&gt;=100000), " ",IF(INDEX($Q$2:$U$1001,MATCH(ROWS($J$2:J413),$J$2:$J$1001,0),MATCH(COLUMNS($Q$1006:T1006),$Q$1006:$U$1006,0)), HYPERLINK("#",""), HYPERLINK(CONCATENATE("#Metadata!", ADDRESS(INDEX($L$2:$L$1001,MATCH(ROWS($J$2:J413),$J$2:$J$1001,0),0), INDEX($Q$1004:$U$1004,1,MATCH(COLUMNS($Q$1006:T1006),$Q$1006:$U$1006,0)))),"Fix")))</f>
        <v xml:space="preserve"> </v>
      </c>
      <c r="F413" s="3" t="str">
        <f ca="1">IF(OR(INDEX($K$2:$K$1001,MATCH(ROWS($J$2:J413),$J$2:$J$1001,0),1)&gt;=100000,INDEX($Q$1005:$U$1005,1,MATCH(COLUMNS($Q$1006:U1006),$Q$1006:$U$1006,0))&gt;=100000), " ",IF(INDEX($Q$2:$U$1001,MATCH(ROWS($J$2:J413),$J$2:$J$1001,0),MATCH(COLUMNS($Q$1006:U1006),$Q$1006:$U$1006,0)), HYPERLINK("#",""), HYPERLINK(CONCATENATE("#Metadata!", ADDRESS(INDEX($L$2:$L$1001,MATCH(ROWS($J$2:J413),$J$2:$J$1001,0),0), INDEX($Q$1004:$U$1004,1,MATCH(COLUMNS($Q$1006:U1006),$Q$1006:$U$1006,0)))),"Fix")))</f>
        <v xml:space="preserve"> </v>
      </c>
      <c r="J413">
        <f ca="1"/>
        <v>412</v>
      </c>
      <c r="K413">
        <v>100413</v>
      </c>
      <c r="L413">
        <v>413</v>
      </c>
      <c r="M413" t="b">
        <f t="shared" si="6"/>
        <v>1</v>
      </c>
      <c r="N413" t="b">
        <f>COUNTBLANK(Metadata!B413:F413)=COLUMNS(Metadata!B413:F413)</f>
        <v>1</v>
      </c>
      <c r="O413" t="str">
        <v/>
      </c>
      <c r="Q413" t="b">
        <f ca="1"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R413" t="b">
        <f>IF(Metadata!C413="",FALSE,TRUE)</f>
        <v>0</v>
      </c>
      <c r="S413" t="b">
        <f>OR(AND(IF(Metadata!D413="",FALSE,TRUE),EXACT(Metadata!D413,"missing: not collected")),AND(IF(Metadata!D413="",FALSE,TRUE),OR(EXACT(Metadata!D413,"t"),EXACT(Metadata!D413,"f"))))</f>
        <v>0</v>
      </c>
      <c r="T413" t="b">
        <f>AND(IF(Metadata!E413="",FALSE,TRUE),OR(EXACT(Metadata!E413,"a"),EXACT(Metadata!E413,"b")))</f>
        <v>0</v>
      </c>
      <c r="U413" t="b">
        <f>OR(AND(IF(Metadata!F413="",FALSE,TRUE),OR(EXACT(Metadata!F413,"missing: not collected"),EXACT(Metadata!F413,"missing: not provided"))),AND(IF(Metadata!F413="",FALSE,TRUE),OR(EXACT(Metadata!F413,"lo"),EXACT(Metadata!F413,"med"),EXACT(Metadata!F413,"hi"))))</f>
        <v>0</v>
      </c>
    </row>
    <row r="414" spans="1:21" x14ac:dyDescent="0.2">
      <c r="A414" s="4" t="str">
        <f ca="1">IF(B414=" "," ",HYPERLINK(CONCATENATE("#metadata!",ADDRESS(INDEX($L$2:$L$1001,MATCH(ROWS($J$2:J414),$J$2:$J$1001,0),0),1)),INDEX($O$2:$O$1001,MATCH(ROWS($J$2:J414),$J$2:$J$1001,0),0)))</f>
        <v xml:space="preserve"> </v>
      </c>
      <c r="B414" s="3" t="str">
        <f ca="1">IF(OR(INDEX($K$2:$K$1001,MATCH(ROWS($J$2:J414),$J$2:$J$1001,0),1)&gt;=100000,INDEX($Q$1005:$U$1005,1,MATCH(COLUMNS($Q$1006:Q1006),$Q$1006:$U$1006,0))&gt;=100000), " ",IF(INDEX($Q$2:$U$1001,MATCH(ROWS($J$2:J414),$J$2:$J$1001,0),MATCH(COLUMNS($Q$1006:Q1006),$Q$1006:$U$1006,0)), HYPERLINK("#",""), HYPERLINK(CONCATENATE("#Metadata!", ADDRESS(INDEX($L$2:$L$1001,MATCH(ROWS($J$2:J414),$J$2:$J$1001,0),0), INDEX($Q$1004:$U$1004,1,MATCH(COLUMNS($Q$1006:Q1006),$Q$1006:$U$1006,0)))),"Fix")))</f>
        <v xml:space="preserve"> </v>
      </c>
      <c r="C414" s="3" t="str">
        <f ca="1">IF(OR(INDEX($K$2:$K$1001,MATCH(ROWS($J$2:J414),$J$2:$J$1001,0),1)&gt;=100000,INDEX($Q$1005:$U$1005,1,MATCH(COLUMNS($Q$1006:R1006),$Q$1006:$U$1006,0))&gt;=100000), " ",IF(INDEX($Q$2:$U$1001,MATCH(ROWS($J$2:J414),$J$2:$J$1001,0),MATCH(COLUMNS($Q$1006:R1006),$Q$1006:$U$1006,0)), HYPERLINK("#",""), HYPERLINK(CONCATENATE("#Metadata!", ADDRESS(INDEX($L$2:$L$1001,MATCH(ROWS($J$2:J414),$J$2:$J$1001,0),0), INDEX($Q$1004:$U$1004,1,MATCH(COLUMNS($Q$1006:R1006),$Q$1006:$U$1006,0)))),"Fix")))</f>
        <v xml:space="preserve"> </v>
      </c>
      <c r="D414" s="3" t="str">
        <f ca="1">IF(OR(INDEX($K$2:$K$1001,MATCH(ROWS($J$2:J414),$J$2:$J$1001,0),1)&gt;=100000,INDEX($Q$1005:$U$1005,1,MATCH(COLUMNS($Q$1006:S1006),$Q$1006:$U$1006,0))&gt;=100000), " ",IF(INDEX($Q$2:$U$1001,MATCH(ROWS($J$2:J414),$J$2:$J$1001,0),MATCH(COLUMNS($Q$1006:S1006),$Q$1006:$U$1006,0)), HYPERLINK("#",""), HYPERLINK(CONCATENATE("#Metadata!", ADDRESS(INDEX($L$2:$L$1001,MATCH(ROWS($J$2:J414),$J$2:$J$1001,0),0), INDEX($Q$1004:$U$1004,1,MATCH(COLUMNS($Q$1006:S1006),$Q$1006:$U$1006,0)))),"Fix")))</f>
        <v xml:space="preserve"> </v>
      </c>
      <c r="E414" s="3" t="str">
        <f ca="1">IF(OR(INDEX($K$2:$K$1001,MATCH(ROWS($J$2:J414),$J$2:$J$1001,0),1)&gt;=100000,INDEX($Q$1005:$U$1005,1,MATCH(COLUMNS($Q$1006:T1006),$Q$1006:$U$1006,0))&gt;=100000), " ",IF(INDEX($Q$2:$U$1001,MATCH(ROWS($J$2:J414),$J$2:$J$1001,0),MATCH(COLUMNS($Q$1006:T1006),$Q$1006:$U$1006,0)), HYPERLINK("#",""), HYPERLINK(CONCATENATE("#Metadata!", ADDRESS(INDEX($L$2:$L$1001,MATCH(ROWS($J$2:J414),$J$2:$J$1001,0),0), INDEX($Q$1004:$U$1004,1,MATCH(COLUMNS($Q$1006:T1006),$Q$1006:$U$1006,0)))),"Fix")))</f>
        <v xml:space="preserve"> </v>
      </c>
      <c r="F414" s="3" t="str">
        <f ca="1">IF(OR(INDEX($K$2:$K$1001,MATCH(ROWS($J$2:J414),$J$2:$J$1001,0),1)&gt;=100000,INDEX($Q$1005:$U$1005,1,MATCH(COLUMNS($Q$1006:U1006),$Q$1006:$U$1006,0))&gt;=100000), " ",IF(INDEX($Q$2:$U$1001,MATCH(ROWS($J$2:J414),$J$2:$J$1001,0),MATCH(COLUMNS($Q$1006:U1006),$Q$1006:$U$1006,0)), HYPERLINK("#",""), HYPERLINK(CONCATENATE("#Metadata!", ADDRESS(INDEX($L$2:$L$1001,MATCH(ROWS($J$2:J414),$J$2:$J$1001,0),0), INDEX($Q$1004:$U$1004,1,MATCH(COLUMNS($Q$1006:U1006),$Q$1006:$U$1006,0)))),"Fix")))</f>
        <v xml:space="preserve"> </v>
      </c>
      <c r="J414">
        <f ca="1"/>
        <v>413</v>
      </c>
      <c r="K414">
        <v>100414</v>
      </c>
      <c r="L414">
        <v>414</v>
      </c>
      <c r="M414" t="b">
        <f t="shared" si="6"/>
        <v>1</v>
      </c>
      <c r="N414" t="b">
        <f>COUNTBLANK(Metadata!B414:F414)=COLUMNS(Metadata!B414:F414)</f>
        <v>1</v>
      </c>
      <c r="O414" t="str">
        <v/>
      </c>
      <c r="Q414" t="b">
        <f ca="1"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R414" t="b">
        <f>IF(Metadata!C414="",FALSE,TRUE)</f>
        <v>0</v>
      </c>
      <c r="S414" t="b">
        <f>OR(AND(IF(Metadata!D414="",FALSE,TRUE),EXACT(Metadata!D414,"missing: not collected")),AND(IF(Metadata!D414="",FALSE,TRUE),OR(EXACT(Metadata!D414,"t"),EXACT(Metadata!D414,"f"))))</f>
        <v>0</v>
      </c>
      <c r="T414" t="b">
        <f>AND(IF(Metadata!E414="",FALSE,TRUE),OR(EXACT(Metadata!E414,"a"),EXACT(Metadata!E414,"b")))</f>
        <v>0</v>
      </c>
      <c r="U414" t="b">
        <f>OR(AND(IF(Metadata!F414="",FALSE,TRUE),OR(EXACT(Metadata!F414,"missing: not collected"),EXACT(Metadata!F414,"missing: not provided"))),AND(IF(Metadata!F414="",FALSE,TRUE),OR(EXACT(Metadata!F414,"lo"),EXACT(Metadata!F414,"med"),EXACT(Metadata!F414,"hi"))))</f>
        <v>0</v>
      </c>
    </row>
    <row r="415" spans="1:21" x14ac:dyDescent="0.2">
      <c r="A415" s="4" t="str">
        <f ca="1">IF(B415=" "," ",HYPERLINK(CONCATENATE("#metadata!",ADDRESS(INDEX($L$2:$L$1001,MATCH(ROWS($J$2:J415),$J$2:$J$1001,0),0),1)),INDEX($O$2:$O$1001,MATCH(ROWS($J$2:J415),$J$2:$J$1001,0),0)))</f>
        <v xml:space="preserve"> </v>
      </c>
      <c r="B415" s="3" t="str">
        <f ca="1">IF(OR(INDEX($K$2:$K$1001,MATCH(ROWS($J$2:J415),$J$2:$J$1001,0),1)&gt;=100000,INDEX($Q$1005:$U$1005,1,MATCH(COLUMNS($Q$1006:Q1006),$Q$1006:$U$1006,0))&gt;=100000), " ",IF(INDEX($Q$2:$U$1001,MATCH(ROWS($J$2:J415),$J$2:$J$1001,0),MATCH(COLUMNS($Q$1006:Q1006),$Q$1006:$U$1006,0)), HYPERLINK("#",""), HYPERLINK(CONCATENATE("#Metadata!", ADDRESS(INDEX($L$2:$L$1001,MATCH(ROWS($J$2:J415),$J$2:$J$1001,0),0), INDEX($Q$1004:$U$1004,1,MATCH(COLUMNS($Q$1006:Q1006),$Q$1006:$U$1006,0)))),"Fix")))</f>
        <v xml:space="preserve"> </v>
      </c>
      <c r="C415" s="3" t="str">
        <f ca="1">IF(OR(INDEX($K$2:$K$1001,MATCH(ROWS($J$2:J415),$J$2:$J$1001,0),1)&gt;=100000,INDEX($Q$1005:$U$1005,1,MATCH(COLUMNS($Q$1006:R1006),$Q$1006:$U$1006,0))&gt;=100000), " ",IF(INDEX($Q$2:$U$1001,MATCH(ROWS($J$2:J415),$J$2:$J$1001,0),MATCH(COLUMNS($Q$1006:R1006),$Q$1006:$U$1006,0)), HYPERLINK("#",""), HYPERLINK(CONCATENATE("#Metadata!", ADDRESS(INDEX($L$2:$L$1001,MATCH(ROWS($J$2:J415),$J$2:$J$1001,0),0), INDEX($Q$1004:$U$1004,1,MATCH(COLUMNS($Q$1006:R1006),$Q$1006:$U$1006,0)))),"Fix")))</f>
        <v xml:space="preserve"> </v>
      </c>
      <c r="D415" s="3" t="str">
        <f ca="1">IF(OR(INDEX($K$2:$K$1001,MATCH(ROWS($J$2:J415),$J$2:$J$1001,0),1)&gt;=100000,INDEX($Q$1005:$U$1005,1,MATCH(COLUMNS($Q$1006:S1006),$Q$1006:$U$1006,0))&gt;=100000), " ",IF(INDEX($Q$2:$U$1001,MATCH(ROWS($J$2:J415),$J$2:$J$1001,0),MATCH(COLUMNS($Q$1006:S1006),$Q$1006:$U$1006,0)), HYPERLINK("#",""), HYPERLINK(CONCATENATE("#Metadata!", ADDRESS(INDEX($L$2:$L$1001,MATCH(ROWS($J$2:J415),$J$2:$J$1001,0),0), INDEX($Q$1004:$U$1004,1,MATCH(COLUMNS($Q$1006:S1006),$Q$1006:$U$1006,0)))),"Fix")))</f>
        <v xml:space="preserve"> </v>
      </c>
      <c r="E415" s="3" t="str">
        <f ca="1">IF(OR(INDEX($K$2:$K$1001,MATCH(ROWS($J$2:J415),$J$2:$J$1001,0),1)&gt;=100000,INDEX($Q$1005:$U$1005,1,MATCH(COLUMNS($Q$1006:T1006),$Q$1006:$U$1006,0))&gt;=100000), " ",IF(INDEX($Q$2:$U$1001,MATCH(ROWS($J$2:J415),$J$2:$J$1001,0),MATCH(COLUMNS($Q$1006:T1006),$Q$1006:$U$1006,0)), HYPERLINK("#",""), HYPERLINK(CONCATENATE("#Metadata!", ADDRESS(INDEX($L$2:$L$1001,MATCH(ROWS($J$2:J415),$J$2:$J$1001,0),0), INDEX($Q$1004:$U$1004,1,MATCH(COLUMNS($Q$1006:T1006),$Q$1006:$U$1006,0)))),"Fix")))</f>
        <v xml:space="preserve"> </v>
      </c>
      <c r="F415" s="3" t="str">
        <f ca="1">IF(OR(INDEX($K$2:$K$1001,MATCH(ROWS($J$2:J415),$J$2:$J$1001,0),1)&gt;=100000,INDEX($Q$1005:$U$1005,1,MATCH(COLUMNS($Q$1006:U1006),$Q$1006:$U$1006,0))&gt;=100000), " ",IF(INDEX($Q$2:$U$1001,MATCH(ROWS($J$2:J415),$J$2:$J$1001,0),MATCH(COLUMNS($Q$1006:U1006),$Q$1006:$U$1006,0)), HYPERLINK("#",""), HYPERLINK(CONCATENATE("#Metadata!", ADDRESS(INDEX($L$2:$L$1001,MATCH(ROWS($J$2:J415),$J$2:$J$1001,0),0), INDEX($Q$1004:$U$1004,1,MATCH(COLUMNS($Q$1006:U1006),$Q$1006:$U$1006,0)))),"Fix")))</f>
        <v xml:space="preserve"> </v>
      </c>
      <c r="J415">
        <f ca="1"/>
        <v>414</v>
      </c>
      <c r="K415">
        <v>100415</v>
      </c>
      <c r="L415">
        <v>415</v>
      </c>
      <c r="M415" t="b">
        <f t="shared" si="6"/>
        <v>1</v>
      </c>
      <c r="N415" t="b">
        <f>COUNTBLANK(Metadata!B415:F415)=COLUMNS(Metadata!B415:F415)</f>
        <v>1</v>
      </c>
      <c r="O415" t="str">
        <v/>
      </c>
      <c r="Q415" t="b">
        <f ca="1"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R415" t="b">
        <f>IF(Metadata!C415="",FALSE,TRUE)</f>
        <v>0</v>
      </c>
      <c r="S415" t="b">
        <f>OR(AND(IF(Metadata!D415="",FALSE,TRUE),EXACT(Metadata!D415,"missing: not collected")),AND(IF(Metadata!D415="",FALSE,TRUE),OR(EXACT(Metadata!D415,"t"),EXACT(Metadata!D415,"f"))))</f>
        <v>0</v>
      </c>
      <c r="T415" t="b">
        <f>AND(IF(Metadata!E415="",FALSE,TRUE),OR(EXACT(Metadata!E415,"a"),EXACT(Metadata!E415,"b")))</f>
        <v>0</v>
      </c>
      <c r="U415" t="b">
        <f>OR(AND(IF(Metadata!F415="",FALSE,TRUE),OR(EXACT(Metadata!F415,"missing: not collected"),EXACT(Metadata!F415,"missing: not provided"))),AND(IF(Metadata!F415="",FALSE,TRUE),OR(EXACT(Metadata!F415,"lo"),EXACT(Metadata!F415,"med"),EXACT(Metadata!F415,"hi"))))</f>
        <v>0</v>
      </c>
    </row>
    <row r="416" spans="1:21" x14ac:dyDescent="0.2">
      <c r="A416" s="4" t="str">
        <f ca="1">IF(B416=" "," ",HYPERLINK(CONCATENATE("#metadata!",ADDRESS(INDEX($L$2:$L$1001,MATCH(ROWS($J$2:J416),$J$2:$J$1001,0),0),1)),INDEX($O$2:$O$1001,MATCH(ROWS($J$2:J416),$J$2:$J$1001,0),0)))</f>
        <v xml:space="preserve"> </v>
      </c>
      <c r="B416" s="3" t="str">
        <f ca="1">IF(OR(INDEX($K$2:$K$1001,MATCH(ROWS($J$2:J416),$J$2:$J$1001,0),1)&gt;=100000,INDEX($Q$1005:$U$1005,1,MATCH(COLUMNS($Q$1006:Q1006),$Q$1006:$U$1006,0))&gt;=100000), " ",IF(INDEX($Q$2:$U$1001,MATCH(ROWS($J$2:J416),$J$2:$J$1001,0),MATCH(COLUMNS($Q$1006:Q1006),$Q$1006:$U$1006,0)), HYPERLINK("#",""), HYPERLINK(CONCATENATE("#Metadata!", ADDRESS(INDEX($L$2:$L$1001,MATCH(ROWS($J$2:J416),$J$2:$J$1001,0),0), INDEX($Q$1004:$U$1004,1,MATCH(COLUMNS($Q$1006:Q1006),$Q$1006:$U$1006,0)))),"Fix")))</f>
        <v xml:space="preserve"> </v>
      </c>
      <c r="C416" s="3" t="str">
        <f ca="1">IF(OR(INDEX($K$2:$K$1001,MATCH(ROWS($J$2:J416),$J$2:$J$1001,0),1)&gt;=100000,INDEX($Q$1005:$U$1005,1,MATCH(COLUMNS($Q$1006:R1006),$Q$1006:$U$1006,0))&gt;=100000), " ",IF(INDEX($Q$2:$U$1001,MATCH(ROWS($J$2:J416),$J$2:$J$1001,0),MATCH(COLUMNS($Q$1006:R1006),$Q$1006:$U$1006,0)), HYPERLINK("#",""), HYPERLINK(CONCATENATE("#Metadata!", ADDRESS(INDEX($L$2:$L$1001,MATCH(ROWS($J$2:J416),$J$2:$J$1001,0),0), INDEX($Q$1004:$U$1004,1,MATCH(COLUMNS($Q$1006:R1006),$Q$1006:$U$1006,0)))),"Fix")))</f>
        <v xml:space="preserve"> </v>
      </c>
      <c r="D416" s="3" t="str">
        <f ca="1">IF(OR(INDEX($K$2:$K$1001,MATCH(ROWS($J$2:J416),$J$2:$J$1001,0),1)&gt;=100000,INDEX($Q$1005:$U$1005,1,MATCH(COLUMNS($Q$1006:S1006),$Q$1006:$U$1006,0))&gt;=100000), " ",IF(INDEX($Q$2:$U$1001,MATCH(ROWS($J$2:J416),$J$2:$J$1001,0),MATCH(COLUMNS($Q$1006:S1006),$Q$1006:$U$1006,0)), HYPERLINK("#",""), HYPERLINK(CONCATENATE("#Metadata!", ADDRESS(INDEX($L$2:$L$1001,MATCH(ROWS($J$2:J416),$J$2:$J$1001,0),0), INDEX($Q$1004:$U$1004,1,MATCH(COLUMNS($Q$1006:S1006),$Q$1006:$U$1006,0)))),"Fix")))</f>
        <v xml:space="preserve"> </v>
      </c>
      <c r="E416" s="3" t="str">
        <f ca="1">IF(OR(INDEX($K$2:$K$1001,MATCH(ROWS($J$2:J416),$J$2:$J$1001,0),1)&gt;=100000,INDEX($Q$1005:$U$1005,1,MATCH(COLUMNS($Q$1006:T1006),$Q$1006:$U$1006,0))&gt;=100000), " ",IF(INDEX($Q$2:$U$1001,MATCH(ROWS($J$2:J416),$J$2:$J$1001,0),MATCH(COLUMNS($Q$1006:T1006),$Q$1006:$U$1006,0)), HYPERLINK("#",""), HYPERLINK(CONCATENATE("#Metadata!", ADDRESS(INDEX($L$2:$L$1001,MATCH(ROWS($J$2:J416),$J$2:$J$1001,0),0), INDEX($Q$1004:$U$1004,1,MATCH(COLUMNS($Q$1006:T1006),$Q$1006:$U$1006,0)))),"Fix")))</f>
        <v xml:space="preserve"> </v>
      </c>
      <c r="F416" s="3" t="str">
        <f ca="1">IF(OR(INDEX($K$2:$K$1001,MATCH(ROWS($J$2:J416),$J$2:$J$1001,0),1)&gt;=100000,INDEX($Q$1005:$U$1005,1,MATCH(COLUMNS($Q$1006:U1006),$Q$1006:$U$1006,0))&gt;=100000), " ",IF(INDEX($Q$2:$U$1001,MATCH(ROWS($J$2:J416),$J$2:$J$1001,0),MATCH(COLUMNS($Q$1006:U1006),$Q$1006:$U$1006,0)), HYPERLINK("#",""), HYPERLINK(CONCATENATE("#Metadata!", ADDRESS(INDEX($L$2:$L$1001,MATCH(ROWS($J$2:J416),$J$2:$J$1001,0),0), INDEX($Q$1004:$U$1004,1,MATCH(COLUMNS($Q$1006:U1006),$Q$1006:$U$1006,0)))),"Fix")))</f>
        <v xml:space="preserve"> </v>
      </c>
      <c r="J416">
        <f ca="1"/>
        <v>415</v>
      </c>
      <c r="K416">
        <v>100416</v>
      </c>
      <c r="L416">
        <v>416</v>
      </c>
      <c r="M416" t="b">
        <f t="shared" si="6"/>
        <v>1</v>
      </c>
      <c r="N416" t="b">
        <f>COUNTBLANK(Metadata!B416:F416)=COLUMNS(Metadata!B416:F416)</f>
        <v>1</v>
      </c>
      <c r="O416" t="str">
        <v/>
      </c>
      <c r="Q416" t="b">
        <f ca="1"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R416" t="b">
        <f>IF(Metadata!C416="",FALSE,TRUE)</f>
        <v>0</v>
      </c>
      <c r="S416" t="b">
        <f>OR(AND(IF(Metadata!D416="",FALSE,TRUE),EXACT(Metadata!D416,"missing: not collected")),AND(IF(Metadata!D416="",FALSE,TRUE),OR(EXACT(Metadata!D416,"t"),EXACT(Metadata!D416,"f"))))</f>
        <v>0</v>
      </c>
      <c r="T416" t="b">
        <f>AND(IF(Metadata!E416="",FALSE,TRUE),OR(EXACT(Metadata!E416,"a"),EXACT(Metadata!E416,"b")))</f>
        <v>0</v>
      </c>
      <c r="U416" t="b">
        <f>OR(AND(IF(Metadata!F416="",FALSE,TRUE),OR(EXACT(Metadata!F416,"missing: not collected"),EXACT(Metadata!F416,"missing: not provided"))),AND(IF(Metadata!F416="",FALSE,TRUE),OR(EXACT(Metadata!F416,"lo"),EXACT(Metadata!F416,"med"),EXACT(Metadata!F416,"hi"))))</f>
        <v>0</v>
      </c>
    </row>
    <row r="417" spans="1:21" x14ac:dyDescent="0.2">
      <c r="A417" s="4" t="str">
        <f ca="1">IF(B417=" "," ",HYPERLINK(CONCATENATE("#metadata!",ADDRESS(INDEX($L$2:$L$1001,MATCH(ROWS($J$2:J417),$J$2:$J$1001,0),0),1)),INDEX($O$2:$O$1001,MATCH(ROWS($J$2:J417),$J$2:$J$1001,0),0)))</f>
        <v xml:space="preserve"> </v>
      </c>
      <c r="B417" s="3" t="str">
        <f ca="1">IF(OR(INDEX($K$2:$K$1001,MATCH(ROWS($J$2:J417),$J$2:$J$1001,0),1)&gt;=100000,INDEX($Q$1005:$U$1005,1,MATCH(COLUMNS($Q$1006:Q1006),$Q$1006:$U$1006,0))&gt;=100000), " ",IF(INDEX($Q$2:$U$1001,MATCH(ROWS($J$2:J417),$J$2:$J$1001,0),MATCH(COLUMNS($Q$1006:Q1006),$Q$1006:$U$1006,0)), HYPERLINK("#",""), HYPERLINK(CONCATENATE("#Metadata!", ADDRESS(INDEX($L$2:$L$1001,MATCH(ROWS($J$2:J417),$J$2:$J$1001,0),0), INDEX($Q$1004:$U$1004,1,MATCH(COLUMNS($Q$1006:Q1006),$Q$1006:$U$1006,0)))),"Fix")))</f>
        <v xml:space="preserve"> </v>
      </c>
      <c r="C417" s="3" t="str">
        <f ca="1">IF(OR(INDEX($K$2:$K$1001,MATCH(ROWS($J$2:J417),$J$2:$J$1001,0),1)&gt;=100000,INDEX($Q$1005:$U$1005,1,MATCH(COLUMNS($Q$1006:R1006),$Q$1006:$U$1006,0))&gt;=100000), " ",IF(INDEX($Q$2:$U$1001,MATCH(ROWS($J$2:J417),$J$2:$J$1001,0),MATCH(COLUMNS($Q$1006:R1006),$Q$1006:$U$1006,0)), HYPERLINK("#",""), HYPERLINK(CONCATENATE("#Metadata!", ADDRESS(INDEX($L$2:$L$1001,MATCH(ROWS($J$2:J417),$J$2:$J$1001,0),0), INDEX($Q$1004:$U$1004,1,MATCH(COLUMNS($Q$1006:R1006),$Q$1006:$U$1006,0)))),"Fix")))</f>
        <v xml:space="preserve"> </v>
      </c>
      <c r="D417" s="3" t="str">
        <f ca="1">IF(OR(INDEX($K$2:$K$1001,MATCH(ROWS($J$2:J417),$J$2:$J$1001,0),1)&gt;=100000,INDEX($Q$1005:$U$1005,1,MATCH(COLUMNS($Q$1006:S1006),$Q$1006:$U$1006,0))&gt;=100000), " ",IF(INDEX($Q$2:$U$1001,MATCH(ROWS($J$2:J417),$J$2:$J$1001,0),MATCH(COLUMNS($Q$1006:S1006),$Q$1006:$U$1006,0)), HYPERLINK("#",""), HYPERLINK(CONCATENATE("#Metadata!", ADDRESS(INDEX($L$2:$L$1001,MATCH(ROWS($J$2:J417),$J$2:$J$1001,0),0), INDEX($Q$1004:$U$1004,1,MATCH(COLUMNS($Q$1006:S1006),$Q$1006:$U$1006,0)))),"Fix")))</f>
        <v xml:space="preserve"> </v>
      </c>
      <c r="E417" s="3" t="str">
        <f ca="1">IF(OR(INDEX($K$2:$K$1001,MATCH(ROWS($J$2:J417),$J$2:$J$1001,0),1)&gt;=100000,INDEX($Q$1005:$U$1005,1,MATCH(COLUMNS($Q$1006:T1006),$Q$1006:$U$1006,0))&gt;=100000), " ",IF(INDEX($Q$2:$U$1001,MATCH(ROWS($J$2:J417),$J$2:$J$1001,0),MATCH(COLUMNS($Q$1006:T1006),$Q$1006:$U$1006,0)), HYPERLINK("#",""), HYPERLINK(CONCATENATE("#Metadata!", ADDRESS(INDEX($L$2:$L$1001,MATCH(ROWS($J$2:J417),$J$2:$J$1001,0),0), INDEX($Q$1004:$U$1004,1,MATCH(COLUMNS($Q$1006:T1006),$Q$1006:$U$1006,0)))),"Fix")))</f>
        <v xml:space="preserve"> </v>
      </c>
      <c r="F417" s="3" t="str">
        <f ca="1">IF(OR(INDEX($K$2:$K$1001,MATCH(ROWS($J$2:J417),$J$2:$J$1001,0),1)&gt;=100000,INDEX($Q$1005:$U$1005,1,MATCH(COLUMNS($Q$1006:U1006),$Q$1006:$U$1006,0))&gt;=100000), " ",IF(INDEX($Q$2:$U$1001,MATCH(ROWS($J$2:J417),$J$2:$J$1001,0),MATCH(COLUMNS($Q$1006:U1006),$Q$1006:$U$1006,0)), HYPERLINK("#",""), HYPERLINK(CONCATENATE("#Metadata!", ADDRESS(INDEX($L$2:$L$1001,MATCH(ROWS($J$2:J417),$J$2:$J$1001,0),0), INDEX($Q$1004:$U$1004,1,MATCH(COLUMNS($Q$1006:U1006),$Q$1006:$U$1006,0)))),"Fix")))</f>
        <v xml:space="preserve"> </v>
      </c>
      <c r="J417">
        <f ca="1"/>
        <v>416</v>
      </c>
      <c r="K417">
        <v>100417</v>
      </c>
      <c r="L417">
        <v>417</v>
      </c>
      <c r="M417" t="b">
        <f t="shared" si="6"/>
        <v>1</v>
      </c>
      <c r="N417" t="b">
        <f>COUNTBLANK(Metadata!B417:F417)=COLUMNS(Metadata!B417:F417)</f>
        <v>1</v>
      </c>
      <c r="O417" t="str">
        <v/>
      </c>
      <c r="Q417" t="b">
        <f ca="1"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R417" t="b">
        <f>IF(Metadata!C417="",FALSE,TRUE)</f>
        <v>0</v>
      </c>
      <c r="S417" t="b">
        <f>OR(AND(IF(Metadata!D417="",FALSE,TRUE),EXACT(Metadata!D417,"missing: not collected")),AND(IF(Metadata!D417="",FALSE,TRUE),OR(EXACT(Metadata!D417,"t"),EXACT(Metadata!D417,"f"))))</f>
        <v>0</v>
      </c>
      <c r="T417" t="b">
        <f>AND(IF(Metadata!E417="",FALSE,TRUE),OR(EXACT(Metadata!E417,"a"),EXACT(Metadata!E417,"b")))</f>
        <v>0</v>
      </c>
      <c r="U417" t="b">
        <f>OR(AND(IF(Metadata!F417="",FALSE,TRUE),OR(EXACT(Metadata!F417,"missing: not collected"),EXACT(Metadata!F417,"missing: not provided"))),AND(IF(Metadata!F417="",FALSE,TRUE),OR(EXACT(Metadata!F417,"lo"),EXACT(Metadata!F417,"med"),EXACT(Metadata!F417,"hi"))))</f>
        <v>0</v>
      </c>
    </row>
    <row r="418" spans="1:21" x14ac:dyDescent="0.2">
      <c r="A418" s="4" t="str">
        <f ca="1">IF(B418=" "," ",HYPERLINK(CONCATENATE("#metadata!",ADDRESS(INDEX($L$2:$L$1001,MATCH(ROWS($J$2:J418),$J$2:$J$1001,0),0),1)),INDEX($O$2:$O$1001,MATCH(ROWS($J$2:J418),$J$2:$J$1001,0),0)))</f>
        <v xml:space="preserve"> </v>
      </c>
      <c r="B418" s="3" t="str">
        <f ca="1">IF(OR(INDEX($K$2:$K$1001,MATCH(ROWS($J$2:J418),$J$2:$J$1001,0),1)&gt;=100000,INDEX($Q$1005:$U$1005,1,MATCH(COLUMNS($Q$1006:Q1006),$Q$1006:$U$1006,0))&gt;=100000), " ",IF(INDEX($Q$2:$U$1001,MATCH(ROWS($J$2:J418),$J$2:$J$1001,0),MATCH(COLUMNS($Q$1006:Q1006),$Q$1006:$U$1006,0)), HYPERLINK("#",""), HYPERLINK(CONCATENATE("#Metadata!", ADDRESS(INDEX($L$2:$L$1001,MATCH(ROWS($J$2:J418),$J$2:$J$1001,0),0), INDEX($Q$1004:$U$1004,1,MATCH(COLUMNS($Q$1006:Q1006),$Q$1006:$U$1006,0)))),"Fix")))</f>
        <v xml:space="preserve"> </v>
      </c>
      <c r="C418" s="3" t="str">
        <f ca="1">IF(OR(INDEX($K$2:$K$1001,MATCH(ROWS($J$2:J418),$J$2:$J$1001,0),1)&gt;=100000,INDEX($Q$1005:$U$1005,1,MATCH(COLUMNS($Q$1006:R1006),$Q$1006:$U$1006,0))&gt;=100000), " ",IF(INDEX($Q$2:$U$1001,MATCH(ROWS($J$2:J418),$J$2:$J$1001,0),MATCH(COLUMNS($Q$1006:R1006),$Q$1006:$U$1006,0)), HYPERLINK("#",""), HYPERLINK(CONCATENATE("#Metadata!", ADDRESS(INDEX($L$2:$L$1001,MATCH(ROWS($J$2:J418),$J$2:$J$1001,0),0), INDEX($Q$1004:$U$1004,1,MATCH(COLUMNS($Q$1006:R1006),$Q$1006:$U$1006,0)))),"Fix")))</f>
        <v xml:space="preserve"> </v>
      </c>
      <c r="D418" s="3" t="str">
        <f ca="1">IF(OR(INDEX($K$2:$K$1001,MATCH(ROWS($J$2:J418),$J$2:$J$1001,0),1)&gt;=100000,INDEX($Q$1005:$U$1005,1,MATCH(COLUMNS($Q$1006:S1006),$Q$1006:$U$1006,0))&gt;=100000), " ",IF(INDEX($Q$2:$U$1001,MATCH(ROWS($J$2:J418),$J$2:$J$1001,0),MATCH(COLUMNS($Q$1006:S1006),$Q$1006:$U$1006,0)), HYPERLINK("#",""), HYPERLINK(CONCATENATE("#Metadata!", ADDRESS(INDEX($L$2:$L$1001,MATCH(ROWS($J$2:J418),$J$2:$J$1001,0),0), INDEX($Q$1004:$U$1004,1,MATCH(COLUMNS($Q$1006:S1006),$Q$1006:$U$1006,0)))),"Fix")))</f>
        <v xml:space="preserve"> </v>
      </c>
      <c r="E418" s="3" t="str">
        <f ca="1">IF(OR(INDEX($K$2:$K$1001,MATCH(ROWS($J$2:J418),$J$2:$J$1001,0),1)&gt;=100000,INDEX($Q$1005:$U$1005,1,MATCH(COLUMNS($Q$1006:T1006),$Q$1006:$U$1006,0))&gt;=100000), " ",IF(INDEX($Q$2:$U$1001,MATCH(ROWS($J$2:J418),$J$2:$J$1001,0),MATCH(COLUMNS($Q$1006:T1006),$Q$1006:$U$1006,0)), HYPERLINK("#",""), HYPERLINK(CONCATENATE("#Metadata!", ADDRESS(INDEX($L$2:$L$1001,MATCH(ROWS($J$2:J418),$J$2:$J$1001,0),0), INDEX($Q$1004:$U$1004,1,MATCH(COLUMNS($Q$1006:T1006),$Q$1006:$U$1006,0)))),"Fix")))</f>
        <v xml:space="preserve"> </v>
      </c>
      <c r="F418" s="3" t="str">
        <f ca="1">IF(OR(INDEX($K$2:$K$1001,MATCH(ROWS($J$2:J418),$J$2:$J$1001,0),1)&gt;=100000,INDEX($Q$1005:$U$1005,1,MATCH(COLUMNS($Q$1006:U1006),$Q$1006:$U$1006,0))&gt;=100000), " ",IF(INDEX($Q$2:$U$1001,MATCH(ROWS($J$2:J418),$J$2:$J$1001,0),MATCH(COLUMNS($Q$1006:U1006),$Q$1006:$U$1006,0)), HYPERLINK("#",""), HYPERLINK(CONCATENATE("#Metadata!", ADDRESS(INDEX($L$2:$L$1001,MATCH(ROWS($J$2:J418),$J$2:$J$1001,0),0), INDEX($Q$1004:$U$1004,1,MATCH(COLUMNS($Q$1006:U1006),$Q$1006:$U$1006,0)))),"Fix")))</f>
        <v xml:space="preserve"> </v>
      </c>
      <c r="J418">
        <f ca="1"/>
        <v>417</v>
      </c>
      <c r="K418">
        <v>100418</v>
      </c>
      <c r="L418">
        <v>418</v>
      </c>
      <c r="M418" t="b">
        <f t="shared" si="6"/>
        <v>1</v>
      </c>
      <c r="N418" t="b">
        <f>COUNTBLANK(Metadata!B418:F418)=COLUMNS(Metadata!B418:F418)</f>
        <v>1</v>
      </c>
      <c r="O418" t="str">
        <v/>
      </c>
      <c r="Q418" t="b">
        <f ca="1"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R418" t="b">
        <f>IF(Metadata!C418="",FALSE,TRUE)</f>
        <v>0</v>
      </c>
      <c r="S418" t="b">
        <f>OR(AND(IF(Metadata!D418="",FALSE,TRUE),EXACT(Metadata!D418,"missing: not collected")),AND(IF(Metadata!D418="",FALSE,TRUE),OR(EXACT(Metadata!D418,"t"),EXACT(Metadata!D418,"f"))))</f>
        <v>0</v>
      </c>
      <c r="T418" t="b">
        <f>AND(IF(Metadata!E418="",FALSE,TRUE),OR(EXACT(Metadata!E418,"a"),EXACT(Metadata!E418,"b")))</f>
        <v>0</v>
      </c>
      <c r="U418" t="b">
        <f>OR(AND(IF(Metadata!F418="",FALSE,TRUE),OR(EXACT(Metadata!F418,"missing: not collected"),EXACT(Metadata!F418,"missing: not provided"))),AND(IF(Metadata!F418="",FALSE,TRUE),OR(EXACT(Metadata!F418,"lo"),EXACT(Metadata!F418,"med"),EXACT(Metadata!F418,"hi"))))</f>
        <v>0</v>
      </c>
    </row>
    <row r="419" spans="1:21" x14ac:dyDescent="0.2">
      <c r="A419" s="4" t="str">
        <f ca="1">IF(B419=" "," ",HYPERLINK(CONCATENATE("#metadata!",ADDRESS(INDEX($L$2:$L$1001,MATCH(ROWS($J$2:J419),$J$2:$J$1001,0),0),1)),INDEX($O$2:$O$1001,MATCH(ROWS($J$2:J419),$J$2:$J$1001,0),0)))</f>
        <v xml:space="preserve"> </v>
      </c>
      <c r="B419" s="3" t="str">
        <f ca="1">IF(OR(INDEX($K$2:$K$1001,MATCH(ROWS($J$2:J419),$J$2:$J$1001,0),1)&gt;=100000,INDEX($Q$1005:$U$1005,1,MATCH(COLUMNS($Q$1006:Q1006),$Q$1006:$U$1006,0))&gt;=100000), " ",IF(INDEX($Q$2:$U$1001,MATCH(ROWS($J$2:J419),$J$2:$J$1001,0),MATCH(COLUMNS($Q$1006:Q1006),$Q$1006:$U$1006,0)), HYPERLINK("#",""), HYPERLINK(CONCATENATE("#Metadata!", ADDRESS(INDEX($L$2:$L$1001,MATCH(ROWS($J$2:J419),$J$2:$J$1001,0),0), INDEX($Q$1004:$U$1004,1,MATCH(COLUMNS($Q$1006:Q1006),$Q$1006:$U$1006,0)))),"Fix")))</f>
        <v xml:space="preserve"> </v>
      </c>
      <c r="C419" s="3" t="str">
        <f ca="1">IF(OR(INDEX($K$2:$K$1001,MATCH(ROWS($J$2:J419),$J$2:$J$1001,0),1)&gt;=100000,INDEX($Q$1005:$U$1005,1,MATCH(COLUMNS($Q$1006:R1006),$Q$1006:$U$1006,0))&gt;=100000), " ",IF(INDEX($Q$2:$U$1001,MATCH(ROWS($J$2:J419),$J$2:$J$1001,0),MATCH(COLUMNS($Q$1006:R1006),$Q$1006:$U$1006,0)), HYPERLINK("#",""), HYPERLINK(CONCATENATE("#Metadata!", ADDRESS(INDEX($L$2:$L$1001,MATCH(ROWS($J$2:J419),$J$2:$J$1001,0),0), INDEX($Q$1004:$U$1004,1,MATCH(COLUMNS($Q$1006:R1006),$Q$1006:$U$1006,0)))),"Fix")))</f>
        <v xml:space="preserve"> </v>
      </c>
      <c r="D419" s="3" t="str">
        <f ca="1">IF(OR(INDEX($K$2:$K$1001,MATCH(ROWS($J$2:J419),$J$2:$J$1001,0),1)&gt;=100000,INDEX($Q$1005:$U$1005,1,MATCH(COLUMNS($Q$1006:S1006),$Q$1006:$U$1006,0))&gt;=100000), " ",IF(INDEX($Q$2:$U$1001,MATCH(ROWS($J$2:J419),$J$2:$J$1001,0),MATCH(COLUMNS($Q$1006:S1006),$Q$1006:$U$1006,0)), HYPERLINK("#",""), HYPERLINK(CONCATENATE("#Metadata!", ADDRESS(INDEX($L$2:$L$1001,MATCH(ROWS($J$2:J419),$J$2:$J$1001,0),0), INDEX($Q$1004:$U$1004,1,MATCH(COLUMNS($Q$1006:S1006),$Q$1006:$U$1006,0)))),"Fix")))</f>
        <v xml:space="preserve"> </v>
      </c>
      <c r="E419" s="3" t="str">
        <f ca="1">IF(OR(INDEX($K$2:$K$1001,MATCH(ROWS($J$2:J419),$J$2:$J$1001,0),1)&gt;=100000,INDEX($Q$1005:$U$1005,1,MATCH(COLUMNS($Q$1006:T1006),$Q$1006:$U$1006,0))&gt;=100000), " ",IF(INDEX($Q$2:$U$1001,MATCH(ROWS($J$2:J419),$J$2:$J$1001,0),MATCH(COLUMNS($Q$1006:T1006),$Q$1006:$U$1006,0)), HYPERLINK("#",""), HYPERLINK(CONCATENATE("#Metadata!", ADDRESS(INDEX($L$2:$L$1001,MATCH(ROWS($J$2:J419),$J$2:$J$1001,0),0), INDEX($Q$1004:$U$1004,1,MATCH(COLUMNS($Q$1006:T1006),$Q$1006:$U$1006,0)))),"Fix")))</f>
        <v xml:space="preserve"> </v>
      </c>
      <c r="F419" s="3" t="str">
        <f ca="1">IF(OR(INDEX($K$2:$K$1001,MATCH(ROWS($J$2:J419),$J$2:$J$1001,0),1)&gt;=100000,INDEX($Q$1005:$U$1005,1,MATCH(COLUMNS($Q$1006:U1006),$Q$1006:$U$1006,0))&gt;=100000), " ",IF(INDEX($Q$2:$U$1001,MATCH(ROWS($J$2:J419),$J$2:$J$1001,0),MATCH(COLUMNS($Q$1006:U1006),$Q$1006:$U$1006,0)), HYPERLINK("#",""), HYPERLINK(CONCATENATE("#Metadata!", ADDRESS(INDEX($L$2:$L$1001,MATCH(ROWS($J$2:J419),$J$2:$J$1001,0),0), INDEX($Q$1004:$U$1004,1,MATCH(COLUMNS($Q$1006:U1006),$Q$1006:$U$1006,0)))),"Fix")))</f>
        <v xml:space="preserve"> </v>
      </c>
      <c r="J419">
        <f ca="1"/>
        <v>418</v>
      </c>
      <c r="K419">
        <v>100419</v>
      </c>
      <c r="L419">
        <v>419</v>
      </c>
      <c r="M419" t="b">
        <f t="shared" si="6"/>
        <v>1</v>
      </c>
      <c r="N419" t="b">
        <f>COUNTBLANK(Metadata!B419:F419)=COLUMNS(Metadata!B419:F419)</f>
        <v>1</v>
      </c>
      <c r="O419" t="str">
        <v/>
      </c>
      <c r="Q419" t="b">
        <f ca="1"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R419" t="b">
        <f>IF(Metadata!C419="",FALSE,TRUE)</f>
        <v>0</v>
      </c>
      <c r="S419" t="b">
        <f>OR(AND(IF(Metadata!D419="",FALSE,TRUE),EXACT(Metadata!D419,"missing: not collected")),AND(IF(Metadata!D419="",FALSE,TRUE),OR(EXACT(Metadata!D419,"t"),EXACT(Metadata!D419,"f"))))</f>
        <v>0</v>
      </c>
      <c r="T419" t="b">
        <f>AND(IF(Metadata!E419="",FALSE,TRUE),OR(EXACT(Metadata!E419,"a"),EXACT(Metadata!E419,"b")))</f>
        <v>0</v>
      </c>
      <c r="U419" t="b">
        <f>OR(AND(IF(Metadata!F419="",FALSE,TRUE),OR(EXACT(Metadata!F419,"missing: not collected"),EXACT(Metadata!F419,"missing: not provided"))),AND(IF(Metadata!F419="",FALSE,TRUE),OR(EXACT(Metadata!F419,"lo"),EXACT(Metadata!F419,"med"),EXACT(Metadata!F419,"hi"))))</f>
        <v>0</v>
      </c>
    </row>
    <row r="420" spans="1:21" x14ac:dyDescent="0.2">
      <c r="A420" s="4" t="str">
        <f ca="1">IF(B420=" "," ",HYPERLINK(CONCATENATE("#metadata!",ADDRESS(INDEX($L$2:$L$1001,MATCH(ROWS($J$2:J420),$J$2:$J$1001,0),0),1)),INDEX($O$2:$O$1001,MATCH(ROWS($J$2:J420),$J$2:$J$1001,0),0)))</f>
        <v xml:space="preserve"> </v>
      </c>
      <c r="B420" s="3" t="str">
        <f ca="1">IF(OR(INDEX($K$2:$K$1001,MATCH(ROWS($J$2:J420),$J$2:$J$1001,0),1)&gt;=100000,INDEX($Q$1005:$U$1005,1,MATCH(COLUMNS($Q$1006:Q1006),$Q$1006:$U$1006,0))&gt;=100000), " ",IF(INDEX($Q$2:$U$1001,MATCH(ROWS($J$2:J420),$J$2:$J$1001,0),MATCH(COLUMNS($Q$1006:Q1006),$Q$1006:$U$1006,0)), HYPERLINK("#",""), HYPERLINK(CONCATENATE("#Metadata!", ADDRESS(INDEX($L$2:$L$1001,MATCH(ROWS($J$2:J420),$J$2:$J$1001,0),0), INDEX($Q$1004:$U$1004,1,MATCH(COLUMNS($Q$1006:Q1006),$Q$1006:$U$1006,0)))),"Fix")))</f>
        <v xml:space="preserve"> </v>
      </c>
      <c r="C420" s="3" t="str">
        <f ca="1">IF(OR(INDEX($K$2:$K$1001,MATCH(ROWS($J$2:J420),$J$2:$J$1001,0),1)&gt;=100000,INDEX($Q$1005:$U$1005,1,MATCH(COLUMNS($Q$1006:R1006),$Q$1006:$U$1006,0))&gt;=100000), " ",IF(INDEX($Q$2:$U$1001,MATCH(ROWS($J$2:J420),$J$2:$J$1001,0),MATCH(COLUMNS($Q$1006:R1006),$Q$1006:$U$1006,0)), HYPERLINK("#",""), HYPERLINK(CONCATENATE("#Metadata!", ADDRESS(INDEX($L$2:$L$1001,MATCH(ROWS($J$2:J420),$J$2:$J$1001,0),0), INDEX($Q$1004:$U$1004,1,MATCH(COLUMNS($Q$1006:R1006),$Q$1006:$U$1006,0)))),"Fix")))</f>
        <v xml:space="preserve"> </v>
      </c>
      <c r="D420" s="3" t="str">
        <f ca="1">IF(OR(INDEX($K$2:$K$1001,MATCH(ROWS($J$2:J420),$J$2:$J$1001,0),1)&gt;=100000,INDEX($Q$1005:$U$1005,1,MATCH(COLUMNS($Q$1006:S1006),$Q$1006:$U$1006,0))&gt;=100000), " ",IF(INDEX($Q$2:$U$1001,MATCH(ROWS($J$2:J420),$J$2:$J$1001,0),MATCH(COLUMNS($Q$1006:S1006),$Q$1006:$U$1006,0)), HYPERLINK("#",""), HYPERLINK(CONCATENATE("#Metadata!", ADDRESS(INDEX($L$2:$L$1001,MATCH(ROWS($J$2:J420),$J$2:$J$1001,0),0), INDEX($Q$1004:$U$1004,1,MATCH(COLUMNS($Q$1006:S1006),$Q$1006:$U$1006,0)))),"Fix")))</f>
        <v xml:space="preserve"> </v>
      </c>
      <c r="E420" s="3" t="str">
        <f ca="1">IF(OR(INDEX($K$2:$K$1001,MATCH(ROWS($J$2:J420),$J$2:$J$1001,0),1)&gt;=100000,INDEX($Q$1005:$U$1005,1,MATCH(COLUMNS($Q$1006:T1006),$Q$1006:$U$1006,0))&gt;=100000), " ",IF(INDEX($Q$2:$U$1001,MATCH(ROWS($J$2:J420),$J$2:$J$1001,0),MATCH(COLUMNS($Q$1006:T1006),$Q$1006:$U$1006,0)), HYPERLINK("#",""), HYPERLINK(CONCATENATE("#Metadata!", ADDRESS(INDEX($L$2:$L$1001,MATCH(ROWS($J$2:J420),$J$2:$J$1001,0),0), INDEX($Q$1004:$U$1004,1,MATCH(COLUMNS($Q$1006:T1006),$Q$1006:$U$1006,0)))),"Fix")))</f>
        <v xml:space="preserve"> </v>
      </c>
      <c r="F420" s="3" t="str">
        <f ca="1">IF(OR(INDEX($K$2:$K$1001,MATCH(ROWS($J$2:J420),$J$2:$J$1001,0),1)&gt;=100000,INDEX($Q$1005:$U$1005,1,MATCH(COLUMNS($Q$1006:U1006),$Q$1006:$U$1006,0))&gt;=100000), " ",IF(INDEX($Q$2:$U$1001,MATCH(ROWS($J$2:J420),$J$2:$J$1001,0),MATCH(COLUMNS($Q$1006:U1006),$Q$1006:$U$1006,0)), HYPERLINK("#",""), HYPERLINK(CONCATENATE("#Metadata!", ADDRESS(INDEX($L$2:$L$1001,MATCH(ROWS($J$2:J420),$J$2:$J$1001,0),0), INDEX($Q$1004:$U$1004,1,MATCH(COLUMNS($Q$1006:U1006),$Q$1006:$U$1006,0)))),"Fix")))</f>
        <v xml:space="preserve"> </v>
      </c>
      <c r="J420">
        <f ca="1"/>
        <v>419</v>
      </c>
      <c r="K420">
        <v>100420</v>
      </c>
      <c r="L420">
        <v>420</v>
      </c>
      <c r="M420" t="b">
        <f t="shared" si="6"/>
        <v>1</v>
      </c>
      <c r="N420" t="b">
        <f>COUNTBLANK(Metadata!B420:F420)=COLUMNS(Metadata!B420:F420)</f>
        <v>1</v>
      </c>
      <c r="O420" t="str">
        <v/>
      </c>
      <c r="Q420" t="b">
        <f ca="1"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R420" t="b">
        <f>IF(Metadata!C420="",FALSE,TRUE)</f>
        <v>0</v>
      </c>
      <c r="S420" t="b">
        <f>OR(AND(IF(Metadata!D420="",FALSE,TRUE),EXACT(Metadata!D420,"missing: not collected")),AND(IF(Metadata!D420="",FALSE,TRUE),OR(EXACT(Metadata!D420,"t"),EXACT(Metadata!D420,"f"))))</f>
        <v>0</v>
      </c>
      <c r="T420" t="b">
        <f>AND(IF(Metadata!E420="",FALSE,TRUE),OR(EXACT(Metadata!E420,"a"),EXACT(Metadata!E420,"b")))</f>
        <v>0</v>
      </c>
      <c r="U420" t="b">
        <f>OR(AND(IF(Metadata!F420="",FALSE,TRUE),OR(EXACT(Metadata!F420,"missing: not collected"),EXACT(Metadata!F420,"missing: not provided"))),AND(IF(Metadata!F420="",FALSE,TRUE),OR(EXACT(Metadata!F420,"lo"),EXACT(Metadata!F420,"med"),EXACT(Metadata!F420,"hi"))))</f>
        <v>0</v>
      </c>
    </row>
    <row r="421" spans="1:21" x14ac:dyDescent="0.2">
      <c r="A421" s="4" t="str">
        <f ca="1">IF(B421=" "," ",HYPERLINK(CONCATENATE("#metadata!",ADDRESS(INDEX($L$2:$L$1001,MATCH(ROWS($J$2:J421),$J$2:$J$1001,0),0),1)),INDEX($O$2:$O$1001,MATCH(ROWS($J$2:J421),$J$2:$J$1001,0),0)))</f>
        <v xml:space="preserve"> </v>
      </c>
      <c r="B421" s="3" t="str">
        <f ca="1">IF(OR(INDEX($K$2:$K$1001,MATCH(ROWS($J$2:J421),$J$2:$J$1001,0),1)&gt;=100000,INDEX($Q$1005:$U$1005,1,MATCH(COLUMNS($Q$1006:Q1006),$Q$1006:$U$1006,0))&gt;=100000), " ",IF(INDEX($Q$2:$U$1001,MATCH(ROWS($J$2:J421),$J$2:$J$1001,0),MATCH(COLUMNS($Q$1006:Q1006),$Q$1006:$U$1006,0)), HYPERLINK("#",""), HYPERLINK(CONCATENATE("#Metadata!", ADDRESS(INDEX($L$2:$L$1001,MATCH(ROWS($J$2:J421),$J$2:$J$1001,0),0), INDEX($Q$1004:$U$1004,1,MATCH(COLUMNS($Q$1006:Q1006),$Q$1006:$U$1006,0)))),"Fix")))</f>
        <v xml:space="preserve"> </v>
      </c>
      <c r="C421" s="3" t="str">
        <f ca="1">IF(OR(INDEX($K$2:$K$1001,MATCH(ROWS($J$2:J421),$J$2:$J$1001,0),1)&gt;=100000,INDEX($Q$1005:$U$1005,1,MATCH(COLUMNS($Q$1006:R1006),$Q$1006:$U$1006,0))&gt;=100000), " ",IF(INDEX($Q$2:$U$1001,MATCH(ROWS($J$2:J421),$J$2:$J$1001,0),MATCH(COLUMNS($Q$1006:R1006),$Q$1006:$U$1006,0)), HYPERLINK("#",""), HYPERLINK(CONCATENATE("#Metadata!", ADDRESS(INDEX($L$2:$L$1001,MATCH(ROWS($J$2:J421),$J$2:$J$1001,0),0), INDEX($Q$1004:$U$1004,1,MATCH(COLUMNS($Q$1006:R1006),$Q$1006:$U$1006,0)))),"Fix")))</f>
        <v xml:space="preserve"> </v>
      </c>
      <c r="D421" s="3" t="str">
        <f ca="1">IF(OR(INDEX($K$2:$K$1001,MATCH(ROWS($J$2:J421),$J$2:$J$1001,0),1)&gt;=100000,INDEX($Q$1005:$U$1005,1,MATCH(COLUMNS($Q$1006:S1006),$Q$1006:$U$1006,0))&gt;=100000), " ",IF(INDEX($Q$2:$U$1001,MATCH(ROWS($J$2:J421),$J$2:$J$1001,0),MATCH(COLUMNS($Q$1006:S1006),$Q$1006:$U$1006,0)), HYPERLINK("#",""), HYPERLINK(CONCATENATE("#Metadata!", ADDRESS(INDEX($L$2:$L$1001,MATCH(ROWS($J$2:J421),$J$2:$J$1001,0),0), INDEX($Q$1004:$U$1004,1,MATCH(COLUMNS($Q$1006:S1006),$Q$1006:$U$1006,0)))),"Fix")))</f>
        <v xml:space="preserve"> </v>
      </c>
      <c r="E421" s="3" t="str">
        <f ca="1">IF(OR(INDEX($K$2:$K$1001,MATCH(ROWS($J$2:J421),$J$2:$J$1001,0),1)&gt;=100000,INDEX($Q$1005:$U$1005,1,MATCH(COLUMNS($Q$1006:T1006),$Q$1006:$U$1006,0))&gt;=100000), " ",IF(INDEX($Q$2:$U$1001,MATCH(ROWS($J$2:J421),$J$2:$J$1001,0),MATCH(COLUMNS($Q$1006:T1006),$Q$1006:$U$1006,0)), HYPERLINK("#",""), HYPERLINK(CONCATENATE("#Metadata!", ADDRESS(INDEX($L$2:$L$1001,MATCH(ROWS($J$2:J421),$J$2:$J$1001,0),0), INDEX($Q$1004:$U$1004,1,MATCH(COLUMNS($Q$1006:T1006),$Q$1006:$U$1006,0)))),"Fix")))</f>
        <v xml:space="preserve"> </v>
      </c>
      <c r="F421" s="3" t="str">
        <f ca="1">IF(OR(INDEX($K$2:$K$1001,MATCH(ROWS($J$2:J421),$J$2:$J$1001,0),1)&gt;=100000,INDEX($Q$1005:$U$1005,1,MATCH(COLUMNS($Q$1006:U1006),$Q$1006:$U$1006,0))&gt;=100000), " ",IF(INDEX($Q$2:$U$1001,MATCH(ROWS($J$2:J421),$J$2:$J$1001,0),MATCH(COLUMNS($Q$1006:U1006),$Q$1006:$U$1006,0)), HYPERLINK("#",""), HYPERLINK(CONCATENATE("#Metadata!", ADDRESS(INDEX($L$2:$L$1001,MATCH(ROWS($J$2:J421),$J$2:$J$1001,0),0), INDEX($Q$1004:$U$1004,1,MATCH(COLUMNS($Q$1006:U1006),$Q$1006:$U$1006,0)))),"Fix")))</f>
        <v xml:space="preserve"> </v>
      </c>
      <c r="J421">
        <f ca="1"/>
        <v>420</v>
      </c>
      <c r="K421">
        <v>100421</v>
      </c>
      <c r="L421">
        <v>421</v>
      </c>
      <c r="M421" t="b">
        <f t="shared" si="6"/>
        <v>1</v>
      </c>
      <c r="N421" t="b">
        <f>COUNTBLANK(Metadata!B421:F421)=COLUMNS(Metadata!B421:F421)</f>
        <v>1</v>
      </c>
      <c r="O421" t="str">
        <v/>
      </c>
      <c r="Q421" t="b">
        <f ca="1"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R421" t="b">
        <f>IF(Metadata!C421="",FALSE,TRUE)</f>
        <v>0</v>
      </c>
      <c r="S421" t="b">
        <f>OR(AND(IF(Metadata!D421="",FALSE,TRUE),EXACT(Metadata!D421,"missing: not collected")),AND(IF(Metadata!D421="",FALSE,TRUE),OR(EXACT(Metadata!D421,"t"),EXACT(Metadata!D421,"f"))))</f>
        <v>0</v>
      </c>
      <c r="T421" t="b">
        <f>AND(IF(Metadata!E421="",FALSE,TRUE),OR(EXACT(Metadata!E421,"a"),EXACT(Metadata!E421,"b")))</f>
        <v>0</v>
      </c>
      <c r="U421" t="b">
        <f>OR(AND(IF(Metadata!F421="",FALSE,TRUE),OR(EXACT(Metadata!F421,"missing: not collected"),EXACT(Metadata!F421,"missing: not provided"))),AND(IF(Metadata!F421="",FALSE,TRUE),OR(EXACT(Metadata!F421,"lo"),EXACT(Metadata!F421,"med"),EXACT(Metadata!F421,"hi"))))</f>
        <v>0</v>
      </c>
    </row>
    <row r="422" spans="1:21" x14ac:dyDescent="0.2">
      <c r="A422" s="4" t="str">
        <f ca="1">IF(B422=" "," ",HYPERLINK(CONCATENATE("#metadata!",ADDRESS(INDEX($L$2:$L$1001,MATCH(ROWS($J$2:J422),$J$2:$J$1001,0),0),1)),INDEX($O$2:$O$1001,MATCH(ROWS($J$2:J422),$J$2:$J$1001,0),0)))</f>
        <v xml:space="preserve"> </v>
      </c>
      <c r="B422" s="3" t="str">
        <f ca="1">IF(OR(INDEX($K$2:$K$1001,MATCH(ROWS($J$2:J422),$J$2:$J$1001,0),1)&gt;=100000,INDEX($Q$1005:$U$1005,1,MATCH(COLUMNS($Q$1006:Q1006),$Q$1006:$U$1006,0))&gt;=100000), " ",IF(INDEX($Q$2:$U$1001,MATCH(ROWS($J$2:J422),$J$2:$J$1001,0),MATCH(COLUMNS($Q$1006:Q1006),$Q$1006:$U$1006,0)), HYPERLINK("#",""), HYPERLINK(CONCATENATE("#Metadata!", ADDRESS(INDEX($L$2:$L$1001,MATCH(ROWS($J$2:J422),$J$2:$J$1001,0),0), INDEX($Q$1004:$U$1004,1,MATCH(COLUMNS($Q$1006:Q1006),$Q$1006:$U$1006,0)))),"Fix")))</f>
        <v xml:space="preserve"> </v>
      </c>
      <c r="C422" s="3" t="str">
        <f ca="1">IF(OR(INDEX($K$2:$K$1001,MATCH(ROWS($J$2:J422),$J$2:$J$1001,0),1)&gt;=100000,INDEX($Q$1005:$U$1005,1,MATCH(COLUMNS($Q$1006:R1006),$Q$1006:$U$1006,0))&gt;=100000), " ",IF(INDEX($Q$2:$U$1001,MATCH(ROWS($J$2:J422),$J$2:$J$1001,0),MATCH(COLUMNS($Q$1006:R1006),$Q$1006:$U$1006,0)), HYPERLINK("#",""), HYPERLINK(CONCATENATE("#Metadata!", ADDRESS(INDEX($L$2:$L$1001,MATCH(ROWS($J$2:J422),$J$2:$J$1001,0),0), INDEX($Q$1004:$U$1004,1,MATCH(COLUMNS($Q$1006:R1006),$Q$1006:$U$1006,0)))),"Fix")))</f>
        <v xml:space="preserve"> </v>
      </c>
      <c r="D422" s="3" t="str">
        <f ca="1">IF(OR(INDEX($K$2:$K$1001,MATCH(ROWS($J$2:J422),$J$2:$J$1001,0),1)&gt;=100000,INDEX($Q$1005:$U$1005,1,MATCH(COLUMNS($Q$1006:S1006),$Q$1006:$U$1006,0))&gt;=100000), " ",IF(INDEX($Q$2:$U$1001,MATCH(ROWS($J$2:J422),$J$2:$J$1001,0),MATCH(COLUMNS($Q$1006:S1006),$Q$1006:$U$1006,0)), HYPERLINK("#",""), HYPERLINK(CONCATENATE("#Metadata!", ADDRESS(INDEX($L$2:$L$1001,MATCH(ROWS($J$2:J422),$J$2:$J$1001,0),0), INDEX($Q$1004:$U$1004,1,MATCH(COLUMNS($Q$1006:S1006),$Q$1006:$U$1006,0)))),"Fix")))</f>
        <v xml:space="preserve"> </v>
      </c>
      <c r="E422" s="3" t="str">
        <f ca="1">IF(OR(INDEX($K$2:$K$1001,MATCH(ROWS($J$2:J422),$J$2:$J$1001,0),1)&gt;=100000,INDEX($Q$1005:$U$1005,1,MATCH(COLUMNS($Q$1006:T1006),$Q$1006:$U$1006,0))&gt;=100000), " ",IF(INDEX($Q$2:$U$1001,MATCH(ROWS($J$2:J422),$J$2:$J$1001,0),MATCH(COLUMNS($Q$1006:T1006),$Q$1006:$U$1006,0)), HYPERLINK("#",""), HYPERLINK(CONCATENATE("#Metadata!", ADDRESS(INDEX($L$2:$L$1001,MATCH(ROWS($J$2:J422),$J$2:$J$1001,0),0), INDEX($Q$1004:$U$1004,1,MATCH(COLUMNS($Q$1006:T1006),$Q$1006:$U$1006,0)))),"Fix")))</f>
        <v xml:space="preserve"> </v>
      </c>
      <c r="F422" s="3" t="str">
        <f ca="1">IF(OR(INDEX($K$2:$K$1001,MATCH(ROWS($J$2:J422),$J$2:$J$1001,0),1)&gt;=100000,INDEX($Q$1005:$U$1005,1,MATCH(COLUMNS($Q$1006:U1006),$Q$1006:$U$1006,0))&gt;=100000), " ",IF(INDEX($Q$2:$U$1001,MATCH(ROWS($J$2:J422),$J$2:$J$1001,0),MATCH(COLUMNS($Q$1006:U1006),$Q$1006:$U$1006,0)), HYPERLINK("#",""), HYPERLINK(CONCATENATE("#Metadata!", ADDRESS(INDEX($L$2:$L$1001,MATCH(ROWS($J$2:J422),$J$2:$J$1001,0),0), INDEX($Q$1004:$U$1004,1,MATCH(COLUMNS($Q$1006:U1006),$Q$1006:$U$1006,0)))),"Fix")))</f>
        <v xml:space="preserve"> </v>
      </c>
      <c r="J422">
        <f ca="1"/>
        <v>421</v>
      </c>
      <c r="K422">
        <v>100422</v>
      </c>
      <c r="L422">
        <v>422</v>
      </c>
      <c r="M422" t="b">
        <f t="shared" si="6"/>
        <v>1</v>
      </c>
      <c r="N422" t="b">
        <f>COUNTBLANK(Metadata!B422:F422)=COLUMNS(Metadata!B422:F422)</f>
        <v>1</v>
      </c>
      <c r="O422" t="str">
        <v/>
      </c>
      <c r="Q422" t="b">
        <f ca="1"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R422" t="b">
        <f>IF(Metadata!C422="",FALSE,TRUE)</f>
        <v>0</v>
      </c>
      <c r="S422" t="b">
        <f>OR(AND(IF(Metadata!D422="",FALSE,TRUE),EXACT(Metadata!D422,"missing: not collected")),AND(IF(Metadata!D422="",FALSE,TRUE),OR(EXACT(Metadata!D422,"t"),EXACT(Metadata!D422,"f"))))</f>
        <v>0</v>
      </c>
      <c r="T422" t="b">
        <f>AND(IF(Metadata!E422="",FALSE,TRUE),OR(EXACT(Metadata!E422,"a"),EXACT(Metadata!E422,"b")))</f>
        <v>0</v>
      </c>
      <c r="U422" t="b">
        <f>OR(AND(IF(Metadata!F422="",FALSE,TRUE),OR(EXACT(Metadata!F422,"missing: not collected"),EXACT(Metadata!F422,"missing: not provided"))),AND(IF(Metadata!F422="",FALSE,TRUE),OR(EXACT(Metadata!F422,"lo"),EXACT(Metadata!F422,"med"),EXACT(Metadata!F422,"hi"))))</f>
        <v>0</v>
      </c>
    </row>
    <row r="423" spans="1:21" x14ac:dyDescent="0.2">
      <c r="A423" s="4" t="str">
        <f ca="1">IF(B423=" "," ",HYPERLINK(CONCATENATE("#metadata!",ADDRESS(INDEX($L$2:$L$1001,MATCH(ROWS($J$2:J423),$J$2:$J$1001,0),0),1)),INDEX($O$2:$O$1001,MATCH(ROWS($J$2:J423),$J$2:$J$1001,0),0)))</f>
        <v xml:space="preserve"> </v>
      </c>
      <c r="B423" s="3" t="str">
        <f ca="1">IF(OR(INDEX($K$2:$K$1001,MATCH(ROWS($J$2:J423),$J$2:$J$1001,0),1)&gt;=100000,INDEX($Q$1005:$U$1005,1,MATCH(COLUMNS($Q$1006:Q1006),$Q$1006:$U$1006,0))&gt;=100000), " ",IF(INDEX($Q$2:$U$1001,MATCH(ROWS($J$2:J423),$J$2:$J$1001,0),MATCH(COLUMNS($Q$1006:Q1006),$Q$1006:$U$1006,0)), HYPERLINK("#",""), HYPERLINK(CONCATENATE("#Metadata!", ADDRESS(INDEX($L$2:$L$1001,MATCH(ROWS($J$2:J423),$J$2:$J$1001,0),0), INDEX($Q$1004:$U$1004,1,MATCH(COLUMNS($Q$1006:Q1006),$Q$1006:$U$1006,0)))),"Fix")))</f>
        <v xml:space="preserve"> </v>
      </c>
      <c r="C423" s="3" t="str">
        <f ca="1">IF(OR(INDEX($K$2:$K$1001,MATCH(ROWS($J$2:J423),$J$2:$J$1001,0),1)&gt;=100000,INDEX($Q$1005:$U$1005,1,MATCH(COLUMNS($Q$1006:R1006),$Q$1006:$U$1006,0))&gt;=100000), " ",IF(INDEX($Q$2:$U$1001,MATCH(ROWS($J$2:J423),$J$2:$J$1001,0),MATCH(COLUMNS($Q$1006:R1006),$Q$1006:$U$1006,0)), HYPERLINK("#",""), HYPERLINK(CONCATENATE("#Metadata!", ADDRESS(INDEX($L$2:$L$1001,MATCH(ROWS($J$2:J423),$J$2:$J$1001,0),0), INDEX($Q$1004:$U$1004,1,MATCH(COLUMNS($Q$1006:R1006),$Q$1006:$U$1006,0)))),"Fix")))</f>
        <v xml:space="preserve"> </v>
      </c>
      <c r="D423" s="3" t="str">
        <f ca="1">IF(OR(INDEX($K$2:$K$1001,MATCH(ROWS($J$2:J423),$J$2:$J$1001,0),1)&gt;=100000,INDEX($Q$1005:$U$1005,1,MATCH(COLUMNS($Q$1006:S1006),$Q$1006:$U$1006,0))&gt;=100000), " ",IF(INDEX($Q$2:$U$1001,MATCH(ROWS($J$2:J423),$J$2:$J$1001,0),MATCH(COLUMNS($Q$1006:S1006),$Q$1006:$U$1006,0)), HYPERLINK("#",""), HYPERLINK(CONCATENATE("#Metadata!", ADDRESS(INDEX($L$2:$L$1001,MATCH(ROWS($J$2:J423),$J$2:$J$1001,0),0), INDEX($Q$1004:$U$1004,1,MATCH(COLUMNS($Q$1006:S1006),$Q$1006:$U$1006,0)))),"Fix")))</f>
        <v xml:space="preserve"> </v>
      </c>
      <c r="E423" s="3" t="str">
        <f ca="1">IF(OR(INDEX($K$2:$K$1001,MATCH(ROWS($J$2:J423),$J$2:$J$1001,0),1)&gt;=100000,INDEX($Q$1005:$U$1005,1,MATCH(COLUMNS($Q$1006:T1006),$Q$1006:$U$1006,0))&gt;=100000), " ",IF(INDEX($Q$2:$U$1001,MATCH(ROWS($J$2:J423),$J$2:$J$1001,0),MATCH(COLUMNS($Q$1006:T1006),$Q$1006:$U$1006,0)), HYPERLINK("#",""), HYPERLINK(CONCATENATE("#Metadata!", ADDRESS(INDEX($L$2:$L$1001,MATCH(ROWS($J$2:J423),$J$2:$J$1001,0),0), INDEX($Q$1004:$U$1004,1,MATCH(COLUMNS($Q$1006:T1006),$Q$1006:$U$1006,0)))),"Fix")))</f>
        <v xml:space="preserve"> </v>
      </c>
      <c r="F423" s="3" t="str">
        <f ca="1">IF(OR(INDEX($K$2:$K$1001,MATCH(ROWS($J$2:J423),$J$2:$J$1001,0),1)&gt;=100000,INDEX($Q$1005:$U$1005,1,MATCH(COLUMNS($Q$1006:U1006),$Q$1006:$U$1006,0))&gt;=100000), " ",IF(INDEX($Q$2:$U$1001,MATCH(ROWS($J$2:J423),$J$2:$J$1001,0),MATCH(COLUMNS($Q$1006:U1006),$Q$1006:$U$1006,0)), HYPERLINK("#",""), HYPERLINK(CONCATENATE("#Metadata!", ADDRESS(INDEX($L$2:$L$1001,MATCH(ROWS($J$2:J423),$J$2:$J$1001,0),0), INDEX($Q$1004:$U$1004,1,MATCH(COLUMNS($Q$1006:U1006),$Q$1006:$U$1006,0)))),"Fix")))</f>
        <v xml:space="preserve"> </v>
      </c>
      <c r="J423">
        <f ca="1"/>
        <v>422</v>
      </c>
      <c r="K423">
        <v>100423</v>
      </c>
      <c r="L423">
        <v>423</v>
      </c>
      <c r="M423" t="b">
        <f t="shared" si="6"/>
        <v>1</v>
      </c>
      <c r="N423" t="b">
        <f>COUNTBLANK(Metadata!B423:F423)=COLUMNS(Metadata!B423:F423)</f>
        <v>1</v>
      </c>
      <c r="O423" t="str">
        <v/>
      </c>
      <c r="Q423" t="b">
        <f ca="1"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R423" t="b">
        <f>IF(Metadata!C423="",FALSE,TRUE)</f>
        <v>0</v>
      </c>
      <c r="S423" t="b">
        <f>OR(AND(IF(Metadata!D423="",FALSE,TRUE),EXACT(Metadata!D423,"missing: not collected")),AND(IF(Metadata!D423="",FALSE,TRUE),OR(EXACT(Metadata!D423,"t"),EXACT(Metadata!D423,"f"))))</f>
        <v>0</v>
      </c>
      <c r="T423" t="b">
        <f>AND(IF(Metadata!E423="",FALSE,TRUE),OR(EXACT(Metadata!E423,"a"),EXACT(Metadata!E423,"b")))</f>
        <v>0</v>
      </c>
      <c r="U423" t="b">
        <f>OR(AND(IF(Metadata!F423="",FALSE,TRUE),OR(EXACT(Metadata!F423,"missing: not collected"),EXACT(Metadata!F423,"missing: not provided"))),AND(IF(Metadata!F423="",FALSE,TRUE),OR(EXACT(Metadata!F423,"lo"),EXACT(Metadata!F423,"med"),EXACT(Metadata!F423,"hi"))))</f>
        <v>0</v>
      </c>
    </row>
    <row r="424" spans="1:21" x14ac:dyDescent="0.2">
      <c r="A424" s="4" t="str">
        <f ca="1">IF(B424=" "," ",HYPERLINK(CONCATENATE("#metadata!",ADDRESS(INDEX($L$2:$L$1001,MATCH(ROWS($J$2:J424),$J$2:$J$1001,0),0),1)),INDEX($O$2:$O$1001,MATCH(ROWS($J$2:J424),$J$2:$J$1001,0),0)))</f>
        <v xml:space="preserve"> </v>
      </c>
      <c r="B424" s="3" t="str">
        <f ca="1">IF(OR(INDEX($K$2:$K$1001,MATCH(ROWS($J$2:J424),$J$2:$J$1001,0),1)&gt;=100000,INDEX($Q$1005:$U$1005,1,MATCH(COLUMNS($Q$1006:Q1006),$Q$1006:$U$1006,0))&gt;=100000), " ",IF(INDEX($Q$2:$U$1001,MATCH(ROWS($J$2:J424),$J$2:$J$1001,0),MATCH(COLUMNS($Q$1006:Q1006),$Q$1006:$U$1006,0)), HYPERLINK("#",""), HYPERLINK(CONCATENATE("#Metadata!", ADDRESS(INDEX($L$2:$L$1001,MATCH(ROWS($J$2:J424),$J$2:$J$1001,0),0), INDEX($Q$1004:$U$1004,1,MATCH(COLUMNS($Q$1006:Q1006),$Q$1006:$U$1006,0)))),"Fix")))</f>
        <v xml:space="preserve"> </v>
      </c>
      <c r="C424" s="3" t="str">
        <f ca="1">IF(OR(INDEX($K$2:$K$1001,MATCH(ROWS($J$2:J424),$J$2:$J$1001,0),1)&gt;=100000,INDEX($Q$1005:$U$1005,1,MATCH(COLUMNS($Q$1006:R1006),$Q$1006:$U$1006,0))&gt;=100000), " ",IF(INDEX($Q$2:$U$1001,MATCH(ROWS($J$2:J424),$J$2:$J$1001,0),MATCH(COLUMNS($Q$1006:R1006),$Q$1006:$U$1006,0)), HYPERLINK("#",""), HYPERLINK(CONCATENATE("#Metadata!", ADDRESS(INDEX($L$2:$L$1001,MATCH(ROWS($J$2:J424),$J$2:$J$1001,0),0), INDEX($Q$1004:$U$1004,1,MATCH(COLUMNS($Q$1006:R1006),$Q$1006:$U$1006,0)))),"Fix")))</f>
        <v xml:space="preserve"> </v>
      </c>
      <c r="D424" s="3" t="str">
        <f ca="1">IF(OR(INDEX($K$2:$K$1001,MATCH(ROWS($J$2:J424),$J$2:$J$1001,0),1)&gt;=100000,INDEX($Q$1005:$U$1005,1,MATCH(COLUMNS($Q$1006:S1006),$Q$1006:$U$1006,0))&gt;=100000), " ",IF(INDEX($Q$2:$U$1001,MATCH(ROWS($J$2:J424),$J$2:$J$1001,0),MATCH(COLUMNS($Q$1006:S1006),$Q$1006:$U$1006,0)), HYPERLINK("#",""), HYPERLINK(CONCATENATE("#Metadata!", ADDRESS(INDEX($L$2:$L$1001,MATCH(ROWS($J$2:J424),$J$2:$J$1001,0),0), INDEX($Q$1004:$U$1004,1,MATCH(COLUMNS($Q$1006:S1006),$Q$1006:$U$1006,0)))),"Fix")))</f>
        <v xml:space="preserve"> </v>
      </c>
      <c r="E424" s="3" t="str">
        <f ca="1">IF(OR(INDEX($K$2:$K$1001,MATCH(ROWS($J$2:J424),$J$2:$J$1001,0),1)&gt;=100000,INDEX($Q$1005:$U$1005,1,MATCH(COLUMNS($Q$1006:T1006),$Q$1006:$U$1006,0))&gt;=100000), " ",IF(INDEX($Q$2:$U$1001,MATCH(ROWS($J$2:J424),$J$2:$J$1001,0),MATCH(COLUMNS($Q$1006:T1006),$Q$1006:$U$1006,0)), HYPERLINK("#",""), HYPERLINK(CONCATENATE("#Metadata!", ADDRESS(INDEX($L$2:$L$1001,MATCH(ROWS($J$2:J424),$J$2:$J$1001,0),0), INDEX($Q$1004:$U$1004,1,MATCH(COLUMNS($Q$1006:T1006),$Q$1006:$U$1006,0)))),"Fix")))</f>
        <v xml:space="preserve"> </v>
      </c>
      <c r="F424" s="3" t="str">
        <f ca="1">IF(OR(INDEX($K$2:$K$1001,MATCH(ROWS($J$2:J424),$J$2:$J$1001,0),1)&gt;=100000,INDEX($Q$1005:$U$1005,1,MATCH(COLUMNS($Q$1006:U1006),$Q$1006:$U$1006,0))&gt;=100000), " ",IF(INDEX($Q$2:$U$1001,MATCH(ROWS($J$2:J424),$J$2:$J$1001,0),MATCH(COLUMNS($Q$1006:U1006),$Q$1006:$U$1006,0)), HYPERLINK("#",""), HYPERLINK(CONCATENATE("#Metadata!", ADDRESS(INDEX($L$2:$L$1001,MATCH(ROWS($J$2:J424),$J$2:$J$1001,0),0), INDEX($Q$1004:$U$1004,1,MATCH(COLUMNS($Q$1006:U1006),$Q$1006:$U$1006,0)))),"Fix")))</f>
        <v xml:space="preserve"> </v>
      </c>
      <c r="J424">
        <f ca="1"/>
        <v>423</v>
      </c>
      <c r="K424">
        <v>100424</v>
      </c>
      <c r="L424">
        <v>424</v>
      </c>
      <c r="M424" t="b">
        <f t="shared" si="6"/>
        <v>1</v>
      </c>
      <c r="N424" t="b">
        <f>COUNTBLANK(Metadata!B424:F424)=COLUMNS(Metadata!B424:F424)</f>
        <v>1</v>
      </c>
      <c r="O424" t="str">
        <v/>
      </c>
      <c r="Q424" t="b">
        <f ca="1"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R424" t="b">
        <f>IF(Metadata!C424="",FALSE,TRUE)</f>
        <v>0</v>
      </c>
      <c r="S424" t="b">
        <f>OR(AND(IF(Metadata!D424="",FALSE,TRUE),EXACT(Metadata!D424,"missing: not collected")),AND(IF(Metadata!D424="",FALSE,TRUE),OR(EXACT(Metadata!D424,"t"),EXACT(Metadata!D424,"f"))))</f>
        <v>0</v>
      </c>
      <c r="T424" t="b">
        <f>AND(IF(Metadata!E424="",FALSE,TRUE),OR(EXACT(Metadata!E424,"a"),EXACT(Metadata!E424,"b")))</f>
        <v>0</v>
      </c>
      <c r="U424" t="b">
        <f>OR(AND(IF(Metadata!F424="",FALSE,TRUE),OR(EXACT(Metadata!F424,"missing: not collected"),EXACT(Metadata!F424,"missing: not provided"))),AND(IF(Metadata!F424="",FALSE,TRUE),OR(EXACT(Metadata!F424,"lo"),EXACT(Metadata!F424,"med"),EXACT(Metadata!F424,"hi"))))</f>
        <v>0</v>
      </c>
    </row>
    <row r="425" spans="1:21" x14ac:dyDescent="0.2">
      <c r="A425" s="4" t="str">
        <f ca="1">IF(B425=" "," ",HYPERLINK(CONCATENATE("#metadata!",ADDRESS(INDEX($L$2:$L$1001,MATCH(ROWS($J$2:J425),$J$2:$J$1001,0),0),1)),INDEX($O$2:$O$1001,MATCH(ROWS($J$2:J425),$J$2:$J$1001,0),0)))</f>
        <v xml:space="preserve"> </v>
      </c>
      <c r="B425" s="3" t="str">
        <f ca="1">IF(OR(INDEX($K$2:$K$1001,MATCH(ROWS($J$2:J425),$J$2:$J$1001,0),1)&gt;=100000,INDEX($Q$1005:$U$1005,1,MATCH(COLUMNS($Q$1006:Q1006),$Q$1006:$U$1006,0))&gt;=100000), " ",IF(INDEX($Q$2:$U$1001,MATCH(ROWS($J$2:J425),$J$2:$J$1001,0),MATCH(COLUMNS($Q$1006:Q1006),$Q$1006:$U$1006,0)), HYPERLINK("#",""), HYPERLINK(CONCATENATE("#Metadata!", ADDRESS(INDEX($L$2:$L$1001,MATCH(ROWS($J$2:J425),$J$2:$J$1001,0),0), INDEX($Q$1004:$U$1004,1,MATCH(COLUMNS($Q$1006:Q1006),$Q$1006:$U$1006,0)))),"Fix")))</f>
        <v xml:space="preserve"> </v>
      </c>
      <c r="C425" s="3" t="str">
        <f ca="1">IF(OR(INDEX($K$2:$K$1001,MATCH(ROWS($J$2:J425),$J$2:$J$1001,0),1)&gt;=100000,INDEX($Q$1005:$U$1005,1,MATCH(COLUMNS($Q$1006:R1006),$Q$1006:$U$1006,0))&gt;=100000), " ",IF(INDEX($Q$2:$U$1001,MATCH(ROWS($J$2:J425),$J$2:$J$1001,0),MATCH(COLUMNS($Q$1006:R1006),$Q$1006:$U$1006,0)), HYPERLINK("#",""), HYPERLINK(CONCATENATE("#Metadata!", ADDRESS(INDEX($L$2:$L$1001,MATCH(ROWS($J$2:J425),$J$2:$J$1001,0),0), INDEX($Q$1004:$U$1004,1,MATCH(COLUMNS($Q$1006:R1006),$Q$1006:$U$1006,0)))),"Fix")))</f>
        <v xml:space="preserve"> </v>
      </c>
      <c r="D425" s="3" t="str">
        <f ca="1">IF(OR(INDEX($K$2:$K$1001,MATCH(ROWS($J$2:J425),$J$2:$J$1001,0),1)&gt;=100000,INDEX($Q$1005:$U$1005,1,MATCH(COLUMNS($Q$1006:S1006),$Q$1006:$U$1006,0))&gt;=100000), " ",IF(INDEX($Q$2:$U$1001,MATCH(ROWS($J$2:J425),$J$2:$J$1001,0),MATCH(COLUMNS($Q$1006:S1006),$Q$1006:$U$1006,0)), HYPERLINK("#",""), HYPERLINK(CONCATENATE("#Metadata!", ADDRESS(INDEX($L$2:$L$1001,MATCH(ROWS($J$2:J425),$J$2:$J$1001,0),0), INDEX($Q$1004:$U$1004,1,MATCH(COLUMNS($Q$1006:S1006),$Q$1006:$U$1006,0)))),"Fix")))</f>
        <v xml:space="preserve"> </v>
      </c>
      <c r="E425" s="3" t="str">
        <f ca="1">IF(OR(INDEX($K$2:$K$1001,MATCH(ROWS($J$2:J425),$J$2:$J$1001,0),1)&gt;=100000,INDEX($Q$1005:$U$1005,1,MATCH(COLUMNS($Q$1006:T1006),$Q$1006:$U$1006,0))&gt;=100000), " ",IF(INDEX($Q$2:$U$1001,MATCH(ROWS($J$2:J425),$J$2:$J$1001,0),MATCH(COLUMNS($Q$1006:T1006),$Q$1006:$U$1006,0)), HYPERLINK("#",""), HYPERLINK(CONCATENATE("#Metadata!", ADDRESS(INDEX($L$2:$L$1001,MATCH(ROWS($J$2:J425),$J$2:$J$1001,0),0), INDEX($Q$1004:$U$1004,1,MATCH(COLUMNS($Q$1006:T1006),$Q$1006:$U$1006,0)))),"Fix")))</f>
        <v xml:space="preserve"> </v>
      </c>
      <c r="F425" s="3" t="str">
        <f ca="1">IF(OR(INDEX($K$2:$K$1001,MATCH(ROWS($J$2:J425),$J$2:$J$1001,0),1)&gt;=100000,INDEX($Q$1005:$U$1005,1,MATCH(COLUMNS($Q$1006:U1006),$Q$1006:$U$1006,0))&gt;=100000), " ",IF(INDEX($Q$2:$U$1001,MATCH(ROWS($J$2:J425),$J$2:$J$1001,0),MATCH(COLUMNS($Q$1006:U1006),$Q$1006:$U$1006,0)), HYPERLINK("#",""), HYPERLINK(CONCATENATE("#Metadata!", ADDRESS(INDEX($L$2:$L$1001,MATCH(ROWS($J$2:J425),$J$2:$J$1001,0),0), INDEX($Q$1004:$U$1004,1,MATCH(COLUMNS($Q$1006:U1006),$Q$1006:$U$1006,0)))),"Fix")))</f>
        <v xml:space="preserve"> </v>
      </c>
      <c r="J425">
        <f ca="1"/>
        <v>424</v>
      </c>
      <c r="K425">
        <v>100425</v>
      </c>
      <c r="L425">
        <v>425</v>
      </c>
      <c r="M425" t="b">
        <f t="shared" si="6"/>
        <v>1</v>
      </c>
      <c r="N425" t="b">
        <f>COUNTBLANK(Metadata!B425:F425)=COLUMNS(Metadata!B425:F425)</f>
        <v>1</v>
      </c>
      <c r="O425" t="str">
        <v/>
      </c>
      <c r="Q425" t="b">
        <f ca="1"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R425" t="b">
        <f>IF(Metadata!C425="",FALSE,TRUE)</f>
        <v>0</v>
      </c>
      <c r="S425" t="b">
        <f>OR(AND(IF(Metadata!D425="",FALSE,TRUE),EXACT(Metadata!D425,"missing: not collected")),AND(IF(Metadata!D425="",FALSE,TRUE),OR(EXACT(Metadata!D425,"t"),EXACT(Metadata!D425,"f"))))</f>
        <v>0</v>
      </c>
      <c r="T425" t="b">
        <f>AND(IF(Metadata!E425="",FALSE,TRUE),OR(EXACT(Metadata!E425,"a"),EXACT(Metadata!E425,"b")))</f>
        <v>0</v>
      </c>
      <c r="U425" t="b">
        <f>OR(AND(IF(Metadata!F425="",FALSE,TRUE),OR(EXACT(Metadata!F425,"missing: not collected"),EXACT(Metadata!F425,"missing: not provided"))),AND(IF(Metadata!F425="",FALSE,TRUE),OR(EXACT(Metadata!F425,"lo"),EXACT(Metadata!F425,"med"),EXACT(Metadata!F425,"hi"))))</f>
        <v>0</v>
      </c>
    </row>
    <row r="426" spans="1:21" x14ac:dyDescent="0.2">
      <c r="A426" s="4" t="str">
        <f ca="1">IF(B426=" "," ",HYPERLINK(CONCATENATE("#metadata!",ADDRESS(INDEX($L$2:$L$1001,MATCH(ROWS($J$2:J426),$J$2:$J$1001,0),0),1)),INDEX($O$2:$O$1001,MATCH(ROWS($J$2:J426),$J$2:$J$1001,0),0)))</f>
        <v xml:space="preserve"> </v>
      </c>
      <c r="B426" s="3" t="str">
        <f ca="1">IF(OR(INDEX($K$2:$K$1001,MATCH(ROWS($J$2:J426),$J$2:$J$1001,0),1)&gt;=100000,INDEX($Q$1005:$U$1005,1,MATCH(COLUMNS($Q$1006:Q1006),$Q$1006:$U$1006,0))&gt;=100000), " ",IF(INDEX($Q$2:$U$1001,MATCH(ROWS($J$2:J426),$J$2:$J$1001,0),MATCH(COLUMNS($Q$1006:Q1006),$Q$1006:$U$1006,0)), HYPERLINK("#",""), HYPERLINK(CONCATENATE("#Metadata!", ADDRESS(INDEX($L$2:$L$1001,MATCH(ROWS($J$2:J426),$J$2:$J$1001,0),0), INDEX($Q$1004:$U$1004,1,MATCH(COLUMNS($Q$1006:Q1006),$Q$1006:$U$1006,0)))),"Fix")))</f>
        <v xml:space="preserve"> </v>
      </c>
      <c r="C426" s="3" t="str">
        <f ca="1">IF(OR(INDEX($K$2:$K$1001,MATCH(ROWS($J$2:J426),$J$2:$J$1001,0),1)&gt;=100000,INDEX($Q$1005:$U$1005,1,MATCH(COLUMNS($Q$1006:R1006),$Q$1006:$U$1006,0))&gt;=100000), " ",IF(INDEX($Q$2:$U$1001,MATCH(ROWS($J$2:J426),$J$2:$J$1001,0),MATCH(COLUMNS($Q$1006:R1006),$Q$1006:$U$1006,0)), HYPERLINK("#",""), HYPERLINK(CONCATENATE("#Metadata!", ADDRESS(INDEX($L$2:$L$1001,MATCH(ROWS($J$2:J426),$J$2:$J$1001,0),0), INDEX($Q$1004:$U$1004,1,MATCH(COLUMNS($Q$1006:R1006),$Q$1006:$U$1006,0)))),"Fix")))</f>
        <v xml:space="preserve"> </v>
      </c>
      <c r="D426" s="3" t="str">
        <f ca="1">IF(OR(INDEX($K$2:$K$1001,MATCH(ROWS($J$2:J426),$J$2:$J$1001,0),1)&gt;=100000,INDEX($Q$1005:$U$1005,1,MATCH(COLUMNS($Q$1006:S1006),$Q$1006:$U$1006,0))&gt;=100000), " ",IF(INDEX($Q$2:$U$1001,MATCH(ROWS($J$2:J426),$J$2:$J$1001,0),MATCH(COLUMNS($Q$1006:S1006),$Q$1006:$U$1006,0)), HYPERLINK("#",""), HYPERLINK(CONCATENATE("#Metadata!", ADDRESS(INDEX($L$2:$L$1001,MATCH(ROWS($J$2:J426),$J$2:$J$1001,0),0), INDEX($Q$1004:$U$1004,1,MATCH(COLUMNS($Q$1006:S1006),$Q$1006:$U$1006,0)))),"Fix")))</f>
        <v xml:space="preserve"> </v>
      </c>
      <c r="E426" s="3" t="str">
        <f ca="1">IF(OR(INDEX($K$2:$K$1001,MATCH(ROWS($J$2:J426),$J$2:$J$1001,0),1)&gt;=100000,INDEX($Q$1005:$U$1005,1,MATCH(COLUMNS($Q$1006:T1006),$Q$1006:$U$1006,0))&gt;=100000), " ",IF(INDEX($Q$2:$U$1001,MATCH(ROWS($J$2:J426),$J$2:$J$1001,0),MATCH(COLUMNS($Q$1006:T1006),$Q$1006:$U$1006,0)), HYPERLINK("#",""), HYPERLINK(CONCATENATE("#Metadata!", ADDRESS(INDEX($L$2:$L$1001,MATCH(ROWS($J$2:J426),$J$2:$J$1001,0),0), INDEX($Q$1004:$U$1004,1,MATCH(COLUMNS($Q$1006:T1006),$Q$1006:$U$1006,0)))),"Fix")))</f>
        <v xml:space="preserve"> </v>
      </c>
      <c r="F426" s="3" t="str">
        <f ca="1">IF(OR(INDEX($K$2:$K$1001,MATCH(ROWS($J$2:J426),$J$2:$J$1001,0),1)&gt;=100000,INDEX($Q$1005:$U$1005,1,MATCH(COLUMNS($Q$1006:U1006),$Q$1006:$U$1006,0))&gt;=100000), " ",IF(INDEX($Q$2:$U$1001,MATCH(ROWS($J$2:J426),$J$2:$J$1001,0),MATCH(COLUMNS($Q$1006:U1006),$Q$1006:$U$1006,0)), HYPERLINK("#",""), HYPERLINK(CONCATENATE("#Metadata!", ADDRESS(INDEX($L$2:$L$1001,MATCH(ROWS($J$2:J426),$J$2:$J$1001,0),0), INDEX($Q$1004:$U$1004,1,MATCH(COLUMNS($Q$1006:U1006),$Q$1006:$U$1006,0)))),"Fix")))</f>
        <v xml:space="preserve"> </v>
      </c>
      <c r="J426">
        <f ca="1"/>
        <v>425</v>
      </c>
      <c r="K426">
        <v>100426</v>
      </c>
      <c r="L426">
        <v>426</v>
      </c>
      <c r="M426" t="b">
        <f t="shared" si="6"/>
        <v>1</v>
      </c>
      <c r="N426" t="b">
        <f>COUNTBLANK(Metadata!B426:F426)=COLUMNS(Metadata!B426:F426)</f>
        <v>1</v>
      </c>
      <c r="O426" t="str">
        <v/>
      </c>
      <c r="Q426" t="b">
        <f ca="1"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R426" t="b">
        <f>IF(Metadata!C426="",FALSE,TRUE)</f>
        <v>0</v>
      </c>
      <c r="S426" t="b">
        <f>OR(AND(IF(Metadata!D426="",FALSE,TRUE),EXACT(Metadata!D426,"missing: not collected")),AND(IF(Metadata!D426="",FALSE,TRUE),OR(EXACT(Metadata!D426,"t"),EXACT(Metadata!D426,"f"))))</f>
        <v>0</v>
      </c>
      <c r="T426" t="b">
        <f>AND(IF(Metadata!E426="",FALSE,TRUE),OR(EXACT(Metadata!E426,"a"),EXACT(Metadata!E426,"b")))</f>
        <v>0</v>
      </c>
      <c r="U426" t="b">
        <f>OR(AND(IF(Metadata!F426="",FALSE,TRUE),OR(EXACT(Metadata!F426,"missing: not collected"),EXACT(Metadata!F426,"missing: not provided"))),AND(IF(Metadata!F426="",FALSE,TRUE),OR(EXACT(Metadata!F426,"lo"),EXACT(Metadata!F426,"med"),EXACT(Metadata!F426,"hi"))))</f>
        <v>0</v>
      </c>
    </row>
    <row r="427" spans="1:21" x14ac:dyDescent="0.2">
      <c r="A427" s="4" t="str">
        <f ca="1">IF(B427=" "," ",HYPERLINK(CONCATENATE("#metadata!",ADDRESS(INDEX($L$2:$L$1001,MATCH(ROWS($J$2:J427),$J$2:$J$1001,0),0),1)),INDEX($O$2:$O$1001,MATCH(ROWS($J$2:J427),$J$2:$J$1001,0),0)))</f>
        <v xml:space="preserve"> </v>
      </c>
      <c r="B427" s="3" t="str">
        <f ca="1">IF(OR(INDEX($K$2:$K$1001,MATCH(ROWS($J$2:J427),$J$2:$J$1001,0),1)&gt;=100000,INDEX($Q$1005:$U$1005,1,MATCH(COLUMNS($Q$1006:Q1006),$Q$1006:$U$1006,0))&gt;=100000), " ",IF(INDEX($Q$2:$U$1001,MATCH(ROWS($J$2:J427),$J$2:$J$1001,0),MATCH(COLUMNS($Q$1006:Q1006),$Q$1006:$U$1006,0)), HYPERLINK("#",""), HYPERLINK(CONCATENATE("#Metadata!", ADDRESS(INDEX($L$2:$L$1001,MATCH(ROWS($J$2:J427),$J$2:$J$1001,0),0), INDEX($Q$1004:$U$1004,1,MATCH(COLUMNS($Q$1006:Q1006),$Q$1006:$U$1006,0)))),"Fix")))</f>
        <v xml:space="preserve"> </v>
      </c>
      <c r="C427" s="3" t="str">
        <f ca="1">IF(OR(INDEX($K$2:$K$1001,MATCH(ROWS($J$2:J427),$J$2:$J$1001,0),1)&gt;=100000,INDEX($Q$1005:$U$1005,1,MATCH(COLUMNS($Q$1006:R1006),$Q$1006:$U$1006,0))&gt;=100000), " ",IF(INDEX($Q$2:$U$1001,MATCH(ROWS($J$2:J427),$J$2:$J$1001,0),MATCH(COLUMNS($Q$1006:R1006),$Q$1006:$U$1006,0)), HYPERLINK("#",""), HYPERLINK(CONCATENATE("#Metadata!", ADDRESS(INDEX($L$2:$L$1001,MATCH(ROWS($J$2:J427),$J$2:$J$1001,0),0), INDEX($Q$1004:$U$1004,1,MATCH(COLUMNS($Q$1006:R1006),$Q$1006:$U$1006,0)))),"Fix")))</f>
        <v xml:space="preserve"> </v>
      </c>
      <c r="D427" s="3" t="str">
        <f ca="1">IF(OR(INDEX($K$2:$K$1001,MATCH(ROWS($J$2:J427),$J$2:$J$1001,0),1)&gt;=100000,INDEX($Q$1005:$U$1005,1,MATCH(COLUMNS($Q$1006:S1006),$Q$1006:$U$1006,0))&gt;=100000), " ",IF(INDEX($Q$2:$U$1001,MATCH(ROWS($J$2:J427),$J$2:$J$1001,0),MATCH(COLUMNS($Q$1006:S1006),$Q$1006:$U$1006,0)), HYPERLINK("#",""), HYPERLINK(CONCATENATE("#Metadata!", ADDRESS(INDEX($L$2:$L$1001,MATCH(ROWS($J$2:J427),$J$2:$J$1001,0),0), INDEX($Q$1004:$U$1004,1,MATCH(COLUMNS($Q$1006:S1006),$Q$1006:$U$1006,0)))),"Fix")))</f>
        <v xml:space="preserve"> </v>
      </c>
      <c r="E427" s="3" t="str">
        <f ca="1">IF(OR(INDEX($K$2:$K$1001,MATCH(ROWS($J$2:J427),$J$2:$J$1001,0),1)&gt;=100000,INDEX($Q$1005:$U$1005,1,MATCH(COLUMNS($Q$1006:T1006),$Q$1006:$U$1006,0))&gt;=100000), " ",IF(INDEX($Q$2:$U$1001,MATCH(ROWS($J$2:J427),$J$2:$J$1001,0),MATCH(COLUMNS($Q$1006:T1006),$Q$1006:$U$1006,0)), HYPERLINK("#",""), HYPERLINK(CONCATENATE("#Metadata!", ADDRESS(INDEX($L$2:$L$1001,MATCH(ROWS($J$2:J427),$J$2:$J$1001,0),0), INDEX($Q$1004:$U$1004,1,MATCH(COLUMNS($Q$1006:T1006),$Q$1006:$U$1006,0)))),"Fix")))</f>
        <v xml:space="preserve"> </v>
      </c>
      <c r="F427" s="3" t="str">
        <f ca="1">IF(OR(INDEX($K$2:$K$1001,MATCH(ROWS($J$2:J427),$J$2:$J$1001,0),1)&gt;=100000,INDEX($Q$1005:$U$1005,1,MATCH(COLUMNS($Q$1006:U1006),$Q$1006:$U$1006,0))&gt;=100000), " ",IF(INDEX($Q$2:$U$1001,MATCH(ROWS($J$2:J427),$J$2:$J$1001,0),MATCH(COLUMNS($Q$1006:U1006),$Q$1006:$U$1006,0)), HYPERLINK("#",""), HYPERLINK(CONCATENATE("#Metadata!", ADDRESS(INDEX($L$2:$L$1001,MATCH(ROWS($J$2:J427),$J$2:$J$1001,0),0), INDEX($Q$1004:$U$1004,1,MATCH(COLUMNS($Q$1006:U1006),$Q$1006:$U$1006,0)))),"Fix")))</f>
        <v xml:space="preserve"> </v>
      </c>
      <c r="J427">
        <f ca="1"/>
        <v>426</v>
      </c>
      <c r="K427">
        <v>100427</v>
      </c>
      <c r="L427">
        <v>427</v>
      </c>
      <c r="M427" t="b">
        <f t="shared" si="6"/>
        <v>1</v>
      </c>
      <c r="N427" t="b">
        <f>COUNTBLANK(Metadata!B427:F427)=COLUMNS(Metadata!B427:F427)</f>
        <v>1</v>
      </c>
      <c r="O427" t="str">
        <v/>
      </c>
      <c r="Q427" t="b">
        <f ca="1"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R427" t="b">
        <f>IF(Metadata!C427="",FALSE,TRUE)</f>
        <v>0</v>
      </c>
      <c r="S427" t="b">
        <f>OR(AND(IF(Metadata!D427="",FALSE,TRUE),EXACT(Metadata!D427,"missing: not collected")),AND(IF(Metadata!D427="",FALSE,TRUE),OR(EXACT(Metadata!D427,"t"),EXACT(Metadata!D427,"f"))))</f>
        <v>0</v>
      </c>
      <c r="T427" t="b">
        <f>AND(IF(Metadata!E427="",FALSE,TRUE),OR(EXACT(Metadata!E427,"a"),EXACT(Metadata!E427,"b")))</f>
        <v>0</v>
      </c>
      <c r="U427" t="b">
        <f>OR(AND(IF(Metadata!F427="",FALSE,TRUE),OR(EXACT(Metadata!F427,"missing: not collected"),EXACT(Metadata!F427,"missing: not provided"))),AND(IF(Metadata!F427="",FALSE,TRUE),OR(EXACT(Metadata!F427,"lo"),EXACT(Metadata!F427,"med"),EXACT(Metadata!F427,"hi"))))</f>
        <v>0</v>
      </c>
    </row>
    <row r="428" spans="1:21" x14ac:dyDescent="0.2">
      <c r="A428" s="4" t="str">
        <f ca="1">IF(B428=" "," ",HYPERLINK(CONCATENATE("#metadata!",ADDRESS(INDEX($L$2:$L$1001,MATCH(ROWS($J$2:J428),$J$2:$J$1001,0),0),1)),INDEX($O$2:$O$1001,MATCH(ROWS($J$2:J428),$J$2:$J$1001,0),0)))</f>
        <v xml:space="preserve"> </v>
      </c>
      <c r="B428" s="3" t="str">
        <f ca="1">IF(OR(INDEX($K$2:$K$1001,MATCH(ROWS($J$2:J428),$J$2:$J$1001,0),1)&gt;=100000,INDEX($Q$1005:$U$1005,1,MATCH(COLUMNS($Q$1006:Q1006),$Q$1006:$U$1006,0))&gt;=100000), " ",IF(INDEX($Q$2:$U$1001,MATCH(ROWS($J$2:J428),$J$2:$J$1001,0),MATCH(COLUMNS($Q$1006:Q1006),$Q$1006:$U$1006,0)), HYPERLINK("#",""), HYPERLINK(CONCATENATE("#Metadata!", ADDRESS(INDEX($L$2:$L$1001,MATCH(ROWS($J$2:J428),$J$2:$J$1001,0),0), INDEX($Q$1004:$U$1004,1,MATCH(COLUMNS($Q$1006:Q1006),$Q$1006:$U$1006,0)))),"Fix")))</f>
        <v xml:space="preserve"> </v>
      </c>
      <c r="C428" s="3" t="str">
        <f ca="1">IF(OR(INDEX($K$2:$K$1001,MATCH(ROWS($J$2:J428),$J$2:$J$1001,0),1)&gt;=100000,INDEX($Q$1005:$U$1005,1,MATCH(COLUMNS($Q$1006:R1006),$Q$1006:$U$1006,0))&gt;=100000), " ",IF(INDEX($Q$2:$U$1001,MATCH(ROWS($J$2:J428),$J$2:$J$1001,0),MATCH(COLUMNS($Q$1006:R1006),$Q$1006:$U$1006,0)), HYPERLINK("#",""), HYPERLINK(CONCATENATE("#Metadata!", ADDRESS(INDEX($L$2:$L$1001,MATCH(ROWS($J$2:J428),$J$2:$J$1001,0),0), INDEX($Q$1004:$U$1004,1,MATCH(COLUMNS($Q$1006:R1006),$Q$1006:$U$1006,0)))),"Fix")))</f>
        <v xml:space="preserve"> </v>
      </c>
      <c r="D428" s="3" t="str">
        <f ca="1">IF(OR(INDEX($K$2:$K$1001,MATCH(ROWS($J$2:J428),$J$2:$J$1001,0),1)&gt;=100000,INDEX($Q$1005:$U$1005,1,MATCH(COLUMNS($Q$1006:S1006),$Q$1006:$U$1006,0))&gt;=100000), " ",IF(INDEX($Q$2:$U$1001,MATCH(ROWS($J$2:J428),$J$2:$J$1001,0),MATCH(COLUMNS($Q$1006:S1006),$Q$1006:$U$1006,0)), HYPERLINK("#",""), HYPERLINK(CONCATENATE("#Metadata!", ADDRESS(INDEX($L$2:$L$1001,MATCH(ROWS($J$2:J428),$J$2:$J$1001,0),0), INDEX($Q$1004:$U$1004,1,MATCH(COLUMNS($Q$1006:S1006),$Q$1006:$U$1006,0)))),"Fix")))</f>
        <v xml:space="preserve"> </v>
      </c>
      <c r="E428" s="3" t="str">
        <f ca="1">IF(OR(INDEX($K$2:$K$1001,MATCH(ROWS($J$2:J428),$J$2:$J$1001,0),1)&gt;=100000,INDEX($Q$1005:$U$1005,1,MATCH(COLUMNS($Q$1006:T1006),$Q$1006:$U$1006,0))&gt;=100000), " ",IF(INDEX($Q$2:$U$1001,MATCH(ROWS($J$2:J428),$J$2:$J$1001,0),MATCH(COLUMNS($Q$1006:T1006),$Q$1006:$U$1006,0)), HYPERLINK("#",""), HYPERLINK(CONCATENATE("#Metadata!", ADDRESS(INDEX($L$2:$L$1001,MATCH(ROWS($J$2:J428),$J$2:$J$1001,0),0), INDEX($Q$1004:$U$1004,1,MATCH(COLUMNS($Q$1006:T1006),$Q$1006:$U$1006,0)))),"Fix")))</f>
        <v xml:space="preserve"> </v>
      </c>
      <c r="F428" s="3" t="str">
        <f ca="1">IF(OR(INDEX($K$2:$K$1001,MATCH(ROWS($J$2:J428),$J$2:$J$1001,0),1)&gt;=100000,INDEX($Q$1005:$U$1005,1,MATCH(COLUMNS($Q$1006:U1006),$Q$1006:$U$1006,0))&gt;=100000), " ",IF(INDEX($Q$2:$U$1001,MATCH(ROWS($J$2:J428),$J$2:$J$1001,0),MATCH(COLUMNS($Q$1006:U1006),$Q$1006:$U$1006,0)), HYPERLINK("#",""), HYPERLINK(CONCATENATE("#Metadata!", ADDRESS(INDEX($L$2:$L$1001,MATCH(ROWS($J$2:J428),$J$2:$J$1001,0),0), INDEX($Q$1004:$U$1004,1,MATCH(COLUMNS($Q$1006:U1006),$Q$1006:$U$1006,0)))),"Fix")))</f>
        <v xml:space="preserve"> </v>
      </c>
      <c r="J428">
        <f ca="1"/>
        <v>427</v>
      </c>
      <c r="K428">
        <v>100428</v>
      </c>
      <c r="L428">
        <v>428</v>
      </c>
      <c r="M428" t="b">
        <f t="shared" si="6"/>
        <v>1</v>
      </c>
      <c r="N428" t="b">
        <f>COUNTBLANK(Metadata!B428:F428)=COLUMNS(Metadata!B428:F428)</f>
        <v>1</v>
      </c>
      <c r="O428" t="str">
        <v/>
      </c>
      <c r="Q428" t="b">
        <f ca="1"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R428" t="b">
        <f>IF(Metadata!C428="",FALSE,TRUE)</f>
        <v>0</v>
      </c>
      <c r="S428" t="b">
        <f>OR(AND(IF(Metadata!D428="",FALSE,TRUE),EXACT(Metadata!D428,"missing: not collected")),AND(IF(Metadata!D428="",FALSE,TRUE),OR(EXACT(Metadata!D428,"t"),EXACT(Metadata!D428,"f"))))</f>
        <v>0</v>
      </c>
      <c r="T428" t="b">
        <f>AND(IF(Metadata!E428="",FALSE,TRUE),OR(EXACT(Metadata!E428,"a"),EXACT(Metadata!E428,"b")))</f>
        <v>0</v>
      </c>
      <c r="U428" t="b">
        <f>OR(AND(IF(Metadata!F428="",FALSE,TRUE),OR(EXACT(Metadata!F428,"missing: not collected"),EXACT(Metadata!F428,"missing: not provided"))),AND(IF(Metadata!F428="",FALSE,TRUE),OR(EXACT(Metadata!F428,"lo"),EXACT(Metadata!F428,"med"),EXACT(Metadata!F428,"hi"))))</f>
        <v>0</v>
      </c>
    </row>
    <row r="429" spans="1:21" x14ac:dyDescent="0.2">
      <c r="A429" s="4" t="str">
        <f ca="1">IF(B429=" "," ",HYPERLINK(CONCATENATE("#metadata!",ADDRESS(INDEX($L$2:$L$1001,MATCH(ROWS($J$2:J429),$J$2:$J$1001,0),0),1)),INDEX($O$2:$O$1001,MATCH(ROWS($J$2:J429),$J$2:$J$1001,0),0)))</f>
        <v xml:space="preserve"> </v>
      </c>
      <c r="B429" s="3" t="str">
        <f ca="1">IF(OR(INDEX($K$2:$K$1001,MATCH(ROWS($J$2:J429),$J$2:$J$1001,0),1)&gt;=100000,INDEX($Q$1005:$U$1005,1,MATCH(COLUMNS($Q$1006:Q1006),$Q$1006:$U$1006,0))&gt;=100000), " ",IF(INDEX($Q$2:$U$1001,MATCH(ROWS($J$2:J429),$J$2:$J$1001,0),MATCH(COLUMNS($Q$1006:Q1006),$Q$1006:$U$1006,0)), HYPERLINK("#",""), HYPERLINK(CONCATENATE("#Metadata!", ADDRESS(INDEX($L$2:$L$1001,MATCH(ROWS($J$2:J429),$J$2:$J$1001,0),0), INDEX($Q$1004:$U$1004,1,MATCH(COLUMNS($Q$1006:Q1006),$Q$1006:$U$1006,0)))),"Fix")))</f>
        <v xml:space="preserve"> </v>
      </c>
      <c r="C429" s="3" t="str">
        <f ca="1">IF(OR(INDEX($K$2:$K$1001,MATCH(ROWS($J$2:J429),$J$2:$J$1001,0),1)&gt;=100000,INDEX($Q$1005:$U$1005,1,MATCH(COLUMNS($Q$1006:R1006),$Q$1006:$U$1006,0))&gt;=100000), " ",IF(INDEX($Q$2:$U$1001,MATCH(ROWS($J$2:J429),$J$2:$J$1001,0),MATCH(COLUMNS($Q$1006:R1006),$Q$1006:$U$1006,0)), HYPERLINK("#",""), HYPERLINK(CONCATENATE("#Metadata!", ADDRESS(INDEX($L$2:$L$1001,MATCH(ROWS($J$2:J429),$J$2:$J$1001,0),0), INDEX($Q$1004:$U$1004,1,MATCH(COLUMNS($Q$1006:R1006),$Q$1006:$U$1006,0)))),"Fix")))</f>
        <v xml:space="preserve"> </v>
      </c>
      <c r="D429" s="3" t="str">
        <f ca="1">IF(OR(INDEX($K$2:$K$1001,MATCH(ROWS($J$2:J429),$J$2:$J$1001,0),1)&gt;=100000,INDEX($Q$1005:$U$1005,1,MATCH(COLUMNS($Q$1006:S1006),$Q$1006:$U$1006,0))&gt;=100000), " ",IF(INDEX($Q$2:$U$1001,MATCH(ROWS($J$2:J429),$J$2:$J$1001,0),MATCH(COLUMNS($Q$1006:S1006),$Q$1006:$U$1006,0)), HYPERLINK("#",""), HYPERLINK(CONCATENATE("#Metadata!", ADDRESS(INDEX($L$2:$L$1001,MATCH(ROWS($J$2:J429),$J$2:$J$1001,0),0), INDEX($Q$1004:$U$1004,1,MATCH(COLUMNS($Q$1006:S1006),$Q$1006:$U$1006,0)))),"Fix")))</f>
        <v xml:space="preserve"> </v>
      </c>
      <c r="E429" s="3" t="str">
        <f ca="1">IF(OR(INDEX($K$2:$K$1001,MATCH(ROWS($J$2:J429),$J$2:$J$1001,0),1)&gt;=100000,INDEX($Q$1005:$U$1005,1,MATCH(COLUMNS($Q$1006:T1006),$Q$1006:$U$1006,0))&gt;=100000), " ",IF(INDEX($Q$2:$U$1001,MATCH(ROWS($J$2:J429),$J$2:$J$1001,0),MATCH(COLUMNS($Q$1006:T1006),$Q$1006:$U$1006,0)), HYPERLINK("#",""), HYPERLINK(CONCATENATE("#Metadata!", ADDRESS(INDEX($L$2:$L$1001,MATCH(ROWS($J$2:J429),$J$2:$J$1001,0),0), INDEX($Q$1004:$U$1004,1,MATCH(COLUMNS($Q$1006:T1006),$Q$1006:$U$1006,0)))),"Fix")))</f>
        <v xml:space="preserve"> </v>
      </c>
      <c r="F429" s="3" t="str">
        <f ca="1">IF(OR(INDEX($K$2:$K$1001,MATCH(ROWS($J$2:J429),$J$2:$J$1001,0),1)&gt;=100000,INDEX($Q$1005:$U$1005,1,MATCH(COLUMNS($Q$1006:U1006),$Q$1006:$U$1006,0))&gt;=100000), " ",IF(INDEX($Q$2:$U$1001,MATCH(ROWS($J$2:J429),$J$2:$J$1001,0),MATCH(COLUMNS($Q$1006:U1006),$Q$1006:$U$1006,0)), HYPERLINK("#",""), HYPERLINK(CONCATENATE("#Metadata!", ADDRESS(INDEX($L$2:$L$1001,MATCH(ROWS($J$2:J429),$J$2:$J$1001,0),0), INDEX($Q$1004:$U$1004,1,MATCH(COLUMNS($Q$1006:U1006),$Q$1006:$U$1006,0)))),"Fix")))</f>
        <v xml:space="preserve"> </v>
      </c>
      <c r="J429">
        <f ca="1"/>
        <v>428</v>
      </c>
      <c r="K429">
        <v>100429</v>
      </c>
      <c r="L429">
        <v>429</v>
      </c>
      <c r="M429" t="b">
        <f t="shared" si="6"/>
        <v>1</v>
      </c>
      <c r="N429" t="b">
        <f>COUNTBLANK(Metadata!B429:F429)=COLUMNS(Metadata!B429:F429)</f>
        <v>1</v>
      </c>
      <c r="O429" t="str">
        <v/>
      </c>
      <c r="Q429" t="b">
        <f ca="1"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R429" t="b">
        <f>IF(Metadata!C429="",FALSE,TRUE)</f>
        <v>0</v>
      </c>
      <c r="S429" t="b">
        <f>OR(AND(IF(Metadata!D429="",FALSE,TRUE),EXACT(Metadata!D429,"missing: not collected")),AND(IF(Metadata!D429="",FALSE,TRUE),OR(EXACT(Metadata!D429,"t"),EXACT(Metadata!D429,"f"))))</f>
        <v>0</v>
      </c>
      <c r="T429" t="b">
        <f>AND(IF(Metadata!E429="",FALSE,TRUE),OR(EXACT(Metadata!E429,"a"),EXACT(Metadata!E429,"b")))</f>
        <v>0</v>
      </c>
      <c r="U429" t="b">
        <f>OR(AND(IF(Metadata!F429="",FALSE,TRUE),OR(EXACT(Metadata!F429,"missing: not collected"),EXACT(Metadata!F429,"missing: not provided"))),AND(IF(Metadata!F429="",FALSE,TRUE),OR(EXACT(Metadata!F429,"lo"),EXACT(Metadata!F429,"med"),EXACT(Metadata!F429,"hi"))))</f>
        <v>0</v>
      </c>
    </row>
    <row r="430" spans="1:21" x14ac:dyDescent="0.2">
      <c r="A430" s="4" t="str">
        <f ca="1">IF(B430=" "," ",HYPERLINK(CONCATENATE("#metadata!",ADDRESS(INDEX($L$2:$L$1001,MATCH(ROWS($J$2:J430),$J$2:$J$1001,0),0),1)),INDEX($O$2:$O$1001,MATCH(ROWS($J$2:J430),$J$2:$J$1001,0),0)))</f>
        <v xml:space="preserve"> </v>
      </c>
      <c r="B430" s="3" t="str">
        <f ca="1">IF(OR(INDEX($K$2:$K$1001,MATCH(ROWS($J$2:J430),$J$2:$J$1001,0),1)&gt;=100000,INDEX($Q$1005:$U$1005,1,MATCH(COLUMNS($Q$1006:Q1006),$Q$1006:$U$1006,0))&gt;=100000), " ",IF(INDEX($Q$2:$U$1001,MATCH(ROWS($J$2:J430),$J$2:$J$1001,0),MATCH(COLUMNS($Q$1006:Q1006),$Q$1006:$U$1006,0)), HYPERLINK("#",""), HYPERLINK(CONCATENATE("#Metadata!", ADDRESS(INDEX($L$2:$L$1001,MATCH(ROWS($J$2:J430),$J$2:$J$1001,0),0), INDEX($Q$1004:$U$1004,1,MATCH(COLUMNS($Q$1006:Q1006),$Q$1006:$U$1006,0)))),"Fix")))</f>
        <v xml:space="preserve"> </v>
      </c>
      <c r="C430" s="3" t="str">
        <f ca="1">IF(OR(INDEX($K$2:$K$1001,MATCH(ROWS($J$2:J430),$J$2:$J$1001,0),1)&gt;=100000,INDEX($Q$1005:$U$1005,1,MATCH(COLUMNS($Q$1006:R1006),$Q$1006:$U$1006,0))&gt;=100000), " ",IF(INDEX($Q$2:$U$1001,MATCH(ROWS($J$2:J430),$J$2:$J$1001,0),MATCH(COLUMNS($Q$1006:R1006),$Q$1006:$U$1006,0)), HYPERLINK("#",""), HYPERLINK(CONCATENATE("#Metadata!", ADDRESS(INDEX($L$2:$L$1001,MATCH(ROWS($J$2:J430),$J$2:$J$1001,0),0), INDEX($Q$1004:$U$1004,1,MATCH(COLUMNS($Q$1006:R1006),$Q$1006:$U$1006,0)))),"Fix")))</f>
        <v xml:space="preserve"> </v>
      </c>
      <c r="D430" s="3" t="str">
        <f ca="1">IF(OR(INDEX($K$2:$K$1001,MATCH(ROWS($J$2:J430),$J$2:$J$1001,0),1)&gt;=100000,INDEX($Q$1005:$U$1005,1,MATCH(COLUMNS($Q$1006:S1006),$Q$1006:$U$1006,0))&gt;=100000), " ",IF(INDEX($Q$2:$U$1001,MATCH(ROWS($J$2:J430),$J$2:$J$1001,0),MATCH(COLUMNS($Q$1006:S1006),$Q$1006:$U$1006,0)), HYPERLINK("#",""), HYPERLINK(CONCATENATE("#Metadata!", ADDRESS(INDEX($L$2:$L$1001,MATCH(ROWS($J$2:J430),$J$2:$J$1001,0),0), INDEX($Q$1004:$U$1004,1,MATCH(COLUMNS($Q$1006:S1006),$Q$1006:$U$1006,0)))),"Fix")))</f>
        <v xml:space="preserve"> </v>
      </c>
      <c r="E430" s="3" t="str">
        <f ca="1">IF(OR(INDEX($K$2:$K$1001,MATCH(ROWS($J$2:J430),$J$2:$J$1001,0),1)&gt;=100000,INDEX($Q$1005:$U$1005,1,MATCH(COLUMNS($Q$1006:T1006),$Q$1006:$U$1006,0))&gt;=100000), " ",IF(INDEX($Q$2:$U$1001,MATCH(ROWS($J$2:J430),$J$2:$J$1001,0),MATCH(COLUMNS($Q$1006:T1006),$Q$1006:$U$1006,0)), HYPERLINK("#",""), HYPERLINK(CONCATENATE("#Metadata!", ADDRESS(INDEX($L$2:$L$1001,MATCH(ROWS($J$2:J430),$J$2:$J$1001,0),0), INDEX($Q$1004:$U$1004,1,MATCH(COLUMNS($Q$1006:T1006),$Q$1006:$U$1006,0)))),"Fix")))</f>
        <v xml:space="preserve"> </v>
      </c>
      <c r="F430" s="3" t="str">
        <f ca="1">IF(OR(INDEX($K$2:$K$1001,MATCH(ROWS($J$2:J430),$J$2:$J$1001,0),1)&gt;=100000,INDEX($Q$1005:$U$1005,1,MATCH(COLUMNS($Q$1006:U1006),$Q$1006:$U$1006,0))&gt;=100000), " ",IF(INDEX($Q$2:$U$1001,MATCH(ROWS($J$2:J430),$J$2:$J$1001,0),MATCH(COLUMNS($Q$1006:U1006),$Q$1006:$U$1006,0)), HYPERLINK("#",""), HYPERLINK(CONCATENATE("#Metadata!", ADDRESS(INDEX($L$2:$L$1001,MATCH(ROWS($J$2:J430),$J$2:$J$1001,0),0), INDEX($Q$1004:$U$1004,1,MATCH(COLUMNS($Q$1006:U1006),$Q$1006:$U$1006,0)))),"Fix")))</f>
        <v xml:space="preserve"> </v>
      </c>
      <c r="J430">
        <f ca="1"/>
        <v>429</v>
      </c>
      <c r="K430">
        <v>100430</v>
      </c>
      <c r="L430">
        <v>430</v>
      </c>
      <c r="M430" t="b">
        <f t="shared" si="6"/>
        <v>1</v>
      </c>
      <c r="N430" t="b">
        <f>COUNTBLANK(Metadata!B430:F430)=COLUMNS(Metadata!B430:F430)</f>
        <v>1</v>
      </c>
      <c r="O430" t="str">
        <v/>
      </c>
      <c r="Q430" t="b">
        <f ca="1"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R430" t="b">
        <f>IF(Metadata!C430="",FALSE,TRUE)</f>
        <v>0</v>
      </c>
      <c r="S430" t="b">
        <f>OR(AND(IF(Metadata!D430="",FALSE,TRUE),EXACT(Metadata!D430,"missing: not collected")),AND(IF(Metadata!D430="",FALSE,TRUE),OR(EXACT(Metadata!D430,"t"),EXACT(Metadata!D430,"f"))))</f>
        <v>0</v>
      </c>
      <c r="T430" t="b">
        <f>AND(IF(Metadata!E430="",FALSE,TRUE),OR(EXACT(Metadata!E430,"a"),EXACT(Metadata!E430,"b")))</f>
        <v>0</v>
      </c>
      <c r="U430" t="b">
        <f>OR(AND(IF(Metadata!F430="",FALSE,TRUE),OR(EXACT(Metadata!F430,"missing: not collected"),EXACT(Metadata!F430,"missing: not provided"))),AND(IF(Metadata!F430="",FALSE,TRUE),OR(EXACT(Metadata!F430,"lo"),EXACT(Metadata!F430,"med"),EXACT(Metadata!F430,"hi"))))</f>
        <v>0</v>
      </c>
    </row>
    <row r="431" spans="1:21" x14ac:dyDescent="0.2">
      <c r="A431" s="4" t="str">
        <f ca="1">IF(B431=" "," ",HYPERLINK(CONCATENATE("#metadata!",ADDRESS(INDEX($L$2:$L$1001,MATCH(ROWS($J$2:J431),$J$2:$J$1001,0),0),1)),INDEX($O$2:$O$1001,MATCH(ROWS($J$2:J431),$J$2:$J$1001,0),0)))</f>
        <v xml:space="preserve"> </v>
      </c>
      <c r="B431" s="3" t="str">
        <f ca="1">IF(OR(INDEX($K$2:$K$1001,MATCH(ROWS($J$2:J431),$J$2:$J$1001,0),1)&gt;=100000,INDEX($Q$1005:$U$1005,1,MATCH(COLUMNS($Q$1006:Q1006),$Q$1006:$U$1006,0))&gt;=100000), " ",IF(INDEX($Q$2:$U$1001,MATCH(ROWS($J$2:J431),$J$2:$J$1001,0),MATCH(COLUMNS($Q$1006:Q1006),$Q$1006:$U$1006,0)), HYPERLINK("#",""), HYPERLINK(CONCATENATE("#Metadata!", ADDRESS(INDEX($L$2:$L$1001,MATCH(ROWS($J$2:J431),$J$2:$J$1001,0),0), INDEX($Q$1004:$U$1004,1,MATCH(COLUMNS($Q$1006:Q1006),$Q$1006:$U$1006,0)))),"Fix")))</f>
        <v xml:space="preserve"> </v>
      </c>
      <c r="C431" s="3" t="str">
        <f ca="1">IF(OR(INDEX($K$2:$K$1001,MATCH(ROWS($J$2:J431),$J$2:$J$1001,0),1)&gt;=100000,INDEX($Q$1005:$U$1005,1,MATCH(COLUMNS($Q$1006:R1006),$Q$1006:$U$1006,0))&gt;=100000), " ",IF(INDEX($Q$2:$U$1001,MATCH(ROWS($J$2:J431),$J$2:$J$1001,0),MATCH(COLUMNS($Q$1006:R1006),$Q$1006:$U$1006,0)), HYPERLINK("#",""), HYPERLINK(CONCATENATE("#Metadata!", ADDRESS(INDEX($L$2:$L$1001,MATCH(ROWS($J$2:J431),$J$2:$J$1001,0),0), INDEX($Q$1004:$U$1004,1,MATCH(COLUMNS($Q$1006:R1006),$Q$1006:$U$1006,0)))),"Fix")))</f>
        <v xml:space="preserve"> </v>
      </c>
      <c r="D431" s="3" t="str">
        <f ca="1">IF(OR(INDEX($K$2:$K$1001,MATCH(ROWS($J$2:J431),$J$2:$J$1001,0),1)&gt;=100000,INDEX($Q$1005:$U$1005,1,MATCH(COLUMNS($Q$1006:S1006),$Q$1006:$U$1006,0))&gt;=100000), " ",IF(INDEX($Q$2:$U$1001,MATCH(ROWS($J$2:J431),$J$2:$J$1001,0),MATCH(COLUMNS($Q$1006:S1006),$Q$1006:$U$1006,0)), HYPERLINK("#",""), HYPERLINK(CONCATENATE("#Metadata!", ADDRESS(INDEX($L$2:$L$1001,MATCH(ROWS($J$2:J431),$J$2:$J$1001,0),0), INDEX($Q$1004:$U$1004,1,MATCH(COLUMNS($Q$1006:S1006),$Q$1006:$U$1006,0)))),"Fix")))</f>
        <v xml:space="preserve"> </v>
      </c>
      <c r="E431" s="3" t="str">
        <f ca="1">IF(OR(INDEX($K$2:$K$1001,MATCH(ROWS($J$2:J431),$J$2:$J$1001,0),1)&gt;=100000,INDEX($Q$1005:$U$1005,1,MATCH(COLUMNS($Q$1006:T1006),$Q$1006:$U$1006,0))&gt;=100000), " ",IF(INDEX($Q$2:$U$1001,MATCH(ROWS($J$2:J431),$J$2:$J$1001,0),MATCH(COLUMNS($Q$1006:T1006),$Q$1006:$U$1006,0)), HYPERLINK("#",""), HYPERLINK(CONCATENATE("#Metadata!", ADDRESS(INDEX($L$2:$L$1001,MATCH(ROWS($J$2:J431),$J$2:$J$1001,0),0), INDEX($Q$1004:$U$1004,1,MATCH(COLUMNS($Q$1006:T1006),$Q$1006:$U$1006,0)))),"Fix")))</f>
        <v xml:space="preserve"> </v>
      </c>
      <c r="F431" s="3" t="str">
        <f ca="1">IF(OR(INDEX($K$2:$K$1001,MATCH(ROWS($J$2:J431),$J$2:$J$1001,0),1)&gt;=100000,INDEX($Q$1005:$U$1005,1,MATCH(COLUMNS($Q$1006:U1006),$Q$1006:$U$1006,0))&gt;=100000), " ",IF(INDEX($Q$2:$U$1001,MATCH(ROWS($J$2:J431),$J$2:$J$1001,0),MATCH(COLUMNS($Q$1006:U1006),$Q$1006:$U$1006,0)), HYPERLINK("#",""), HYPERLINK(CONCATENATE("#Metadata!", ADDRESS(INDEX($L$2:$L$1001,MATCH(ROWS($J$2:J431),$J$2:$J$1001,0),0), INDEX($Q$1004:$U$1004,1,MATCH(COLUMNS($Q$1006:U1006),$Q$1006:$U$1006,0)))),"Fix")))</f>
        <v xml:space="preserve"> </v>
      </c>
      <c r="J431">
        <f ca="1"/>
        <v>430</v>
      </c>
      <c r="K431">
        <v>100431</v>
      </c>
      <c r="L431">
        <v>431</v>
      </c>
      <c r="M431" t="b">
        <f t="shared" si="6"/>
        <v>1</v>
      </c>
      <c r="N431" t="b">
        <f>COUNTBLANK(Metadata!B431:F431)=COLUMNS(Metadata!B431:F431)</f>
        <v>1</v>
      </c>
      <c r="O431" t="str">
        <v/>
      </c>
      <c r="Q431" t="b">
        <f ca="1"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R431" t="b">
        <f>IF(Metadata!C431="",FALSE,TRUE)</f>
        <v>0</v>
      </c>
      <c r="S431" t="b">
        <f>OR(AND(IF(Metadata!D431="",FALSE,TRUE),EXACT(Metadata!D431,"missing: not collected")),AND(IF(Metadata!D431="",FALSE,TRUE),OR(EXACT(Metadata!D431,"t"),EXACT(Metadata!D431,"f"))))</f>
        <v>0</v>
      </c>
      <c r="T431" t="b">
        <f>AND(IF(Metadata!E431="",FALSE,TRUE),OR(EXACT(Metadata!E431,"a"),EXACT(Metadata!E431,"b")))</f>
        <v>0</v>
      </c>
      <c r="U431" t="b">
        <f>OR(AND(IF(Metadata!F431="",FALSE,TRUE),OR(EXACT(Metadata!F431,"missing: not collected"),EXACT(Metadata!F431,"missing: not provided"))),AND(IF(Metadata!F431="",FALSE,TRUE),OR(EXACT(Metadata!F431,"lo"),EXACT(Metadata!F431,"med"),EXACT(Metadata!F431,"hi"))))</f>
        <v>0</v>
      </c>
    </row>
    <row r="432" spans="1:21" x14ac:dyDescent="0.2">
      <c r="A432" s="4" t="str">
        <f ca="1">IF(B432=" "," ",HYPERLINK(CONCATENATE("#metadata!",ADDRESS(INDEX($L$2:$L$1001,MATCH(ROWS($J$2:J432),$J$2:$J$1001,0),0),1)),INDEX($O$2:$O$1001,MATCH(ROWS($J$2:J432),$J$2:$J$1001,0),0)))</f>
        <v xml:space="preserve"> </v>
      </c>
      <c r="B432" s="3" t="str">
        <f ca="1">IF(OR(INDEX($K$2:$K$1001,MATCH(ROWS($J$2:J432),$J$2:$J$1001,0),1)&gt;=100000,INDEX($Q$1005:$U$1005,1,MATCH(COLUMNS($Q$1006:Q1006),$Q$1006:$U$1006,0))&gt;=100000), " ",IF(INDEX($Q$2:$U$1001,MATCH(ROWS($J$2:J432),$J$2:$J$1001,0),MATCH(COLUMNS($Q$1006:Q1006),$Q$1006:$U$1006,0)), HYPERLINK("#",""), HYPERLINK(CONCATENATE("#Metadata!", ADDRESS(INDEX($L$2:$L$1001,MATCH(ROWS($J$2:J432),$J$2:$J$1001,0),0), INDEX($Q$1004:$U$1004,1,MATCH(COLUMNS($Q$1006:Q1006),$Q$1006:$U$1006,0)))),"Fix")))</f>
        <v xml:space="preserve"> </v>
      </c>
      <c r="C432" s="3" t="str">
        <f ca="1">IF(OR(INDEX($K$2:$K$1001,MATCH(ROWS($J$2:J432),$J$2:$J$1001,0),1)&gt;=100000,INDEX($Q$1005:$U$1005,1,MATCH(COLUMNS($Q$1006:R1006),$Q$1006:$U$1006,0))&gt;=100000), " ",IF(INDEX($Q$2:$U$1001,MATCH(ROWS($J$2:J432),$J$2:$J$1001,0),MATCH(COLUMNS($Q$1006:R1006),$Q$1006:$U$1006,0)), HYPERLINK("#",""), HYPERLINK(CONCATENATE("#Metadata!", ADDRESS(INDEX($L$2:$L$1001,MATCH(ROWS($J$2:J432),$J$2:$J$1001,0),0), INDEX($Q$1004:$U$1004,1,MATCH(COLUMNS($Q$1006:R1006),$Q$1006:$U$1006,0)))),"Fix")))</f>
        <v xml:space="preserve"> </v>
      </c>
      <c r="D432" s="3" t="str">
        <f ca="1">IF(OR(INDEX($K$2:$K$1001,MATCH(ROWS($J$2:J432),$J$2:$J$1001,0),1)&gt;=100000,INDEX($Q$1005:$U$1005,1,MATCH(COLUMNS($Q$1006:S1006),$Q$1006:$U$1006,0))&gt;=100000), " ",IF(INDEX($Q$2:$U$1001,MATCH(ROWS($J$2:J432),$J$2:$J$1001,0),MATCH(COLUMNS($Q$1006:S1006),$Q$1006:$U$1006,0)), HYPERLINK("#",""), HYPERLINK(CONCATENATE("#Metadata!", ADDRESS(INDEX($L$2:$L$1001,MATCH(ROWS($J$2:J432),$J$2:$J$1001,0),0), INDEX($Q$1004:$U$1004,1,MATCH(COLUMNS($Q$1006:S1006),$Q$1006:$U$1006,0)))),"Fix")))</f>
        <v xml:space="preserve"> </v>
      </c>
      <c r="E432" s="3" t="str">
        <f ca="1">IF(OR(INDEX($K$2:$K$1001,MATCH(ROWS($J$2:J432),$J$2:$J$1001,0),1)&gt;=100000,INDEX($Q$1005:$U$1005,1,MATCH(COLUMNS($Q$1006:T1006),$Q$1006:$U$1006,0))&gt;=100000), " ",IF(INDEX($Q$2:$U$1001,MATCH(ROWS($J$2:J432),$J$2:$J$1001,0),MATCH(COLUMNS($Q$1006:T1006),$Q$1006:$U$1006,0)), HYPERLINK("#",""), HYPERLINK(CONCATENATE("#Metadata!", ADDRESS(INDEX($L$2:$L$1001,MATCH(ROWS($J$2:J432),$J$2:$J$1001,0),0), INDEX($Q$1004:$U$1004,1,MATCH(COLUMNS($Q$1006:T1006),$Q$1006:$U$1006,0)))),"Fix")))</f>
        <v xml:space="preserve"> </v>
      </c>
      <c r="F432" s="3" t="str">
        <f ca="1">IF(OR(INDEX($K$2:$K$1001,MATCH(ROWS($J$2:J432),$J$2:$J$1001,0),1)&gt;=100000,INDEX($Q$1005:$U$1005,1,MATCH(COLUMNS($Q$1006:U1006),$Q$1006:$U$1006,0))&gt;=100000), " ",IF(INDEX($Q$2:$U$1001,MATCH(ROWS($J$2:J432),$J$2:$J$1001,0),MATCH(COLUMNS($Q$1006:U1006),$Q$1006:$U$1006,0)), HYPERLINK("#",""), HYPERLINK(CONCATENATE("#Metadata!", ADDRESS(INDEX($L$2:$L$1001,MATCH(ROWS($J$2:J432),$J$2:$J$1001,0),0), INDEX($Q$1004:$U$1004,1,MATCH(COLUMNS($Q$1006:U1006),$Q$1006:$U$1006,0)))),"Fix")))</f>
        <v xml:space="preserve"> </v>
      </c>
      <c r="J432">
        <f ca="1"/>
        <v>431</v>
      </c>
      <c r="K432">
        <v>100432</v>
      </c>
      <c r="L432">
        <v>432</v>
      </c>
      <c r="M432" t="b">
        <f t="shared" si="6"/>
        <v>1</v>
      </c>
      <c r="N432" t="b">
        <f>COUNTBLANK(Metadata!B432:F432)=COLUMNS(Metadata!B432:F432)</f>
        <v>1</v>
      </c>
      <c r="O432" t="str">
        <v/>
      </c>
      <c r="Q432" t="b">
        <f ca="1"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R432" t="b">
        <f>IF(Metadata!C432="",FALSE,TRUE)</f>
        <v>0</v>
      </c>
      <c r="S432" t="b">
        <f>OR(AND(IF(Metadata!D432="",FALSE,TRUE),EXACT(Metadata!D432,"missing: not collected")),AND(IF(Metadata!D432="",FALSE,TRUE),OR(EXACT(Metadata!D432,"t"),EXACT(Metadata!D432,"f"))))</f>
        <v>0</v>
      </c>
      <c r="T432" t="b">
        <f>AND(IF(Metadata!E432="",FALSE,TRUE),OR(EXACT(Metadata!E432,"a"),EXACT(Metadata!E432,"b")))</f>
        <v>0</v>
      </c>
      <c r="U432" t="b">
        <f>OR(AND(IF(Metadata!F432="",FALSE,TRUE),OR(EXACT(Metadata!F432,"missing: not collected"),EXACT(Metadata!F432,"missing: not provided"))),AND(IF(Metadata!F432="",FALSE,TRUE),OR(EXACT(Metadata!F432,"lo"),EXACT(Metadata!F432,"med"),EXACT(Metadata!F432,"hi"))))</f>
        <v>0</v>
      </c>
    </row>
    <row r="433" spans="1:21" x14ac:dyDescent="0.2">
      <c r="A433" s="4" t="str">
        <f ca="1">IF(B433=" "," ",HYPERLINK(CONCATENATE("#metadata!",ADDRESS(INDEX($L$2:$L$1001,MATCH(ROWS($J$2:J433),$J$2:$J$1001,0),0),1)),INDEX($O$2:$O$1001,MATCH(ROWS($J$2:J433),$J$2:$J$1001,0),0)))</f>
        <v xml:space="preserve"> </v>
      </c>
      <c r="B433" s="3" t="str">
        <f ca="1">IF(OR(INDEX($K$2:$K$1001,MATCH(ROWS($J$2:J433),$J$2:$J$1001,0),1)&gt;=100000,INDEX($Q$1005:$U$1005,1,MATCH(COLUMNS($Q$1006:Q1006),$Q$1006:$U$1006,0))&gt;=100000), " ",IF(INDEX($Q$2:$U$1001,MATCH(ROWS($J$2:J433),$J$2:$J$1001,0),MATCH(COLUMNS($Q$1006:Q1006),$Q$1006:$U$1006,0)), HYPERLINK("#",""), HYPERLINK(CONCATENATE("#Metadata!", ADDRESS(INDEX($L$2:$L$1001,MATCH(ROWS($J$2:J433),$J$2:$J$1001,0),0), INDEX($Q$1004:$U$1004,1,MATCH(COLUMNS($Q$1006:Q1006),$Q$1006:$U$1006,0)))),"Fix")))</f>
        <v xml:space="preserve"> </v>
      </c>
      <c r="C433" s="3" t="str">
        <f ca="1">IF(OR(INDEX($K$2:$K$1001,MATCH(ROWS($J$2:J433),$J$2:$J$1001,0),1)&gt;=100000,INDEX($Q$1005:$U$1005,1,MATCH(COLUMNS($Q$1006:R1006),$Q$1006:$U$1006,0))&gt;=100000), " ",IF(INDEX($Q$2:$U$1001,MATCH(ROWS($J$2:J433),$J$2:$J$1001,0),MATCH(COLUMNS($Q$1006:R1006),$Q$1006:$U$1006,0)), HYPERLINK("#",""), HYPERLINK(CONCATENATE("#Metadata!", ADDRESS(INDEX($L$2:$L$1001,MATCH(ROWS($J$2:J433),$J$2:$J$1001,0),0), INDEX($Q$1004:$U$1004,1,MATCH(COLUMNS($Q$1006:R1006),$Q$1006:$U$1006,0)))),"Fix")))</f>
        <v xml:space="preserve"> </v>
      </c>
      <c r="D433" s="3" t="str">
        <f ca="1">IF(OR(INDEX($K$2:$K$1001,MATCH(ROWS($J$2:J433),$J$2:$J$1001,0),1)&gt;=100000,INDEX($Q$1005:$U$1005,1,MATCH(COLUMNS($Q$1006:S1006),$Q$1006:$U$1006,0))&gt;=100000), " ",IF(INDEX($Q$2:$U$1001,MATCH(ROWS($J$2:J433),$J$2:$J$1001,0),MATCH(COLUMNS($Q$1006:S1006),$Q$1006:$U$1006,0)), HYPERLINK("#",""), HYPERLINK(CONCATENATE("#Metadata!", ADDRESS(INDEX($L$2:$L$1001,MATCH(ROWS($J$2:J433),$J$2:$J$1001,0),0), INDEX($Q$1004:$U$1004,1,MATCH(COLUMNS($Q$1006:S1006),$Q$1006:$U$1006,0)))),"Fix")))</f>
        <v xml:space="preserve"> </v>
      </c>
      <c r="E433" s="3" t="str">
        <f ca="1">IF(OR(INDEX($K$2:$K$1001,MATCH(ROWS($J$2:J433),$J$2:$J$1001,0),1)&gt;=100000,INDEX($Q$1005:$U$1005,1,MATCH(COLUMNS($Q$1006:T1006),$Q$1006:$U$1006,0))&gt;=100000), " ",IF(INDEX($Q$2:$U$1001,MATCH(ROWS($J$2:J433),$J$2:$J$1001,0),MATCH(COLUMNS($Q$1006:T1006),$Q$1006:$U$1006,0)), HYPERLINK("#",""), HYPERLINK(CONCATENATE("#Metadata!", ADDRESS(INDEX($L$2:$L$1001,MATCH(ROWS($J$2:J433),$J$2:$J$1001,0),0), INDEX($Q$1004:$U$1004,1,MATCH(COLUMNS($Q$1006:T1006),$Q$1006:$U$1006,0)))),"Fix")))</f>
        <v xml:space="preserve"> </v>
      </c>
      <c r="F433" s="3" t="str">
        <f ca="1">IF(OR(INDEX($K$2:$K$1001,MATCH(ROWS($J$2:J433),$J$2:$J$1001,0),1)&gt;=100000,INDEX($Q$1005:$U$1005,1,MATCH(COLUMNS($Q$1006:U1006),$Q$1006:$U$1006,0))&gt;=100000), " ",IF(INDEX($Q$2:$U$1001,MATCH(ROWS($J$2:J433),$J$2:$J$1001,0),MATCH(COLUMNS($Q$1006:U1006),$Q$1006:$U$1006,0)), HYPERLINK("#",""), HYPERLINK(CONCATENATE("#Metadata!", ADDRESS(INDEX($L$2:$L$1001,MATCH(ROWS($J$2:J433),$J$2:$J$1001,0),0), INDEX($Q$1004:$U$1004,1,MATCH(COLUMNS($Q$1006:U1006),$Q$1006:$U$1006,0)))),"Fix")))</f>
        <v xml:space="preserve"> </v>
      </c>
      <c r="J433">
        <f ca="1"/>
        <v>432</v>
      </c>
      <c r="K433">
        <v>100433</v>
      </c>
      <c r="L433">
        <v>433</v>
      </c>
      <c r="M433" t="b">
        <f t="shared" si="6"/>
        <v>1</v>
      </c>
      <c r="N433" t="b">
        <f>COUNTBLANK(Metadata!B433:F433)=COLUMNS(Metadata!B433:F433)</f>
        <v>1</v>
      </c>
      <c r="O433" t="str">
        <v/>
      </c>
      <c r="Q433" t="b">
        <f ca="1"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R433" t="b">
        <f>IF(Metadata!C433="",FALSE,TRUE)</f>
        <v>0</v>
      </c>
      <c r="S433" t="b">
        <f>OR(AND(IF(Metadata!D433="",FALSE,TRUE),EXACT(Metadata!D433,"missing: not collected")),AND(IF(Metadata!D433="",FALSE,TRUE),OR(EXACT(Metadata!D433,"t"),EXACT(Metadata!D433,"f"))))</f>
        <v>0</v>
      </c>
      <c r="T433" t="b">
        <f>AND(IF(Metadata!E433="",FALSE,TRUE),OR(EXACT(Metadata!E433,"a"),EXACT(Metadata!E433,"b")))</f>
        <v>0</v>
      </c>
      <c r="U433" t="b">
        <f>OR(AND(IF(Metadata!F433="",FALSE,TRUE),OR(EXACT(Metadata!F433,"missing: not collected"),EXACT(Metadata!F433,"missing: not provided"))),AND(IF(Metadata!F433="",FALSE,TRUE),OR(EXACT(Metadata!F433,"lo"),EXACT(Metadata!F433,"med"),EXACT(Metadata!F433,"hi"))))</f>
        <v>0</v>
      </c>
    </row>
    <row r="434" spans="1:21" x14ac:dyDescent="0.2">
      <c r="A434" s="4" t="str">
        <f ca="1">IF(B434=" "," ",HYPERLINK(CONCATENATE("#metadata!",ADDRESS(INDEX($L$2:$L$1001,MATCH(ROWS($J$2:J434),$J$2:$J$1001,0),0),1)),INDEX($O$2:$O$1001,MATCH(ROWS($J$2:J434),$J$2:$J$1001,0),0)))</f>
        <v xml:space="preserve"> </v>
      </c>
      <c r="B434" s="3" t="str">
        <f ca="1">IF(OR(INDEX($K$2:$K$1001,MATCH(ROWS($J$2:J434),$J$2:$J$1001,0),1)&gt;=100000,INDEX($Q$1005:$U$1005,1,MATCH(COLUMNS($Q$1006:Q1006),$Q$1006:$U$1006,0))&gt;=100000), " ",IF(INDEX($Q$2:$U$1001,MATCH(ROWS($J$2:J434),$J$2:$J$1001,0),MATCH(COLUMNS($Q$1006:Q1006),$Q$1006:$U$1006,0)), HYPERLINK("#",""), HYPERLINK(CONCATENATE("#Metadata!", ADDRESS(INDEX($L$2:$L$1001,MATCH(ROWS($J$2:J434),$J$2:$J$1001,0),0), INDEX($Q$1004:$U$1004,1,MATCH(COLUMNS($Q$1006:Q1006),$Q$1006:$U$1006,0)))),"Fix")))</f>
        <v xml:space="preserve"> </v>
      </c>
      <c r="C434" s="3" t="str">
        <f ca="1">IF(OR(INDEX($K$2:$K$1001,MATCH(ROWS($J$2:J434),$J$2:$J$1001,0),1)&gt;=100000,INDEX($Q$1005:$U$1005,1,MATCH(COLUMNS($Q$1006:R1006),$Q$1006:$U$1006,0))&gt;=100000), " ",IF(INDEX($Q$2:$U$1001,MATCH(ROWS($J$2:J434),$J$2:$J$1001,0),MATCH(COLUMNS($Q$1006:R1006),$Q$1006:$U$1006,0)), HYPERLINK("#",""), HYPERLINK(CONCATENATE("#Metadata!", ADDRESS(INDEX($L$2:$L$1001,MATCH(ROWS($J$2:J434),$J$2:$J$1001,0),0), INDEX($Q$1004:$U$1004,1,MATCH(COLUMNS($Q$1006:R1006),$Q$1006:$U$1006,0)))),"Fix")))</f>
        <v xml:space="preserve"> </v>
      </c>
      <c r="D434" s="3" t="str">
        <f ca="1">IF(OR(INDEX($K$2:$K$1001,MATCH(ROWS($J$2:J434),$J$2:$J$1001,0),1)&gt;=100000,INDEX($Q$1005:$U$1005,1,MATCH(COLUMNS($Q$1006:S1006),$Q$1006:$U$1006,0))&gt;=100000), " ",IF(INDEX($Q$2:$U$1001,MATCH(ROWS($J$2:J434),$J$2:$J$1001,0),MATCH(COLUMNS($Q$1006:S1006),$Q$1006:$U$1006,0)), HYPERLINK("#",""), HYPERLINK(CONCATENATE("#Metadata!", ADDRESS(INDEX($L$2:$L$1001,MATCH(ROWS($J$2:J434),$J$2:$J$1001,0),0), INDEX($Q$1004:$U$1004,1,MATCH(COLUMNS($Q$1006:S1006),$Q$1006:$U$1006,0)))),"Fix")))</f>
        <v xml:space="preserve"> </v>
      </c>
      <c r="E434" s="3" t="str">
        <f ca="1">IF(OR(INDEX($K$2:$K$1001,MATCH(ROWS($J$2:J434),$J$2:$J$1001,0),1)&gt;=100000,INDEX($Q$1005:$U$1005,1,MATCH(COLUMNS($Q$1006:T1006),$Q$1006:$U$1006,0))&gt;=100000), " ",IF(INDEX($Q$2:$U$1001,MATCH(ROWS($J$2:J434),$J$2:$J$1001,0),MATCH(COLUMNS($Q$1006:T1006),$Q$1006:$U$1006,0)), HYPERLINK("#",""), HYPERLINK(CONCATENATE("#Metadata!", ADDRESS(INDEX($L$2:$L$1001,MATCH(ROWS($J$2:J434),$J$2:$J$1001,0),0), INDEX($Q$1004:$U$1004,1,MATCH(COLUMNS($Q$1006:T1006),$Q$1006:$U$1006,0)))),"Fix")))</f>
        <v xml:space="preserve"> </v>
      </c>
      <c r="F434" s="3" t="str">
        <f ca="1">IF(OR(INDEX($K$2:$K$1001,MATCH(ROWS($J$2:J434),$J$2:$J$1001,0),1)&gt;=100000,INDEX($Q$1005:$U$1005,1,MATCH(COLUMNS($Q$1006:U1006),$Q$1006:$U$1006,0))&gt;=100000), " ",IF(INDEX($Q$2:$U$1001,MATCH(ROWS($J$2:J434),$J$2:$J$1001,0),MATCH(COLUMNS($Q$1006:U1006),$Q$1006:$U$1006,0)), HYPERLINK("#",""), HYPERLINK(CONCATENATE("#Metadata!", ADDRESS(INDEX($L$2:$L$1001,MATCH(ROWS($J$2:J434),$J$2:$J$1001,0),0), INDEX($Q$1004:$U$1004,1,MATCH(COLUMNS($Q$1006:U1006),$Q$1006:$U$1006,0)))),"Fix")))</f>
        <v xml:space="preserve"> </v>
      </c>
      <c r="J434">
        <f ca="1"/>
        <v>433</v>
      </c>
      <c r="K434">
        <v>100434</v>
      </c>
      <c r="L434">
        <v>434</v>
      </c>
      <c r="M434" t="b">
        <f t="shared" si="6"/>
        <v>1</v>
      </c>
      <c r="N434" t="b">
        <f>COUNTBLANK(Metadata!B434:F434)=COLUMNS(Metadata!B434:F434)</f>
        <v>1</v>
      </c>
      <c r="O434" t="str">
        <v/>
      </c>
      <c r="Q434" t="b">
        <f ca="1"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R434" t="b">
        <f>IF(Metadata!C434="",FALSE,TRUE)</f>
        <v>0</v>
      </c>
      <c r="S434" t="b">
        <f>OR(AND(IF(Metadata!D434="",FALSE,TRUE),EXACT(Metadata!D434,"missing: not collected")),AND(IF(Metadata!D434="",FALSE,TRUE),OR(EXACT(Metadata!D434,"t"),EXACT(Metadata!D434,"f"))))</f>
        <v>0</v>
      </c>
      <c r="T434" t="b">
        <f>AND(IF(Metadata!E434="",FALSE,TRUE),OR(EXACT(Metadata!E434,"a"),EXACT(Metadata!E434,"b")))</f>
        <v>0</v>
      </c>
      <c r="U434" t="b">
        <f>OR(AND(IF(Metadata!F434="",FALSE,TRUE),OR(EXACT(Metadata!F434,"missing: not collected"),EXACT(Metadata!F434,"missing: not provided"))),AND(IF(Metadata!F434="",FALSE,TRUE),OR(EXACT(Metadata!F434,"lo"),EXACT(Metadata!F434,"med"),EXACT(Metadata!F434,"hi"))))</f>
        <v>0</v>
      </c>
    </row>
    <row r="435" spans="1:21" x14ac:dyDescent="0.2">
      <c r="A435" s="4" t="str">
        <f ca="1">IF(B435=" "," ",HYPERLINK(CONCATENATE("#metadata!",ADDRESS(INDEX($L$2:$L$1001,MATCH(ROWS($J$2:J435),$J$2:$J$1001,0),0),1)),INDEX($O$2:$O$1001,MATCH(ROWS($J$2:J435),$J$2:$J$1001,0),0)))</f>
        <v xml:space="preserve"> </v>
      </c>
      <c r="B435" s="3" t="str">
        <f ca="1">IF(OR(INDEX($K$2:$K$1001,MATCH(ROWS($J$2:J435),$J$2:$J$1001,0),1)&gt;=100000,INDEX($Q$1005:$U$1005,1,MATCH(COLUMNS($Q$1006:Q1006),$Q$1006:$U$1006,0))&gt;=100000), " ",IF(INDEX($Q$2:$U$1001,MATCH(ROWS($J$2:J435),$J$2:$J$1001,0),MATCH(COLUMNS($Q$1006:Q1006),$Q$1006:$U$1006,0)), HYPERLINK("#",""), HYPERLINK(CONCATENATE("#Metadata!", ADDRESS(INDEX($L$2:$L$1001,MATCH(ROWS($J$2:J435),$J$2:$J$1001,0),0), INDEX($Q$1004:$U$1004,1,MATCH(COLUMNS($Q$1006:Q1006),$Q$1006:$U$1006,0)))),"Fix")))</f>
        <v xml:space="preserve"> </v>
      </c>
      <c r="C435" s="3" t="str">
        <f ca="1">IF(OR(INDEX($K$2:$K$1001,MATCH(ROWS($J$2:J435),$J$2:$J$1001,0),1)&gt;=100000,INDEX($Q$1005:$U$1005,1,MATCH(COLUMNS($Q$1006:R1006),$Q$1006:$U$1006,0))&gt;=100000), " ",IF(INDEX($Q$2:$U$1001,MATCH(ROWS($J$2:J435),$J$2:$J$1001,0),MATCH(COLUMNS($Q$1006:R1006),$Q$1006:$U$1006,0)), HYPERLINK("#",""), HYPERLINK(CONCATENATE("#Metadata!", ADDRESS(INDEX($L$2:$L$1001,MATCH(ROWS($J$2:J435),$J$2:$J$1001,0),0), INDEX($Q$1004:$U$1004,1,MATCH(COLUMNS($Q$1006:R1006),$Q$1006:$U$1006,0)))),"Fix")))</f>
        <v xml:space="preserve"> </v>
      </c>
      <c r="D435" s="3" t="str">
        <f ca="1">IF(OR(INDEX($K$2:$K$1001,MATCH(ROWS($J$2:J435),$J$2:$J$1001,0),1)&gt;=100000,INDEX($Q$1005:$U$1005,1,MATCH(COLUMNS($Q$1006:S1006),$Q$1006:$U$1006,0))&gt;=100000), " ",IF(INDEX($Q$2:$U$1001,MATCH(ROWS($J$2:J435),$J$2:$J$1001,0),MATCH(COLUMNS($Q$1006:S1006),$Q$1006:$U$1006,0)), HYPERLINK("#",""), HYPERLINK(CONCATENATE("#Metadata!", ADDRESS(INDEX($L$2:$L$1001,MATCH(ROWS($J$2:J435),$J$2:$J$1001,0),0), INDEX($Q$1004:$U$1004,1,MATCH(COLUMNS($Q$1006:S1006),$Q$1006:$U$1006,0)))),"Fix")))</f>
        <v xml:space="preserve"> </v>
      </c>
      <c r="E435" s="3" t="str">
        <f ca="1">IF(OR(INDEX($K$2:$K$1001,MATCH(ROWS($J$2:J435),$J$2:$J$1001,0),1)&gt;=100000,INDEX($Q$1005:$U$1005,1,MATCH(COLUMNS($Q$1006:T1006),$Q$1006:$U$1006,0))&gt;=100000), " ",IF(INDEX($Q$2:$U$1001,MATCH(ROWS($J$2:J435),$J$2:$J$1001,0),MATCH(COLUMNS($Q$1006:T1006),$Q$1006:$U$1006,0)), HYPERLINK("#",""), HYPERLINK(CONCATENATE("#Metadata!", ADDRESS(INDEX($L$2:$L$1001,MATCH(ROWS($J$2:J435),$J$2:$J$1001,0),0), INDEX($Q$1004:$U$1004,1,MATCH(COLUMNS($Q$1006:T1006),$Q$1006:$U$1006,0)))),"Fix")))</f>
        <v xml:space="preserve"> </v>
      </c>
      <c r="F435" s="3" t="str">
        <f ca="1">IF(OR(INDEX($K$2:$K$1001,MATCH(ROWS($J$2:J435),$J$2:$J$1001,0),1)&gt;=100000,INDEX($Q$1005:$U$1005,1,MATCH(COLUMNS($Q$1006:U1006),$Q$1006:$U$1006,0))&gt;=100000), " ",IF(INDEX($Q$2:$U$1001,MATCH(ROWS($J$2:J435),$J$2:$J$1001,0),MATCH(COLUMNS($Q$1006:U1006),$Q$1006:$U$1006,0)), HYPERLINK("#",""), HYPERLINK(CONCATENATE("#Metadata!", ADDRESS(INDEX($L$2:$L$1001,MATCH(ROWS($J$2:J435),$J$2:$J$1001,0),0), INDEX($Q$1004:$U$1004,1,MATCH(COLUMNS($Q$1006:U1006),$Q$1006:$U$1006,0)))),"Fix")))</f>
        <v xml:space="preserve"> </v>
      </c>
      <c r="J435">
        <f ca="1"/>
        <v>434</v>
      </c>
      <c r="K435">
        <v>100435</v>
      </c>
      <c r="L435">
        <v>435</v>
      </c>
      <c r="M435" t="b">
        <f t="shared" si="6"/>
        <v>1</v>
      </c>
      <c r="N435" t="b">
        <f>COUNTBLANK(Metadata!B435:F435)=COLUMNS(Metadata!B435:F435)</f>
        <v>1</v>
      </c>
      <c r="O435" t="str">
        <v/>
      </c>
      <c r="Q435" t="b">
        <f ca="1"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R435" t="b">
        <f>IF(Metadata!C435="",FALSE,TRUE)</f>
        <v>0</v>
      </c>
      <c r="S435" t="b">
        <f>OR(AND(IF(Metadata!D435="",FALSE,TRUE),EXACT(Metadata!D435,"missing: not collected")),AND(IF(Metadata!D435="",FALSE,TRUE),OR(EXACT(Metadata!D435,"t"),EXACT(Metadata!D435,"f"))))</f>
        <v>0</v>
      </c>
      <c r="T435" t="b">
        <f>AND(IF(Metadata!E435="",FALSE,TRUE),OR(EXACT(Metadata!E435,"a"),EXACT(Metadata!E435,"b")))</f>
        <v>0</v>
      </c>
      <c r="U435" t="b">
        <f>OR(AND(IF(Metadata!F435="",FALSE,TRUE),OR(EXACT(Metadata!F435,"missing: not collected"),EXACT(Metadata!F435,"missing: not provided"))),AND(IF(Metadata!F435="",FALSE,TRUE),OR(EXACT(Metadata!F435,"lo"),EXACT(Metadata!F435,"med"),EXACT(Metadata!F435,"hi"))))</f>
        <v>0</v>
      </c>
    </row>
    <row r="436" spans="1:21" x14ac:dyDescent="0.2">
      <c r="A436" s="4" t="str">
        <f ca="1">IF(B436=" "," ",HYPERLINK(CONCATENATE("#metadata!",ADDRESS(INDEX($L$2:$L$1001,MATCH(ROWS($J$2:J436),$J$2:$J$1001,0),0),1)),INDEX($O$2:$O$1001,MATCH(ROWS($J$2:J436),$J$2:$J$1001,0),0)))</f>
        <v xml:space="preserve"> </v>
      </c>
      <c r="B436" s="3" t="str">
        <f ca="1">IF(OR(INDEX($K$2:$K$1001,MATCH(ROWS($J$2:J436),$J$2:$J$1001,0),1)&gt;=100000,INDEX($Q$1005:$U$1005,1,MATCH(COLUMNS($Q$1006:Q1006),$Q$1006:$U$1006,0))&gt;=100000), " ",IF(INDEX($Q$2:$U$1001,MATCH(ROWS($J$2:J436),$J$2:$J$1001,0),MATCH(COLUMNS($Q$1006:Q1006),$Q$1006:$U$1006,0)), HYPERLINK("#",""), HYPERLINK(CONCATENATE("#Metadata!", ADDRESS(INDEX($L$2:$L$1001,MATCH(ROWS($J$2:J436),$J$2:$J$1001,0),0), INDEX($Q$1004:$U$1004,1,MATCH(COLUMNS($Q$1006:Q1006),$Q$1006:$U$1006,0)))),"Fix")))</f>
        <v xml:space="preserve"> </v>
      </c>
      <c r="C436" s="3" t="str">
        <f ca="1">IF(OR(INDEX($K$2:$K$1001,MATCH(ROWS($J$2:J436),$J$2:$J$1001,0),1)&gt;=100000,INDEX($Q$1005:$U$1005,1,MATCH(COLUMNS($Q$1006:R1006),$Q$1006:$U$1006,0))&gt;=100000), " ",IF(INDEX($Q$2:$U$1001,MATCH(ROWS($J$2:J436),$J$2:$J$1001,0),MATCH(COLUMNS($Q$1006:R1006),$Q$1006:$U$1006,0)), HYPERLINK("#",""), HYPERLINK(CONCATENATE("#Metadata!", ADDRESS(INDEX($L$2:$L$1001,MATCH(ROWS($J$2:J436),$J$2:$J$1001,0),0), INDEX($Q$1004:$U$1004,1,MATCH(COLUMNS($Q$1006:R1006),$Q$1006:$U$1006,0)))),"Fix")))</f>
        <v xml:space="preserve"> </v>
      </c>
      <c r="D436" s="3" t="str">
        <f ca="1">IF(OR(INDEX($K$2:$K$1001,MATCH(ROWS($J$2:J436),$J$2:$J$1001,0),1)&gt;=100000,INDEX($Q$1005:$U$1005,1,MATCH(COLUMNS($Q$1006:S1006),$Q$1006:$U$1006,0))&gt;=100000), " ",IF(INDEX($Q$2:$U$1001,MATCH(ROWS($J$2:J436),$J$2:$J$1001,0),MATCH(COLUMNS($Q$1006:S1006),$Q$1006:$U$1006,0)), HYPERLINK("#",""), HYPERLINK(CONCATENATE("#Metadata!", ADDRESS(INDEX($L$2:$L$1001,MATCH(ROWS($J$2:J436),$J$2:$J$1001,0),0), INDEX($Q$1004:$U$1004,1,MATCH(COLUMNS($Q$1006:S1006),$Q$1006:$U$1006,0)))),"Fix")))</f>
        <v xml:space="preserve"> </v>
      </c>
      <c r="E436" s="3" t="str">
        <f ca="1">IF(OR(INDEX($K$2:$K$1001,MATCH(ROWS($J$2:J436),$J$2:$J$1001,0),1)&gt;=100000,INDEX($Q$1005:$U$1005,1,MATCH(COLUMNS($Q$1006:T1006),$Q$1006:$U$1006,0))&gt;=100000), " ",IF(INDEX($Q$2:$U$1001,MATCH(ROWS($J$2:J436),$J$2:$J$1001,0),MATCH(COLUMNS($Q$1006:T1006),$Q$1006:$U$1006,0)), HYPERLINK("#",""), HYPERLINK(CONCATENATE("#Metadata!", ADDRESS(INDEX($L$2:$L$1001,MATCH(ROWS($J$2:J436),$J$2:$J$1001,0),0), INDEX($Q$1004:$U$1004,1,MATCH(COLUMNS($Q$1006:T1006),$Q$1006:$U$1006,0)))),"Fix")))</f>
        <v xml:space="preserve"> </v>
      </c>
      <c r="F436" s="3" t="str">
        <f ca="1">IF(OR(INDEX($K$2:$K$1001,MATCH(ROWS($J$2:J436),$J$2:$J$1001,0),1)&gt;=100000,INDEX($Q$1005:$U$1005,1,MATCH(COLUMNS($Q$1006:U1006),$Q$1006:$U$1006,0))&gt;=100000), " ",IF(INDEX($Q$2:$U$1001,MATCH(ROWS($J$2:J436),$J$2:$J$1001,0),MATCH(COLUMNS($Q$1006:U1006),$Q$1006:$U$1006,0)), HYPERLINK("#",""), HYPERLINK(CONCATENATE("#Metadata!", ADDRESS(INDEX($L$2:$L$1001,MATCH(ROWS($J$2:J436),$J$2:$J$1001,0),0), INDEX($Q$1004:$U$1004,1,MATCH(COLUMNS($Q$1006:U1006),$Q$1006:$U$1006,0)))),"Fix")))</f>
        <v xml:space="preserve"> </v>
      </c>
      <c r="J436">
        <f ca="1"/>
        <v>435</v>
      </c>
      <c r="K436">
        <v>100436</v>
      </c>
      <c r="L436">
        <v>436</v>
      </c>
      <c r="M436" t="b">
        <f t="shared" si="6"/>
        <v>1</v>
      </c>
      <c r="N436" t="b">
        <f>COUNTBLANK(Metadata!B436:F436)=COLUMNS(Metadata!B436:F436)</f>
        <v>1</v>
      </c>
      <c r="O436" t="str">
        <v/>
      </c>
      <c r="Q436" t="b">
        <f ca="1"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R436" t="b">
        <f>IF(Metadata!C436="",FALSE,TRUE)</f>
        <v>0</v>
      </c>
      <c r="S436" t="b">
        <f>OR(AND(IF(Metadata!D436="",FALSE,TRUE),EXACT(Metadata!D436,"missing: not collected")),AND(IF(Metadata!D436="",FALSE,TRUE),OR(EXACT(Metadata!D436,"t"),EXACT(Metadata!D436,"f"))))</f>
        <v>0</v>
      </c>
      <c r="T436" t="b">
        <f>AND(IF(Metadata!E436="",FALSE,TRUE),OR(EXACT(Metadata!E436,"a"),EXACT(Metadata!E436,"b")))</f>
        <v>0</v>
      </c>
      <c r="U436" t="b">
        <f>OR(AND(IF(Metadata!F436="",FALSE,TRUE),OR(EXACT(Metadata!F436,"missing: not collected"),EXACT(Metadata!F436,"missing: not provided"))),AND(IF(Metadata!F436="",FALSE,TRUE),OR(EXACT(Metadata!F436,"lo"),EXACT(Metadata!F436,"med"),EXACT(Metadata!F436,"hi"))))</f>
        <v>0</v>
      </c>
    </row>
    <row r="437" spans="1:21" x14ac:dyDescent="0.2">
      <c r="A437" s="4" t="str">
        <f ca="1">IF(B437=" "," ",HYPERLINK(CONCATENATE("#metadata!",ADDRESS(INDEX($L$2:$L$1001,MATCH(ROWS($J$2:J437),$J$2:$J$1001,0),0),1)),INDEX($O$2:$O$1001,MATCH(ROWS($J$2:J437),$J$2:$J$1001,0),0)))</f>
        <v xml:space="preserve"> </v>
      </c>
      <c r="B437" s="3" t="str">
        <f ca="1">IF(OR(INDEX($K$2:$K$1001,MATCH(ROWS($J$2:J437),$J$2:$J$1001,0),1)&gt;=100000,INDEX($Q$1005:$U$1005,1,MATCH(COLUMNS($Q$1006:Q1006),$Q$1006:$U$1006,0))&gt;=100000), " ",IF(INDEX($Q$2:$U$1001,MATCH(ROWS($J$2:J437),$J$2:$J$1001,0),MATCH(COLUMNS($Q$1006:Q1006),$Q$1006:$U$1006,0)), HYPERLINK("#",""), HYPERLINK(CONCATENATE("#Metadata!", ADDRESS(INDEX($L$2:$L$1001,MATCH(ROWS($J$2:J437),$J$2:$J$1001,0),0), INDEX($Q$1004:$U$1004,1,MATCH(COLUMNS($Q$1006:Q1006),$Q$1006:$U$1006,0)))),"Fix")))</f>
        <v xml:space="preserve"> </v>
      </c>
      <c r="C437" s="3" t="str">
        <f ca="1">IF(OR(INDEX($K$2:$K$1001,MATCH(ROWS($J$2:J437),$J$2:$J$1001,0),1)&gt;=100000,INDEX($Q$1005:$U$1005,1,MATCH(COLUMNS($Q$1006:R1006),$Q$1006:$U$1006,0))&gt;=100000), " ",IF(INDEX($Q$2:$U$1001,MATCH(ROWS($J$2:J437),$J$2:$J$1001,0),MATCH(COLUMNS($Q$1006:R1006),$Q$1006:$U$1006,0)), HYPERLINK("#",""), HYPERLINK(CONCATENATE("#Metadata!", ADDRESS(INDEX($L$2:$L$1001,MATCH(ROWS($J$2:J437),$J$2:$J$1001,0),0), INDEX($Q$1004:$U$1004,1,MATCH(COLUMNS($Q$1006:R1006),$Q$1006:$U$1006,0)))),"Fix")))</f>
        <v xml:space="preserve"> </v>
      </c>
      <c r="D437" s="3" t="str">
        <f ca="1">IF(OR(INDEX($K$2:$K$1001,MATCH(ROWS($J$2:J437),$J$2:$J$1001,0),1)&gt;=100000,INDEX($Q$1005:$U$1005,1,MATCH(COLUMNS($Q$1006:S1006),$Q$1006:$U$1006,0))&gt;=100000), " ",IF(INDEX($Q$2:$U$1001,MATCH(ROWS($J$2:J437),$J$2:$J$1001,0),MATCH(COLUMNS($Q$1006:S1006),$Q$1006:$U$1006,0)), HYPERLINK("#",""), HYPERLINK(CONCATENATE("#Metadata!", ADDRESS(INDEX($L$2:$L$1001,MATCH(ROWS($J$2:J437),$J$2:$J$1001,0),0), INDEX($Q$1004:$U$1004,1,MATCH(COLUMNS($Q$1006:S1006),$Q$1006:$U$1006,0)))),"Fix")))</f>
        <v xml:space="preserve"> </v>
      </c>
      <c r="E437" s="3" t="str">
        <f ca="1">IF(OR(INDEX($K$2:$K$1001,MATCH(ROWS($J$2:J437),$J$2:$J$1001,0),1)&gt;=100000,INDEX($Q$1005:$U$1005,1,MATCH(COLUMNS($Q$1006:T1006),$Q$1006:$U$1006,0))&gt;=100000), " ",IF(INDEX($Q$2:$U$1001,MATCH(ROWS($J$2:J437),$J$2:$J$1001,0),MATCH(COLUMNS($Q$1006:T1006),$Q$1006:$U$1006,0)), HYPERLINK("#",""), HYPERLINK(CONCATENATE("#Metadata!", ADDRESS(INDEX($L$2:$L$1001,MATCH(ROWS($J$2:J437),$J$2:$J$1001,0),0), INDEX($Q$1004:$U$1004,1,MATCH(COLUMNS($Q$1006:T1006),$Q$1006:$U$1006,0)))),"Fix")))</f>
        <v xml:space="preserve"> </v>
      </c>
      <c r="F437" s="3" t="str">
        <f ca="1">IF(OR(INDEX($K$2:$K$1001,MATCH(ROWS($J$2:J437),$J$2:$J$1001,0),1)&gt;=100000,INDEX($Q$1005:$U$1005,1,MATCH(COLUMNS($Q$1006:U1006),$Q$1006:$U$1006,0))&gt;=100000), " ",IF(INDEX($Q$2:$U$1001,MATCH(ROWS($J$2:J437),$J$2:$J$1001,0),MATCH(COLUMNS($Q$1006:U1006),$Q$1006:$U$1006,0)), HYPERLINK("#",""), HYPERLINK(CONCATENATE("#Metadata!", ADDRESS(INDEX($L$2:$L$1001,MATCH(ROWS($J$2:J437),$J$2:$J$1001,0),0), INDEX($Q$1004:$U$1004,1,MATCH(COLUMNS($Q$1006:U1006),$Q$1006:$U$1006,0)))),"Fix")))</f>
        <v xml:space="preserve"> </v>
      </c>
      <c r="J437">
        <f ca="1"/>
        <v>436</v>
      </c>
      <c r="K437">
        <v>100437</v>
      </c>
      <c r="L437">
        <v>437</v>
      </c>
      <c r="M437" t="b">
        <f t="shared" si="6"/>
        <v>1</v>
      </c>
      <c r="N437" t="b">
        <f>COUNTBLANK(Metadata!B437:F437)=COLUMNS(Metadata!B437:F437)</f>
        <v>1</v>
      </c>
      <c r="O437" t="str">
        <v/>
      </c>
      <c r="Q437" t="b">
        <f ca="1"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R437" t="b">
        <f>IF(Metadata!C437="",FALSE,TRUE)</f>
        <v>0</v>
      </c>
      <c r="S437" t="b">
        <f>OR(AND(IF(Metadata!D437="",FALSE,TRUE),EXACT(Metadata!D437,"missing: not collected")),AND(IF(Metadata!D437="",FALSE,TRUE),OR(EXACT(Metadata!D437,"t"),EXACT(Metadata!D437,"f"))))</f>
        <v>0</v>
      </c>
      <c r="T437" t="b">
        <f>AND(IF(Metadata!E437="",FALSE,TRUE),OR(EXACT(Metadata!E437,"a"),EXACT(Metadata!E437,"b")))</f>
        <v>0</v>
      </c>
      <c r="U437" t="b">
        <f>OR(AND(IF(Metadata!F437="",FALSE,TRUE),OR(EXACT(Metadata!F437,"missing: not collected"),EXACT(Metadata!F437,"missing: not provided"))),AND(IF(Metadata!F437="",FALSE,TRUE),OR(EXACT(Metadata!F437,"lo"),EXACT(Metadata!F437,"med"),EXACT(Metadata!F437,"hi"))))</f>
        <v>0</v>
      </c>
    </row>
    <row r="438" spans="1:21" x14ac:dyDescent="0.2">
      <c r="A438" s="4" t="str">
        <f ca="1">IF(B438=" "," ",HYPERLINK(CONCATENATE("#metadata!",ADDRESS(INDEX($L$2:$L$1001,MATCH(ROWS($J$2:J438),$J$2:$J$1001,0),0),1)),INDEX($O$2:$O$1001,MATCH(ROWS($J$2:J438),$J$2:$J$1001,0),0)))</f>
        <v xml:space="preserve"> </v>
      </c>
      <c r="B438" s="3" t="str">
        <f ca="1">IF(OR(INDEX($K$2:$K$1001,MATCH(ROWS($J$2:J438),$J$2:$J$1001,0),1)&gt;=100000,INDEX($Q$1005:$U$1005,1,MATCH(COLUMNS($Q$1006:Q1006),$Q$1006:$U$1006,0))&gt;=100000), " ",IF(INDEX($Q$2:$U$1001,MATCH(ROWS($J$2:J438),$J$2:$J$1001,0),MATCH(COLUMNS($Q$1006:Q1006),$Q$1006:$U$1006,0)), HYPERLINK("#",""), HYPERLINK(CONCATENATE("#Metadata!", ADDRESS(INDEX($L$2:$L$1001,MATCH(ROWS($J$2:J438),$J$2:$J$1001,0),0), INDEX($Q$1004:$U$1004,1,MATCH(COLUMNS($Q$1006:Q1006),$Q$1006:$U$1006,0)))),"Fix")))</f>
        <v xml:space="preserve"> </v>
      </c>
      <c r="C438" s="3" t="str">
        <f ca="1">IF(OR(INDEX($K$2:$K$1001,MATCH(ROWS($J$2:J438),$J$2:$J$1001,0),1)&gt;=100000,INDEX($Q$1005:$U$1005,1,MATCH(COLUMNS($Q$1006:R1006),$Q$1006:$U$1006,0))&gt;=100000), " ",IF(INDEX($Q$2:$U$1001,MATCH(ROWS($J$2:J438),$J$2:$J$1001,0),MATCH(COLUMNS($Q$1006:R1006),$Q$1006:$U$1006,0)), HYPERLINK("#",""), HYPERLINK(CONCATENATE("#Metadata!", ADDRESS(INDEX($L$2:$L$1001,MATCH(ROWS($J$2:J438),$J$2:$J$1001,0),0), INDEX($Q$1004:$U$1004,1,MATCH(COLUMNS($Q$1006:R1006),$Q$1006:$U$1006,0)))),"Fix")))</f>
        <v xml:space="preserve"> </v>
      </c>
      <c r="D438" s="3" t="str">
        <f ca="1">IF(OR(INDEX($K$2:$K$1001,MATCH(ROWS($J$2:J438),$J$2:$J$1001,0),1)&gt;=100000,INDEX($Q$1005:$U$1005,1,MATCH(COLUMNS($Q$1006:S1006),$Q$1006:$U$1006,0))&gt;=100000), " ",IF(INDEX($Q$2:$U$1001,MATCH(ROWS($J$2:J438),$J$2:$J$1001,0),MATCH(COLUMNS($Q$1006:S1006),$Q$1006:$U$1006,0)), HYPERLINK("#",""), HYPERLINK(CONCATENATE("#Metadata!", ADDRESS(INDEX($L$2:$L$1001,MATCH(ROWS($J$2:J438),$J$2:$J$1001,0),0), INDEX($Q$1004:$U$1004,1,MATCH(COLUMNS($Q$1006:S1006),$Q$1006:$U$1006,0)))),"Fix")))</f>
        <v xml:space="preserve"> </v>
      </c>
      <c r="E438" s="3" t="str">
        <f ca="1">IF(OR(INDEX($K$2:$K$1001,MATCH(ROWS($J$2:J438),$J$2:$J$1001,0),1)&gt;=100000,INDEX($Q$1005:$U$1005,1,MATCH(COLUMNS($Q$1006:T1006),$Q$1006:$U$1006,0))&gt;=100000), " ",IF(INDEX($Q$2:$U$1001,MATCH(ROWS($J$2:J438),$J$2:$J$1001,0),MATCH(COLUMNS($Q$1006:T1006),$Q$1006:$U$1006,0)), HYPERLINK("#",""), HYPERLINK(CONCATENATE("#Metadata!", ADDRESS(INDEX($L$2:$L$1001,MATCH(ROWS($J$2:J438),$J$2:$J$1001,0),0), INDEX($Q$1004:$U$1004,1,MATCH(COLUMNS($Q$1006:T1006),$Q$1006:$U$1006,0)))),"Fix")))</f>
        <v xml:space="preserve"> </v>
      </c>
      <c r="F438" s="3" t="str">
        <f ca="1">IF(OR(INDEX($K$2:$K$1001,MATCH(ROWS($J$2:J438),$J$2:$J$1001,0),1)&gt;=100000,INDEX($Q$1005:$U$1005,1,MATCH(COLUMNS($Q$1006:U1006),$Q$1006:$U$1006,0))&gt;=100000), " ",IF(INDEX($Q$2:$U$1001,MATCH(ROWS($J$2:J438),$J$2:$J$1001,0),MATCH(COLUMNS($Q$1006:U1006),$Q$1006:$U$1006,0)), HYPERLINK("#",""), HYPERLINK(CONCATENATE("#Metadata!", ADDRESS(INDEX($L$2:$L$1001,MATCH(ROWS($J$2:J438),$J$2:$J$1001,0),0), INDEX($Q$1004:$U$1004,1,MATCH(COLUMNS($Q$1006:U1006),$Q$1006:$U$1006,0)))),"Fix")))</f>
        <v xml:space="preserve"> </v>
      </c>
      <c r="J438">
        <f ca="1"/>
        <v>437</v>
      </c>
      <c r="K438">
        <v>100438</v>
      </c>
      <c r="L438">
        <v>438</v>
      </c>
      <c r="M438" t="b">
        <f t="shared" si="6"/>
        <v>1</v>
      </c>
      <c r="N438" t="b">
        <f>COUNTBLANK(Metadata!B438:F438)=COLUMNS(Metadata!B438:F438)</f>
        <v>1</v>
      </c>
      <c r="O438" t="str">
        <v/>
      </c>
      <c r="Q438" t="b">
        <f ca="1"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R438" t="b">
        <f>IF(Metadata!C438="",FALSE,TRUE)</f>
        <v>0</v>
      </c>
      <c r="S438" t="b">
        <f>OR(AND(IF(Metadata!D438="",FALSE,TRUE),EXACT(Metadata!D438,"missing: not collected")),AND(IF(Metadata!D438="",FALSE,TRUE),OR(EXACT(Metadata!D438,"t"),EXACT(Metadata!D438,"f"))))</f>
        <v>0</v>
      </c>
      <c r="T438" t="b">
        <f>AND(IF(Metadata!E438="",FALSE,TRUE),OR(EXACT(Metadata!E438,"a"),EXACT(Metadata!E438,"b")))</f>
        <v>0</v>
      </c>
      <c r="U438" t="b">
        <f>OR(AND(IF(Metadata!F438="",FALSE,TRUE),OR(EXACT(Metadata!F438,"missing: not collected"),EXACT(Metadata!F438,"missing: not provided"))),AND(IF(Metadata!F438="",FALSE,TRUE),OR(EXACT(Metadata!F438,"lo"),EXACT(Metadata!F438,"med"),EXACT(Metadata!F438,"hi"))))</f>
        <v>0</v>
      </c>
    </row>
    <row r="439" spans="1:21" x14ac:dyDescent="0.2">
      <c r="A439" s="4" t="str">
        <f ca="1">IF(B439=" "," ",HYPERLINK(CONCATENATE("#metadata!",ADDRESS(INDEX($L$2:$L$1001,MATCH(ROWS($J$2:J439),$J$2:$J$1001,0),0),1)),INDEX($O$2:$O$1001,MATCH(ROWS($J$2:J439),$J$2:$J$1001,0),0)))</f>
        <v xml:space="preserve"> </v>
      </c>
      <c r="B439" s="3" t="str">
        <f ca="1">IF(OR(INDEX($K$2:$K$1001,MATCH(ROWS($J$2:J439),$J$2:$J$1001,0),1)&gt;=100000,INDEX($Q$1005:$U$1005,1,MATCH(COLUMNS($Q$1006:Q1006),$Q$1006:$U$1006,0))&gt;=100000), " ",IF(INDEX($Q$2:$U$1001,MATCH(ROWS($J$2:J439),$J$2:$J$1001,0),MATCH(COLUMNS($Q$1006:Q1006),$Q$1006:$U$1006,0)), HYPERLINK("#",""), HYPERLINK(CONCATENATE("#Metadata!", ADDRESS(INDEX($L$2:$L$1001,MATCH(ROWS($J$2:J439),$J$2:$J$1001,0),0), INDEX($Q$1004:$U$1004,1,MATCH(COLUMNS($Q$1006:Q1006),$Q$1006:$U$1006,0)))),"Fix")))</f>
        <v xml:space="preserve"> </v>
      </c>
      <c r="C439" s="3" t="str">
        <f ca="1">IF(OR(INDEX($K$2:$K$1001,MATCH(ROWS($J$2:J439),$J$2:$J$1001,0),1)&gt;=100000,INDEX($Q$1005:$U$1005,1,MATCH(COLUMNS($Q$1006:R1006),$Q$1006:$U$1006,0))&gt;=100000), " ",IF(INDEX($Q$2:$U$1001,MATCH(ROWS($J$2:J439),$J$2:$J$1001,0),MATCH(COLUMNS($Q$1006:R1006),$Q$1006:$U$1006,0)), HYPERLINK("#",""), HYPERLINK(CONCATENATE("#Metadata!", ADDRESS(INDEX($L$2:$L$1001,MATCH(ROWS($J$2:J439),$J$2:$J$1001,0),0), INDEX($Q$1004:$U$1004,1,MATCH(COLUMNS($Q$1006:R1006),$Q$1006:$U$1006,0)))),"Fix")))</f>
        <v xml:space="preserve"> </v>
      </c>
      <c r="D439" s="3" t="str">
        <f ca="1">IF(OR(INDEX($K$2:$K$1001,MATCH(ROWS($J$2:J439),$J$2:$J$1001,0),1)&gt;=100000,INDEX($Q$1005:$U$1005,1,MATCH(COLUMNS($Q$1006:S1006),$Q$1006:$U$1006,0))&gt;=100000), " ",IF(INDEX($Q$2:$U$1001,MATCH(ROWS($J$2:J439),$J$2:$J$1001,0),MATCH(COLUMNS($Q$1006:S1006),$Q$1006:$U$1006,0)), HYPERLINK("#",""), HYPERLINK(CONCATENATE("#Metadata!", ADDRESS(INDEX($L$2:$L$1001,MATCH(ROWS($J$2:J439),$J$2:$J$1001,0),0), INDEX($Q$1004:$U$1004,1,MATCH(COLUMNS($Q$1006:S1006),$Q$1006:$U$1006,0)))),"Fix")))</f>
        <v xml:space="preserve"> </v>
      </c>
      <c r="E439" s="3" t="str">
        <f ca="1">IF(OR(INDEX($K$2:$K$1001,MATCH(ROWS($J$2:J439),$J$2:$J$1001,0),1)&gt;=100000,INDEX($Q$1005:$U$1005,1,MATCH(COLUMNS($Q$1006:T1006),$Q$1006:$U$1006,0))&gt;=100000), " ",IF(INDEX($Q$2:$U$1001,MATCH(ROWS($J$2:J439),$J$2:$J$1001,0),MATCH(COLUMNS($Q$1006:T1006),$Q$1006:$U$1006,0)), HYPERLINK("#",""), HYPERLINK(CONCATENATE("#Metadata!", ADDRESS(INDEX($L$2:$L$1001,MATCH(ROWS($J$2:J439),$J$2:$J$1001,0),0), INDEX($Q$1004:$U$1004,1,MATCH(COLUMNS($Q$1006:T1006),$Q$1006:$U$1006,0)))),"Fix")))</f>
        <v xml:space="preserve"> </v>
      </c>
      <c r="F439" s="3" t="str">
        <f ca="1">IF(OR(INDEX($K$2:$K$1001,MATCH(ROWS($J$2:J439),$J$2:$J$1001,0),1)&gt;=100000,INDEX($Q$1005:$U$1005,1,MATCH(COLUMNS($Q$1006:U1006),$Q$1006:$U$1006,0))&gt;=100000), " ",IF(INDEX($Q$2:$U$1001,MATCH(ROWS($J$2:J439),$J$2:$J$1001,0),MATCH(COLUMNS($Q$1006:U1006),$Q$1006:$U$1006,0)), HYPERLINK("#",""), HYPERLINK(CONCATENATE("#Metadata!", ADDRESS(INDEX($L$2:$L$1001,MATCH(ROWS($J$2:J439),$J$2:$J$1001,0),0), INDEX($Q$1004:$U$1004,1,MATCH(COLUMNS($Q$1006:U1006),$Q$1006:$U$1006,0)))),"Fix")))</f>
        <v xml:space="preserve"> </v>
      </c>
      <c r="J439">
        <f ca="1"/>
        <v>438</v>
      </c>
      <c r="K439">
        <v>100439</v>
      </c>
      <c r="L439">
        <v>439</v>
      </c>
      <c r="M439" t="b">
        <f t="shared" si="6"/>
        <v>1</v>
      </c>
      <c r="N439" t="b">
        <f>COUNTBLANK(Metadata!B439:F439)=COLUMNS(Metadata!B439:F439)</f>
        <v>1</v>
      </c>
      <c r="O439" t="str">
        <v/>
      </c>
      <c r="Q439" t="b">
        <f ca="1"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R439" t="b">
        <f>IF(Metadata!C439="",FALSE,TRUE)</f>
        <v>0</v>
      </c>
      <c r="S439" t="b">
        <f>OR(AND(IF(Metadata!D439="",FALSE,TRUE),EXACT(Metadata!D439,"missing: not collected")),AND(IF(Metadata!D439="",FALSE,TRUE),OR(EXACT(Metadata!D439,"t"),EXACT(Metadata!D439,"f"))))</f>
        <v>0</v>
      </c>
      <c r="T439" t="b">
        <f>AND(IF(Metadata!E439="",FALSE,TRUE),OR(EXACT(Metadata!E439,"a"),EXACT(Metadata!E439,"b")))</f>
        <v>0</v>
      </c>
      <c r="U439" t="b">
        <f>OR(AND(IF(Metadata!F439="",FALSE,TRUE),OR(EXACT(Metadata!F439,"missing: not collected"),EXACT(Metadata!F439,"missing: not provided"))),AND(IF(Metadata!F439="",FALSE,TRUE),OR(EXACT(Metadata!F439,"lo"),EXACT(Metadata!F439,"med"),EXACT(Metadata!F439,"hi"))))</f>
        <v>0</v>
      </c>
    </row>
    <row r="440" spans="1:21" x14ac:dyDescent="0.2">
      <c r="A440" s="4" t="str">
        <f ca="1">IF(B440=" "," ",HYPERLINK(CONCATENATE("#metadata!",ADDRESS(INDEX($L$2:$L$1001,MATCH(ROWS($J$2:J440),$J$2:$J$1001,0),0),1)),INDEX($O$2:$O$1001,MATCH(ROWS($J$2:J440),$J$2:$J$1001,0),0)))</f>
        <v xml:space="preserve"> </v>
      </c>
      <c r="B440" s="3" t="str">
        <f ca="1">IF(OR(INDEX($K$2:$K$1001,MATCH(ROWS($J$2:J440),$J$2:$J$1001,0),1)&gt;=100000,INDEX($Q$1005:$U$1005,1,MATCH(COLUMNS($Q$1006:Q1006),$Q$1006:$U$1006,0))&gt;=100000), " ",IF(INDEX($Q$2:$U$1001,MATCH(ROWS($J$2:J440),$J$2:$J$1001,0),MATCH(COLUMNS($Q$1006:Q1006),$Q$1006:$U$1006,0)), HYPERLINK("#",""), HYPERLINK(CONCATENATE("#Metadata!", ADDRESS(INDEX($L$2:$L$1001,MATCH(ROWS($J$2:J440),$J$2:$J$1001,0),0), INDEX($Q$1004:$U$1004,1,MATCH(COLUMNS($Q$1006:Q1006),$Q$1006:$U$1006,0)))),"Fix")))</f>
        <v xml:space="preserve"> </v>
      </c>
      <c r="C440" s="3" t="str">
        <f ca="1">IF(OR(INDEX($K$2:$K$1001,MATCH(ROWS($J$2:J440),$J$2:$J$1001,0),1)&gt;=100000,INDEX($Q$1005:$U$1005,1,MATCH(COLUMNS($Q$1006:R1006),$Q$1006:$U$1006,0))&gt;=100000), " ",IF(INDEX($Q$2:$U$1001,MATCH(ROWS($J$2:J440),$J$2:$J$1001,0),MATCH(COLUMNS($Q$1006:R1006),$Q$1006:$U$1006,0)), HYPERLINK("#",""), HYPERLINK(CONCATENATE("#Metadata!", ADDRESS(INDEX($L$2:$L$1001,MATCH(ROWS($J$2:J440),$J$2:$J$1001,0),0), INDEX($Q$1004:$U$1004,1,MATCH(COLUMNS($Q$1006:R1006),$Q$1006:$U$1006,0)))),"Fix")))</f>
        <v xml:space="preserve"> </v>
      </c>
      <c r="D440" s="3" t="str">
        <f ca="1">IF(OR(INDEX($K$2:$K$1001,MATCH(ROWS($J$2:J440),$J$2:$J$1001,0),1)&gt;=100000,INDEX($Q$1005:$U$1005,1,MATCH(COLUMNS($Q$1006:S1006),$Q$1006:$U$1006,0))&gt;=100000), " ",IF(INDEX($Q$2:$U$1001,MATCH(ROWS($J$2:J440),$J$2:$J$1001,0),MATCH(COLUMNS($Q$1006:S1006),$Q$1006:$U$1006,0)), HYPERLINK("#",""), HYPERLINK(CONCATENATE("#Metadata!", ADDRESS(INDEX($L$2:$L$1001,MATCH(ROWS($J$2:J440),$J$2:$J$1001,0),0), INDEX($Q$1004:$U$1004,1,MATCH(COLUMNS($Q$1006:S1006),$Q$1006:$U$1006,0)))),"Fix")))</f>
        <v xml:space="preserve"> </v>
      </c>
      <c r="E440" s="3" t="str">
        <f ca="1">IF(OR(INDEX($K$2:$K$1001,MATCH(ROWS($J$2:J440),$J$2:$J$1001,0),1)&gt;=100000,INDEX($Q$1005:$U$1005,1,MATCH(COLUMNS($Q$1006:T1006),$Q$1006:$U$1006,0))&gt;=100000), " ",IF(INDEX($Q$2:$U$1001,MATCH(ROWS($J$2:J440),$J$2:$J$1001,0),MATCH(COLUMNS($Q$1006:T1006),$Q$1006:$U$1006,0)), HYPERLINK("#",""), HYPERLINK(CONCATENATE("#Metadata!", ADDRESS(INDEX($L$2:$L$1001,MATCH(ROWS($J$2:J440),$J$2:$J$1001,0),0), INDEX($Q$1004:$U$1004,1,MATCH(COLUMNS($Q$1006:T1006),$Q$1006:$U$1006,0)))),"Fix")))</f>
        <v xml:space="preserve"> </v>
      </c>
      <c r="F440" s="3" t="str">
        <f ca="1">IF(OR(INDEX($K$2:$K$1001,MATCH(ROWS($J$2:J440),$J$2:$J$1001,0),1)&gt;=100000,INDEX($Q$1005:$U$1005,1,MATCH(COLUMNS($Q$1006:U1006),$Q$1006:$U$1006,0))&gt;=100000), " ",IF(INDEX($Q$2:$U$1001,MATCH(ROWS($J$2:J440),$J$2:$J$1001,0),MATCH(COLUMNS($Q$1006:U1006),$Q$1006:$U$1006,0)), HYPERLINK("#",""), HYPERLINK(CONCATENATE("#Metadata!", ADDRESS(INDEX($L$2:$L$1001,MATCH(ROWS($J$2:J440),$J$2:$J$1001,0),0), INDEX($Q$1004:$U$1004,1,MATCH(COLUMNS($Q$1006:U1006),$Q$1006:$U$1006,0)))),"Fix")))</f>
        <v xml:space="preserve"> </v>
      </c>
      <c r="J440">
        <f ca="1"/>
        <v>439</v>
      </c>
      <c r="K440">
        <v>100440</v>
      </c>
      <c r="L440">
        <v>440</v>
      </c>
      <c r="M440" t="b">
        <f t="shared" si="6"/>
        <v>1</v>
      </c>
      <c r="N440" t="b">
        <f>COUNTBLANK(Metadata!B440:F440)=COLUMNS(Metadata!B440:F440)</f>
        <v>1</v>
      </c>
      <c r="O440" t="str">
        <v/>
      </c>
      <c r="Q440" t="b">
        <f ca="1"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R440" t="b">
        <f>IF(Metadata!C440="",FALSE,TRUE)</f>
        <v>0</v>
      </c>
      <c r="S440" t="b">
        <f>OR(AND(IF(Metadata!D440="",FALSE,TRUE),EXACT(Metadata!D440,"missing: not collected")),AND(IF(Metadata!D440="",FALSE,TRUE),OR(EXACT(Metadata!D440,"t"),EXACT(Metadata!D440,"f"))))</f>
        <v>0</v>
      </c>
      <c r="T440" t="b">
        <f>AND(IF(Metadata!E440="",FALSE,TRUE),OR(EXACT(Metadata!E440,"a"),EXACT(Metadata!E440,"b")))</f>
        <v>0</v>
      </c>
      <c r="U440" t="b">
        <f>OR(AND(IF(Metadata!F440="",FALSE,TRUE),OR(EXACT(Metadata!F440,"missing: not collected"),EXACT(Metadata!F440,"missing: not provided"))),AND(IF(Metadata!F440="",FALSE,TRUE),OR(EXACT(Metadata!F440,"lo"),EXACT(Metadata!F440,"med"),EXACT(Metadata!F440,"hi"))))</f>
        <v>0</v>
      </c>
    </row>
    <row r="441" spans="1:21" x14ac:dyDescent="0.2">
      <c r="A441" s="4" t="str">
        <f ca="1">IF(B441=" "," ",HYPERLINK(CONCATENATE("#metadata!",ADDRESS(INDEX($L$2:$L$1001,MATCH(ROWS($J$2:J441),$J$2:$J$1001,0),0),1)),INDEX($O$2:$O$1001,MATCH(ROWS($J$2:J441),$J$2:$J$1001,0),0)))</f>
        <v xml:space="preserve"> </v>
      </c>
      <c r="B441" s="3" t="str">
        <f ca="1">IF(OR(INDEX($K$2:$K$1001,MATCH(ROWS($J$2:J441),$J$2:$J$1001,0),1)&gt;=100000,INDEX($Q$1005:$U$1005,1,MATCH(COLUMNS($Q$1006:Q1006),$Q$1006:$U$1006,0))&gt;=100000), " ",IF(INDEX($Q$2:$U$1001,MATCH(ROWS($J$2:J441),$J$2:$J$1001,0),MATCH(COLUMNS($Q$1006:Q1006),$Q$1006:$U$1006,0)), HYPERLINK("#",""), HYPERLINK(CONCATENATE("#Metadata!", ADDRESS(INDEX($L$2:$L$1001,MATCH(ROWS($J$2:J441),$J$2:$J$1001,0),0), INDEX($Q$1004:$U$1004,1,MATCH(COLUMNS($Q$1006:Q1006),$Q$1006:$U$1006,0)))),"Fix")))</f>
        <v xml:space="preserve"> </v>
      </c>
      <c r="C441" s="3" t="str">
        <f ca="1">IF(OR(INDEX($K$2:$K$1001,MATCH(ROWS($J$2:J441),$J$2:$J$1001,0),1)&gt;=100000,INDEX($Q$1005:$U$1005,1,MATCH(COLUMNS($Q$1006:R1006),$Q$1006:$U$1006,0))&gt;=100000), " ",IF(INDEX($Q$2:$U$1001,MATCH(ROWS($J$2:J441),$J$2:$J$1001,0),MATCH(COLUMNS($Q$1006:R1006),$Q$1006:$U$1006,0)), HYPERLINK("#",""), HYPERLINK(CONCATENATE("#Metadata!", ADDRESS(INDEX($L$2:$L$1001,MATCH(ROWS($J$2:J441),$J$2:$J$1001,0),0), INDEX($Q$1004:$U$1004,1,MATCH(COLUMNS($Q$1006:R1006),$Q$1006:$U$1006,0)))),"Fix")))</f>
        <v xml:space="preserve"> </v>
      </c>
      <c r="D441" s="3" t="str">
        <f ca="1">IF(OR(INDEX($K$2:$K$1001,MATCH(ROWS($J$2:J441),$J$2:$J$1001,0),1)&gt;=100000,INDEX($Q$1005:$U$1005,1,MATCH(COLUMNS($Q$1006:S1006),$Q$1006:$U$1006,0))&gt;=100000), " ",IF(INDEX($Q$2:$U$1001,MATCH(ROWS($J$2:J441),$J$2:$J$1001,0),MATCH(COLUMNS($Q$1006:S1006),$Q$1006:$U$1006,0)), HYPERLINK("#",""), HYPERLINK(CONCATENATE("#Metadata!", ADDRESS(INDEX($L$2:$L$1001,MATCH(ROWS($J$2:J441),$J$2:$J$1001,0),0), INDEX($Q$1004:$U$1004,1,MATCH(COLUMNS($Q$1006:S1006),$Q$1006:$U$1006,0)))),"Fix")))</f>
        <v xml:space="preserve"> </v>
      </c>
      <c r="E441" s="3" t="str">
        <f ca="1">IF(OR(INDEX($K$2:$K$1001,MATCH(ROWS($J$2:J441),$J$2:$J$1001,0),1)&gt;=100000,INDEX($Q$1005:$U$1005,1,MATCH(COLUMNS($Q$1006:T1006),$Q$1006:$U$1006,0))&gt;=100000), " ",IF(INDEX($Q$2:$U$1001,MATCH(ROWS($J$2:J441),$J$2:$J$1001,0),MATCH(COLUMNS($Q$1006:T1006),$Q$1006:$U$1006,0)), HYPERLINK("#",""), HYPERLINK(CONCATENATE("#Metadata!", ADDRESS(INDEX($L$2:$L$1001,MATCH(ROWS($J$2:J441),$J$2:$J$1001,0),0), INDEX($Q$1004:$U$1004,1,MATCH(COLUMNS($Q$1006:T1006),$Q$1006:$U$1006,0)))),"Fix")))</f>
        <v xml:space="preserve"> </v>
      </c>
      <c r="F441" s="3" t="str">
        <f ca="1">IF(OR(INDEX($K$2:$K$1001,MATCH(ROWS($J$2:J441),$J$2:$J$1001,0),1)&gt;=100000,INDEX($Q$1005:$U$1005,1,MATCH(COLUMNS($Q$1006:U1006),$Q$1006:$U$1006,0))&gt;=100000), " ",IF(INDEX($Q$2:$U$1001,MATCH(ROWS($J$2:J441),$J$2:$J$1001,0),MATCH(COLUMNS($Q$1006:U1006),$Q$1006:$U$1006,0)), HYPERLINK("#",""), HYPERLINK(CONCATENATE("#Metadata!", ADDRESS(INDEX($L$2:$L$1001,MATCH(ROWS($J$2:J441),$J$2:$J$1001,0),0), INDEX($Q$1004:$U$1004,1,MATCH(COLUMNS($Q$1006:U1006),$Q$1006:$U$1006,0)))),"Fix")))</f>
        <v xml:space="preserve"> </v>
      </c>
      <c r="J441">
        <f ca="1"/>
        <v>440</v>
      </c>
      <c r="K441">
        <v>100441</v>
      </c>
      <c r="L441">
        <v>441</v>
      </c>
      <c r="M441" t="b">
        <f t="shared" si="6"/>
        <v>1</v>
      </c>
      <c r="N441" t="b">
        <f>COUNTBLANK(Metadata!B441:F441)=COLUMNS(Metadata!B441:F441)</f>
        <v>1</v>
      </c>
      <c r="O441" t="str">
        <v/>
      </c>
      <c r="Q441" t="b">
        <f ca="1"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R441" t="b">
        <f>IF(Metadata!C441="",FALSE,TRUE)</f>
        <v>0</v>
      </c>
      <c r="S441" t="b">
        <f>OR(AND(IF(Metadata!D441="",FALSE,TRUE),EXACT(Metadata!D441,"missing: not collected")),AND(IF(Metadata!D441="",FALSE,TRUE),OR(EXACT(Metadata!D441,"t"),EXACT(Metadata!D441,"f"))))</f>
        <v>0</v>
      </c>
      <c r="T441" t="b">
        <f>AND(IF(Metadata!E441="",FALSE,TRUE),OR(EXACT(Metadata!E441,"a"),EXACT(Metadata!E441,"b")))</f>
        <v>0</v>
      </c>
      <c r="U441" t="b">
        <f>OR(AND(IF(Metadata!F441="",FALSE,TRUE),OR(EXACT(Metadata!F441,"missing: not collected"),EXACT(Metadata!F441,"missing: not provided"))),AND(IF(Metadata!F441="",FALSE,TRUE),OR(EXACT(Metadata!F441,"lo"),EXACT(Metadata!F441,"med"),EXACT(Metadata!F441,"hi"))))</f>
        <v>0</v>
      </c>
    </row>
    <row r="442" spans="1:21" x14ac:dyDescent="0.2">
      <c r="A442" s="4" t="str">
        <f ca="1">IF(B442=" "," ",HYPERLINK(CONCATENATE("#metadata!",ADDRESS(INDEX($L$2:$L$1001,MATCH(ROWS($J$2:J442),$J$2:$J$1001,0),0),1)),INDEX($O$2:$O$1001,MATCH(ROWS($J$2:J442),$J$2:$J$1001,0),0)))</f>
        <v xml:space="preserve"> </v>
      </c>
      <c r="B442" s="3" t="str">
        <f ca="1">IF(OR(INDEX($K$2:$K$1001,MATCH(ROWS($J$2:J442),$J$2:$J$1001,0),1)&gt;=100000,INDEX($Q$1005:$U$1005,1,MATCH(COLUMNS($Q$1006:Q1006),$Q$1006:$U$1006,0))&gt;=100000), " ",IF(INDEX($Q$2:$U$1001,MATCH(ROWS($J$2:J442),$J$2:$J$1001,0),MATCH(COLUMNS($Q$1006:Q1006),$Q$1006:$U$1006,0)), HYPERLINK("#",""), HYPERLINK(CONCATENATE("#Metadata!", ADDRESS(INDEX($L$2:$L$1001,MATCH(ROWS($J$2:J442),$J$2:$J$1001,0),0), INDEX($Q$1004:$U$1004,1,MATCH(COLUMNS($Q$1006:Q1006),$Q$1006:$U$1006,0)))),"Fix")))</f>
        <v xml:space="preserve"> </v>
      </c>
      <c r="C442" s="3" t="str">
        <f ca="1">IF(OR(INDEX($K$2:$K$1001,MATCH(ROWS($J$2:J442),$J$2:$J$1001,0),1)&gt;=100000,INDEX($Q$1005:$U$1005,1,MATCH(COLUMNS($Q$1006:R1006),$Q$1006:$U$1006,0))&gt;=100000), " ",IF(INDEX($Q$2:$U$1001,MATCH(ROWS($J$2:J442),$J$2:$J$1001,0),MATCH(COLUMNS($Q$1006:R1006),$Q$1006:$U$1006,0)), HYPERLINK("#",""), HYPERLINK(CONCATENATE("#Metadata!", ADDRESS(INDEX($L$2:$L$1001,MATCH(ROWS($J$2:J442),$J$2:$J$1001,0),0), INDEX($Q$1004:$U$1004,1,MATCH(COLUMNS($Q$1006:R1006),$Q$1006:$U$1006,0)))),"Fix")))</f>
        <v xml:space="preserve"> </v>
      </c>
      <c r="D442" s="3" t="str">
        <f ca="1">IF(OR(INDEX($K$2:$K$1001,MATCH(ROWS($J$2:J442),$J$2:$J$1001,0),1)&gt;=100000,INDEX($Q$1005:$U$1005,1,MATCH(COLUMNS($Q$1006:S1006),$Q$1006:$U$1006,0))&gt;=100000), " ",IF(INDEX($Q$2:$U$1001,MATCH(ROWS($J$2:J442),$J$2:$J$1001,0),MATCH(COLUMNS($Q$1006:S1006),$Q$1006:$U$1006,0)), HYPERLINK("#",""), HYPERLINK(CONCATENATE("#Metadata!", ADDRESS(INDEX($L$2:$L$1001,MATCH(ROWS($J$2:J442),$J$2:$J$1001,0),0), INDEX($Q$1004:$U$1004,1,MATCH(COLUMNS($Q$1006:S1006),$Q$1006:$U$1006,0)))),"Fix")))</f>
        <v xml:space="preserve"> </v>
      </c>
      <c r="E442" s="3" t="str">
        <f ca="1">IF(OR(INDEX($K$2:$K$1001,MATCH(ROWS($J$2:J442),$J$2:$J$1001,0),1)&gt;=100000,INDEX($Q$1005:$U$1005,1,MATCH(COLUMNS($Q$1006:T1006),$Q$1006:$U$1006,0))&gt;=100000), " ",IF(INDEX($Q$2:$U$1001,MATCH(ROWS($J$2:J442),$J$2:$J$1001,0),MATCH(COLUMNS($Q$1006:T1006),$Q$1006:$U$1006,0)), HYPERLINK("#",""), HYPERLINK(CONCATENATE("#Metadata!", ADDRESS(INDEX($L$2:$L$1001,MATCH(ROWS($J$2:J442),$J$2:$J$1001,0),0), INDEX($Q$1004:$U$1004,1,MATCH(COLUMNS($Q$1006:T1006),$Q$1006:$U$1006,0)))),"Fix")))</f>
        <v xml:space="preserve"> </v>
      </c>
      <c r="F442" s="3" t="str">
        <f ca="1">IF(OR(INDEX($K$2:$K$1001,MATCH(ROWS($J$2:J442),$J$2:$J$1001,0),1)&gt;=100000,INDEX($Q$1005:$U$1005,1,MATCH(COLUMNS($Q$1006:U1006),$Q$1006:$U$1006,0))&gt;=100000), " ",IF(INDEX($Q$2:$U$1001,MATCH(ROWS($J$2:J442),$J$2:$J$1001,0),MATCH(COLUMNS($Q$1006:U1006),$Q$1006:$U$1006,0)), HYPERLINK("#",""), HYPERLINK(CONCATENATE("#Metadata!", ADDRESS(INDEX($L$2:$L$1001,MATCH(ROWS($J$2:J442),$J$2:$J$1001,0),0), INDEX($Q$1004:$U$1004,1,MATCH(COLUMNS($Q$1006:U1006),$Q$1006:$U$1006,0)))),"Fix")))</f>
        <v xml:space="preserve"> </v>
      </c>
      <c r="J442">
        <f ca="1"/>
        <v>441</v>
      </c>
      <c r="K442">
        <v>100442</v>
      </c>
      <c r="L442">
        <v>442</v>
      </c>
      <c r="M442" t="b">
        <f t="shared" si="6"/>
        <v>1</v>
      </c>
      <c r="N442" t="b">
        <f>COUNTBLANK(Metadata!B442:F442)=COLUMNS(Metadata!B442:F442)</f>
        <v>1</v>
      </c>
      <c r="O442" t="str">
        <v/>
      </c>
      <c r="Q442" t="b">
        <f ca="1"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R442" t="b">
        <f>IF(Metadata!C442="",FALSE,TRUE)</f>
        <v>0</v>
      </c>
      <c r="S442" t="b">
        <f>OR(AND(IF(Metadata!D442="",FALSE,TRUE),EXACT(Metadata!D442,"missing: not collected")),AND(IF(Metadata!D442="",FALSE,TRUE),OR(EXACT(Metadata!D442,"t"),EXACT(Metadata!D442,"f"))))</f>
        <v>0</v>
      </c>
      <c r="T442" t="b">
        <f>AND(IF(Metadata!E442="",FALSE,TRUE),OR(EXACT(Metadata!E442,"a"),EXACT(Metadata!E442,"b")))</f>
        <v>0</v>
      </c>
      <c r="U442" t="b">
        <f>OR(AND(IF(Metadata!F442="",FALSE,TRUE),OR(EXACT(Metadata!F442,"missing: not collected"),EXACT(Metadata!F442,"missing: not provided"))),AND(IF(Metadata!F442="",FALSE,TRUE),OR(EXACT(Metadata!F442,"lo"),EXACT(Metadata!F442,"med"),EXACT(Metadata!F442,"hi"))))</f>
        <v>0</v>
      </c>
    </row>
    <row r="443" spans="1:21" x14ac:dyDescent="0.2">
      <c r="A443" s="4" t="str">
        <f ca="1">IF(B443=" "," ",HYPERLINK(CONCATENATE("#metadata!",ADDRESS(INDEX($L$2:$L$1001,MATCH(ROWS($J$2:J443),$J$2:$J$1001,0),0),1)),INDEX($O$2:$O$1001,MATCH(ROWS($J$2:J443),$J$2:$J$1001,0),0)))</f>
        <v xml:space="preserve"> </v>
      </c>
      <c r="B443" s="3" t="str">
        <f ca="1">IF(OR(INDEX($K$2:$K$1001,MATCH(ROWS($J$2:J443),$J$2:$J$1001,0),1)&gt;=100000,INDEX($Q$1005:$U$1005,1,MATCH(COLUMNS($Q$1006:Q1006),$Q$1006:$U$1006,0))&gt;=100000), " ",IF(INDEX($Q$2:$U$1001,MATCH(ROWS($J$2:J443),$J$2:$J$1001,0),MATCH(COLUMNS($Q$1006:Q1006),$Q$1006:$U$1006,0)), HYPERLINK("#",""), HYPERLINK(CONCATENATE("#Metadata!", ADDRESS(INDEX($L$2:$L$1001,MATCH(ROWS($J$2:J443),$J$2:$J$1001,0),0), INDEX($Q$1004:$U$1004,1,MATCH(COLUMNS($Q$1006:Q1006),$Q$1006:$U$1006,0)))),"Fix")))</f>
        <v xml:space="preserve"> </v>
      </c>
      <c r="C443" s="3" t="str">
        <f ca="1">IF(OR(INDEX($K$2:$K$1001,MATCH(ROWS($J$2:J443),$J$2:$J$1001,0),1)&gt;=100000,INDEX($Q$1005:$U$1005,1,MATCH(COLUMNS($Q$1006:R1006),$Q$1006:$U$1006,0))&gt;=100000), " ",IF(INDEX($Q$2:$U$1001,MATCH(ROWS($J$2:J443),$J$2:$J$1001,0),MATCH(COLUMNS($Q$1006:R1006),$Q$1006:$U$1006,0)), HYPERLINK("#",""), HYPERLINK(CONCATENATE("#Metadata!", ADDRESS(INDEX($L$2:$L$1001,MATCH(ROWS($J$2:J443),$J$2:$J$1001,0),0), INDEX($Q$1004:$U$1004,1,MATCH(COLUMNS($Q$1006:R1006),$Q$1006:$U$1006,0)))),"Fix")))</f>
        <v xml:space="preserve"> </v>
      </c>
      <c r="D443" s="3" t="str">
        <f ca="1">IF(OR(INDEX($K$2:$K$1001,MATCH(ROWS($J$2:J443),$J$2:$J$1001,0),1)&gt;=100000,INDEX($Q$1005:$U$1005,1,MATCH(COLUMNS($Q$1006:S1006),$Q$1006:$U$1006,0))&gt;=100000), " ",IF(INDEX($Q$2:$U$1001,MATCH(ROWS($J$2:J443),$J$2:$J$1001,0),MATCH(COLUMNS($Q$1006:S1006),$Q$1006:$U$1006,0)), HYPERLINK("#",""), HYPERLINK(CONCATENATE("#Metadata!", ADDRESS(INDEX($L$2:$L$1001,MATCH(ROWS($J$2:J443),$J$2:$J$1001,0),0), INDEX($Q$1004:$U$1004,1,MATCH(COLUMNS($Q$1006:S1006),$Q$1006:$U$1006,0)))),"Fix")))</f>
        <v xml:space="preserve"> </v>
      </c>
      <c r="E443" s="3" t="str">
        <f ca="1">IF(OR(INDEX($K$2:$K$1001,MATCH(ROWS($J$2:J443),$J$2:$J$1001,0),1)&gt;=100000,INDEX($Q$1005:$U$1005,1,MATCH(COLUMNS($Q$1006:T1006),$Q$1006:$U$1006,0))&gt;=100000), " ",IF(INDEX($Q$2:$U$1001,MATCH(ROWS($J$2:J443),$J$2:$J$1001,0),MATCH(COLUMNS($Q$1006:T1006),$Q$1006:$U$1006,0)), HYPERLINK("#",""), HYPERLINK(CONCATENATE("#Metadata!", ADDRESS(INDEX($L$2:$L$1001,MATCH(ROWS($J$2:J443),$J$2:$J$1001,0),0), INDEX($Q$1004:$U$1004,1,MATCH(COLUMNS($Q$1006:T1006),$Q$1006:$U$1006,0)))),"Fix")))</f>
        <v xml:space="preserve"> </v>
      </c>
      <c r="F443" s="3" t="str">
        <f ca="1">IF(OR(INDEX($K$2:$K$1001,MATCH(ROWS($J$2:J443),$J$2:$J$1001,0),1)&gt;=100000,INDEX($Q$1005:$U$1005,1,MATCH(COLUMNS($Q$1006:U1006),$Q$1006:$U$1006,0))&gt;=100000), " ",IF(INDEX($Q$2:$U$1001,MATCH(ROWS($J$2:J443),$J$2:$J$1001,0),MATCH(COLUMNS($Q$1006:U1006),$Q$1006:$U$1006,0)), HYPERLINK("#",""), HYPERLINK(CONCATENATE("#Metadata!", ADDRESS(INDEX($L$2:$L$1001,MATCH(ROWS($J$2:J443),$J$2:$J$1001,0),0), INDEX($Q$1004:$U$1004,1,MATCH(COLUMNS($Q$1006:U1006),$Q$1006:$U$1006,0)))),"Fix")))</f>
        <v xml:space="preserve"> </v>
      </c>
      <c r="J443">
        <f ca="1"/>
        <v>442</v>
      </c>
      <c r="K443">
        <v>100443</v>
      </c>
      <c r="L443">
        <v>443</v>
      </c>
      <c r="M443" t="b">
        <f t="shared" si="6"/>
        <v>1</v>
      </c>
      <c r="N443" t="b">
        <f>COUNTBLANK(Metadata!B443:F443)=COLUMNS(Metadata!B443:F443)</f>
        <v>1</v>
      </c>
      <c r="O443" t="str">
        <v/>
      </c>
      <c r="Q443" t="b">
        <f ca="1"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R443" t="b">
        <f>IF(Metadata!C443="",FALSE,TRUE)</f>
        <v>0</v>
      </c>
      <c r="S443" t="b">
        <f>OR(AND(IF(Metadata!D443="",FALSE,TRUE),EXACT(Metadata!D443,"missing: not collected")),AND(IF(Metadata!D443="",FALSE,TRUE),OR(EXACT(Metadata!D443,"t"),EXACT(Metadata!D443,"f"))))</f>
        <v>0</v>
      </c>
      <c r="T443" t="b">
        <f>AND(IF(Metadata!E443="",FALSE,TRUE),OR(EXACT(Metadata!E443,"a"),EXACT(Metadata!E443,"b")))</f>
        <v>0</v>
      </c>
      <c r="U443" t="b">
        <f>OR(AND(IF(Metadata!F443="",FALSE,TRUE),OR(EXACT(Metadata!F443,"missing: not collected"),EXACT(Metadata!F443,"missing: not provided"))),AND(IF(Metadata!F443="",FALSE,TRUE),OR(EXACT(Metadata!F443,"lo"),EXACT(Metadata!F443,"med"),EXACT(Metadata!F443,"hi"))))</f>
        <v>0</v>
      </c>
    </row>
    <row r="444" spans="1:21" x14ac:dyDescent="0.2">
      <c r="A444" s="4" t="str">
        <f ca="1">IF(B444=" "," ",HYPERLINK(CONCATENATE("#metadata!",ADDRESS(INDEX($L$2:$L$1001,MATCH(ROWS($J$2:J444),$J$2:$J$1001,0),0),1)),INDEX($O$2:$O$1001,MATCH(ROWS($J$2:J444),$J$2:$J$1001,0),0)))</f>
        <v xml:space="preserve"> </v>
      </c>
      <c r="B444" s="3" t="str">
        <f ca="1">IF(OR(INDEX($K$2:$K$1001,MATCH(ROWS($J$2:J444),$J$2:$J$1001,0),1)&gt;=100000,INDEX($Q$1005:$U$1005,1,MATCH(COLUMNS($Q$1006:Q1006),$Q$1006:$U$1006,0))&gt;=100000), " ",IF(INDEX($Q$2:$U$1001,MATCH(ROWS($J$2:J444),$J$2:$J$1001,0),MATCH(COLUMNS($Q$1006:Q1006),$Q$1006:$U$1006,0)), HYPERLINK("#",""), HYPERLINK(CONCATENATE("#Metadata!", ADDRESS(INDEX($L$2:$L$1001,MATCH(ROWS($J$2:J444),$J$2:$J$1001,0),0), INDEX($Q$1004:$U$1004,1,MATCH(COLUMNS($Q$1006:Q1006),$Q$1006:$U$1006,0)))),"Fix")))</f>
        <v xml:space="preserve"> </v>
      </c>
      <c r="C444" s="3" t="str">
        <f ca="1">IF(OR(INDEX($K$2:$K$1001,MATCH(ROWS($J$2:J444),$J$2:$J$1001,0),1)&gt;=100000,INDEX($Q$1005:$U$1005,1,MATCH(COLUMNS($Q$1006:R1006),$Q$1006:$U$1006,0))&gt;=100000), " ",IF(INDEX($Q$2:$U$1001,MATCH(ROWS($J$2:J444),$J$2:$J$1001,0),MATCH(COLUMNS($Q$1006:R1006),$Q$1006:$U$1006,0)), HYPERLINK("#",""), HYPERLINK(CONCATENATE("#Metadata!", ADDRESS(INDEX($L$2:$L$1001,MATCH(ROWS($J$2:J444),$J$2:$J$1001,0),0), INDEX($Q$1004:$U$1004,1,MATCH(COLUMNS($Q$1006:R1006),$Q$1006:$U$1006,0)))),"Fix")))</f>
        <v xml:space="preserve"> </v>
      </c>
      <c r="D444" s="3" t="str">
        <f ca="1">IF(OR(INDEX($K$2:$K$1001,MATCH(ROWS($J$2:J444),$J$2:$J$1001,0),1)&gt;=100000,INDEX($Q$1005:$U$1005,1,MATCH(COLUMNS($Q$1006:S1006),$Q$1006:$U$1006,0))&gt;=100000), " ",IF(INDEX($Q$2:$U$1001,MATCH(ROWS($J$2:J444),$J$2:$J$1001,0),MATCH(COLUMNS($Q$1006:S1006),$Q$1006:$U$1006,0)), HYPERLINK("#",""), HYPERLINK(CONCATENATE("#Metadata!", ADDRESS(INDEX($L$2:$L$1001,MATCH(ROWS($J$2:J444),$J$2:$J$1001,0),0), INDEX($Q$1004:$U$1004,1,MATCH(COLUMNS($Q$1006:S1006),$Q$1006:$U$1006,0)))),"Fix")))</f>
        <v xml:space="preserve"> </v>
      </c>
      <c r="E444" s="3" t="str">
        <f ca="1">IF(OR(INDEX($K$2:$K$1001,MATCH(ROWS($J$2:J444),$J$2:$J$1001,0),1)&gt;=100000,INDEX($Q$1005:$U$1005,1,MATCH(COLUMNS($Q$1006:T1006),$Q$1006:$U$1006,0))&gt;=100000), " ",IF(INDEX($Q$2:$U$1001,MATCH(ROWS($J$2:J444),$J$2:$J$1001,0),MATCH(COLUMNS($Q$1006:T1006),$Q$1006:$U$1006,0)), HYPERLINK("#",""), HYPERLINK(CONCATENATE("#Metadata!", ADDRESS(INDEX($L$2:$L$1001,MATCH(ROWS($J$2:J444),$J$2:$J$1001,0),0), INDEX($Q$1004:$U$1004,1,MATCH(COLUMNS($Q$1006:T1006),$Q$1006:$U$1006,0)))),"Fix")))</f>
        <v xml:space="preserve"> </v>
      </c>
      <c r="F444" s="3" t="str">
        <f ca="1">IF(OR(INDEX($K$2:$K$1001,MATCH(ROWS($J$2:J444),$J$2:$J$1001,0),1)&gt;=100000,INDEX($Q$1005:$U$1005,1,MATCH(COLUMNS($Q$1006:U1006),$Q$1006:$U$1006,0))&gt;=100000), " ",IF(INDEX($Q$2:$U$1001,MATCH(ROWS($J$2:J444),$J$2:$J$1001,0),MATCH(COLUMNS($Q$1006:U1006),$Q$1006:$U$1006,0)), HYPERLINK("#",""), HYPERLINK(CONCATENATE("#Metadata!", ADDRESS(INDEX($L$2:$L$1001,MATCH(ROWS($J$2:J444),$J$2:$J$1001,0),0), INDEX($Q$1004:$U$1004,1,MATCH(COLUMNS($Q$1006:U1006),$Q$1006:$U$1006,0)))),"Fix")))</f>
        <v xml:space="preserve"> </v>
      </c>
      <c r="J444">
        <f ca="1"/>
        <v>443</v>
      </c>
      <c r="K444">
        <v>100444</v>
      </c>
      <c r="L444">
        <v>444</v>
      </c>
      <c r="M444" t="b">
        <f t="shared" si="6"/>
        <v>1</v>
      </c>
      <c r="N444" t="b">
        <f>COUNTBLANK(Metadata!B444:F444)=COLUMNS(Metadata!B444:F444)</f>
        <v>1</v>
      </c>
      <c r="O444" t="str">
        <v/>
      </c>
      <c r="Q444" t="b">
        <f ca="1"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R444" t="b">
        <f>IF(Metadata!C444="",FALSE,TRUE)</f>
        <v>0</v>
      </c>
      <c r="S444" t="b">
        <f>OR(AND(IF(Metadata!D444="",FALSE,TRUE),EXACT(Metadata!D444,"missing: not collected")),AND(IF(Metadata!D444="",FALSE,TRUE),OR(EXACT(Metadata!D444,"t"),EXACT(Metadata!D444,"f"))))</f>
        <v>0</v>
      </c>
      <c r="T444" t="b">
        <f>AND(IF(Metadata!E444="",FALSE,TRUE),OR(EXACT(Metadata!E444,"a"),EXACT(Metadata!E444,"b")))</f>
        <v>0</v>
      </c>
      <c r="U444" t="b">
        <f>OR(AND(IF(Metadata!F444="",FALSE,TRUE),OR(EXACT(Metadata!F444,"missing: not collected"),EXACT(Metadata!F444,"missing: not provided"))),AND(IF(Metadata!F444="",FALSE,TRUE),OR(EXACT(Metadata!F444,"lo"),EXACT(Metadata!F444,"med"),EXACT(Metadata!F444,"hi"))))</f>
        <v>0</v>
      </c>
    </row>
    <row r="445" spans="1:21" x14ac:dyDescent="0.2">
      <c r="A445" s="4" t="str">
        <f ca="1">IF(B445=" "," ",HYPERLINK(CONCATENATE("#metadata!",ADDRESS(INDEX($L$2:$L$1001,MATCH(ROWS($J$2:J445),$J$2:$J$1001,0),0),1)),INDEX($O$2:$O$1001,MATCH(ROWS($J$2:J445),$J$2:$J$1001,0),0)))</f>
        <v xml:space="preserve"> </v>
      </c>
      <c r="B445" s="3" t="str">
        <f ca="1">IF(OR(INDEX($K$2:$K$1001,MATCH(ROWS($J$2:J445),$J$2:$J$1001,0),1)&gt;=100000,INDEX($Q$1005:$U$1005,1,MATCH(COLUMNS($Q$1006:Q1006),$Q$1006:$U$1006,0))&gt;=100000), " ",IF(INDEX($Q$2:$U$1001,MATCH(ROWS($J$2:J445),$J$2:$J$1001,0),MATCH(COLUMNS($Q$1006:Q1006),$Q$1006:$U$1006,0)), HYPERLINK("#",""), HYPERLINK(CONCATENATE("#Metadata!", ADDRESS(INDEX($L$2:$L$1001,MATCH(ROWS($J$2:J445),$J$2:$J$1001,0),0), INDEX($Q$1004:$U$1004,1,MATCH(COLUMNS($Q$1006:Q1006),$Q$1006:$U$1006,0)))),"Fix")))</f>
        <v xml:space="preserve"> </v>
      </c>
      <c r="C445" s="3" t="str">
        <f ca="1">IF(OR(INDEX($K$2:$K$1001,MATCH(ROWS($J$2:J445),$J$2:$J$1001,0),1)&gt;=100000,INDEX($Q$1005:$U$1005,1,MATCH(COLUMNS($Q$1006:R1006),$Q$1006:$U$1006,0))&gt;=100000), " ",IF(INDEX($Q$2:$U$1001,MATCH(ROWS($J$2:J445),$J$2:$J$1001,0),MATCH(COLUMNS($Q$1006:R1006),$Q$1006:$U$1006,0)), HYPERLINK("#",""), HYPERLINK(CONCATENATE("#Metadata!", ADDRESS(INDEX($L$2:$L$1001,MATCH(ROWS($J$2:J445),$J$2:$J$1001,0),0), INDEX($Q$1004:$U$1004,1,MATCH(COLUMNS($Q$1006:R1006),$Q$1006:$U$1006,0)))),"Fix")))</f>
        <v xml:space="preserve"> </v>
      </c>
      <c r="D445" s="3" t="str">
        <f ca="1">IF(OR(INDEX($K$2:$K$1001,MATCH(ROWS($J$2:J445),$J$2:$J$1001,0),1)&gt;=100000,INDEX($Q$1005:$U$1005,1,MATCH(COLUMNS($Q$1006:S1006),$Q$1006:$U$1006,0))&gt;=100000), " ",IF(INDEX($Q$2:$U$1001,MATCH(ROWS($J$2:J445),$J$2:$J$1001,0),MATCH(COLUMNS($Q$1006:S1006),$Q$1006:$U$1006,0)), HYPERLINK("#",""), HYPERLINK(CONCATENATE("#Metadata!", ADDRESS(INDEX($L$2:$L$1001,MATCH(ROWS($J$2:J445),$J$2:$J$1001,0),0), INDEX($Q$1004:$U$1004,1,MATCH(COLUMNS($Q$1006:S1006),$Q$1006:$U$1006,0)))),"Fix")))</f>
        <v xml:space="preserve"> </v>
      </c>
      <c r="E445" s="3" t="str">
        <f ca="1">IF(OR(INDEX($K$2:$K$1001,MATCH(ROWS($J$2:J445),$J$2:$J$1001,0),1)&gt;=100000,INDEX($Q$1005:$U$1005,1,MATCH(COLUMNS($Q$1006:T1006),$Q$1006:$U$1006,0))&gt;=100000), " ",IF(INDEX($Q$2:$U$1001,MATCH(ROWS($J$2:J445),$J$2:$J$1001,0),MATCH(COLUMNS($Q$1006:T1006),$Q$1006:$U$1006,0)), HYPERLINK("#",""), HYPERLINK(CONCATENATE("#Metadata!", ADDRESS(INDEX($L$2:$L$1001,MATCH(ROWS($J$2:J445),$J$2:$J$1001,0),0), INDEX($Q$1004:$U$1004,1,MATCH(COLUMNS($Q$1006:T1006),$Q$1006:$U$1006,0)))),"Fix")))</f>
        <v xml:space="preserve"> </v>
      </c>
      <c r="F445" s="3" t="str">
        <f ca="1">IF(OR(INDEX($K$2:$K$1001,MATCH(ROWS($J$2:J445),$J$2:$J$1001,0),1)&gt;=100000,INDEX($Q$1005:$U$1005,1,MATCH(COLUMNS($Q$1006:U1006),$Q$1006:$U$1006,0))&gt;=100000), " ",IF(INDEX($Q$2:$U$1001,MATCH(ROWS($J$2:J445),$J$2:$J$1001,0),MATCH(COLUMNS($Q$1006:U1006),$Q$1006:$U$1006,0)), HYPERLINK("#",""), HYPERLINK(CONCATENATE("#Metadata!", ADDRESS(INDEX($L$2:$L$1001,MATCH(ROWS($J$2:J445),$J$2:$J$1001,0),0), INDEX($Q$1004:$U$1004,1,MATCH(COLUMNS($Q$1006:U1006),$Q$1006:$U$1006,0)))),"Fix")))</f>
        <v xml:space="preserve"> </v>
      </c>
      <c r="J445">
        <f ca="1"/>
        <v>444</v>
      </c>
      <c r="K445">
        <v>100445</v>
      </c>
      <c r="L445">
        <v>445</v>
      </c>
      <c r="M445" t="b">
        <f t="shared" si="6"/>
        <v>1</v>
      </c>
      <c r="N445" t="b">
        <f>COUNTBLANK(Metadata!B445:F445)=COLUMNS(Metadata!B445:F445)</f>
        <v>1</v>
      </c>
      <c r="O445" t="str">
        <v/>
      </c>
      <c r="Q445" t="b">
        <f ca="1"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R445" t="b">
        <f>IF(Metadata!C445="",FALSE,TRUE)</f>
        <v>0</v>
      </c>
      <c r="S445" t="b">
        <f>OR(AND(IF(Metadata!D445="",FALSE,TRUE),EXACT(Metadata!D445,"missing: not collected")),AND(IF(Metadata!D445="",FALSE,TRUE),OR(EXACT(Metadata!D445,"t"),EXACT(Metadata!D445,"f"))))</f>
        <v>0</v>
      </c>
      <c r="T445" t="b">
        <f>AND(IF(Metadata!E445="",FALSE,TRUE),OR(EXACT(Metadata!E445,"a"),EXACT(Metadata!E445,"b")))</f>
        <v>0</v>
      </c>
      <c r="U445" t="b">
        <f>OR(AND(IF(Metadata!F445="",FALSE,TRUE),OR(EXACT(Metadata!F445,"missing: not collected"),EXACT(Metadata!F445,"missing: not provided"))),AND(IF(Metadata!F445="",FALSE,TRUE),OR(EXACT(Metadata!F445,"lo"),EXACT(Metadata!F445,"med"),EXACT(Metadata!F445,"hi"))))</f>
        <v>0</v>
      </c>
    </row>
    <row r="446" spans="1:21" x14ac:dyDescent="0.2">
      <c r="A446" s="4" t="str">
        <f ca="1">IF(B446=" "," ",HYPERLINK(CONCATENATE("#metadata!",ADDRESS(INDEX($L$2:$L$1001,MATCH(ROWS($J$2:J446),$J$2:$J$1001,0),0),1)),INDEX($O$2:$O$1001,MATCH(ROWS($J$2:J446),$J$2:$J$1001,0),0)))</f>
        <v xml:space="preserve"> </v>
      </c>
      <c r="B446" s="3" t="str">
        <f ca="1">IF(OR(INDEX($K$2:$K$1001,MATCH(ROWS($J$2:J446),$J$2:$J$1001,0),1)&gt;=100000,INDEX($Q$1005:$U$1005,1,MATCH(COLUMNS($Q$1006:Q1006),$Q$1006:$U$1006,0))&gt;=100000), " ",IF(INDEX($Q$2:$U$1001,MATCH(ROWS($J$2:J446),$J$2:$J$1001,0),MATCH(COLUMNS($Q$1006:Q1006),$Q$1006:$U$1006,0)), HYPERLINK("#",""), HYPERLINK(CONCATENATE("#Metadata!", ADDRESS(INDEX($L$2:$L$1001,MATCH(ROWS($J$2:J446),$J$2:$J$1001,0),0), INDEX($Q$1004:$U$1004,1,MATCH(COLUMNS($Q$1006:Q1006),$Q$1006:$U$1006,0)))),"Fix")))</f>
        <v xml:space="preserve"> </v>
      </c>
      <c r="C446" s="3" t="str">
        <f ca="1">IF(OR(INDEX($K$2:$K$1001,MATCH(ROWS($J$2:J446),$J$2:$J$1001,0),1)&gt;=100000,INDEX($Q$1005:$U$1005,1,MATCH(COLUMNS($Q$1006:R1006),$Q$1006:$U$1006,0))&gt;=100000), " ",IF(INDEX($Q$2:$U$1001,MATCH(ROWS($J$2:J446),$J$2:$J$1001,0),MATCH(COLUMNS($Q$1006:R1006),$Q$1006:$U$1006,0)), HYPERLINK("#",""), HYPERLINK(CONCATENATE("#Metadata!", ADDRESS(INDEX($L$2:$L$1001,MATCH(ROWS($J$2:J446),$J$2:$J$1001,0),0), INDEX($Q$1004:$U$1004,1,MATCH(COLUMNS($Q$1006:R1006),$Q$1006:$U$1006,0)))),"Fix")))</f>
        <v xml:space="preserve"> </v>
      </c>
      <c r="D446" s="3" t="str">
        <f ca="1">IF(OR(INDEX($K$2:$K$1001,MATCH(ROWS($J$2:J446),$J$2:$J$1001,0),1)&gt;=100000,INDEX($Q$1005:$U$1005,1,MATCH(COLUMNS($Q$1006:S1006),$Q$1006:$U$1006,0))&gt;=100000), " ",IF(INDEX($Q$2:$U$1001,MATCH(ROWS($J$2:J446),$J$2:$J$1001,0),MATCH(COLUMNS($Q$1006:S1006),$Q$1006:$U$1006,0)), HYPERLINK("#",""), HYPERLINK(CONCATENATE("#Metadata!", ADDRESS(INDEX($L$2:$L$1001,MATCH(ROWS($J$2:J446),$J$2:$J$1001,0),0), INDEX($Q$1004:$U$1004,1,MATCH(COLUMNS($Q$1006:S1006),$Q$1006:$U$1006,0)))),"Fix")))</f>
        <v xml:space="preserve"> </v>
      </c>
      <c r="E446" s="3" t="str">
        <f ca="1">IF(OR(INDEX($K$2:$K$1001,MATCH(ROWS($J$2:J446),$J$2:$J$1001,0),1)&gt;=100000,INDEX($Q$1005:$U$1005,1,MATCH(COLUMNS($Q$1006:T1006),$Q$1006:$U$1006,0))&gt;=100000), " ",IF(INDEX($Q$2:$U$1001,MATCH(ROWS($J$2:J446),$J$2:$J$1001,0),MATCH(COLUMNS($Q$1006:T1006),$Q$1006:$U$1006,0)), HYPERLINK("#",""), HYPERLINK(CONCATENATE("#Metadata!", ADDRESS(INDEX($L$2:$L$1001,MATCH(ROWS($J$2:J446),$J$2:$J$1001,0),0), INDEX($Q$1004:$U$1004,1,MATCH(COLUMNS($Q$1006:T1006),$Q$1006:$U$1006,0)))),"Fix")))</f>
        <v xml:space="preserve"> </v>
      </c>
      <c r="F446" s="3" t="str">
        <f ca="1">IF(OR(INDEX($K$2:$K$1001,MATCH(ROWS($J$2:J446),$J$2:$J$1001,0),1)&gt;=100000,INDEX($Q$1005:$U$1005,1,MATCH(COLUMNS($Q$1006:U1006),$Q$1006:$U$1006,0))&gt;=100000), " ",IF(INDEX($Q$2:$U$1001,MATCH(ROWS($J$2:J446),$J$2:$J$1001,0),MATCH(COLUMNS($Q$1006:U1006),$Q$1006:$U$1006,0)), HYPERLINK("#",""), HYPERLINK(CONCATENATE("#Metadata!", ADDRESS(INDEX($L$2:$L$1001,MATCH(ROWS($J$2:J446),$J$2:$J$1001,0),0), INDEX($Q$1004:$U$1004,1,MATCH(COLUMNS($Q$1006:U1006),$Q$1006:$U$1006,0)))),"Fix")))</f>
        <v xml:space="preserve"> </v>
      </c>
      <c r="J446">
        <f ca="1"/>
        <v>445</v>
      </c>
      <c r="K446">
        <v>100446</v>
      </c>
      <c r="L446">
        <v>446</v>
      </c>
      <c r="M446" t="b">
        <f t="shared" si="6"/>
        <v>1</v>
      </c>
      <c r="N446" t="b">
        <f>COUNTBLANK(Metadata!B446:F446)=COLUMNS(Metadata!B446:F446)</f>
        <v>1</v>
      </c>
      <c r="O446" t="str">
        <v/>
      </c>
      <c r="Q446" t="b">
        <f ca="1"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R446" t="b">
        <f>IF(Metadata!C446="",FALSE,TRUE)</f>
        <v>0</v>
      </c>
      <c r="S446" t="b">
        <f>OR(AND(IF(Metadata!D446="",FALSE,TRUE),EXACT(Metadata!D446,"missing: not collected")),AND(IF(Metadata!D446="",FALSE,TRUE),OR(EXACT(Metadata!D446,"t"),EXACT(Metadata!D446,"f"))))</f>
        <v>0</v>
      </c>
      <c r="T446" t="b">
        <f>AND(IF(Metadata!E446="",FALSE,TRUE),OR(EXACT(Metadata!E446,"a"),EXACT(Metadata!E446,"b")))</f>
        <v>0</v>
      </c>
      <c r="U446" t="b">
        <f>OR(AND(IF(Metadata!F446="",FALSE,TRUE),OR(EXACT(Metadata!F446,"missing: not collected"),EXACT(Metadata!F446,"missing: not provided"))),AND(IF(Metadata!F446="",FALSE,TRUE),OR(EXACT(Metadata!F446,"lo"),EXACT(Metadata!F446,"med"),EXACT(Metadata!F446,"hi"))))</f>
        <v>0</v>
      </c>
    </row>
    <row r="447" spans="1:21" x14ac:dyDescent="0.2">
      <c r="A447" s="4" t="str">
        <f ca="1">IF(B447=" "," ",HYPERLINK(CONCATENATE("#metadata!",ADDRESS(INDEX($L$2:$L$1001,MATCH(ROWS($J$2:J447),$J$2:$J$1001,0),0),1)),INDEX($O$2:$O$1001,MATCH(ROWS($J$2:J447),$J$2:$J$1001,0),0)))</f>
        <v xml:space="preserve"> </v>
      </c>
      <c r="B447" s="3" t="str">
        <f ca="1">IF(OR(INDEX($K$2:$K$1001,MATCH(ROWS($J$2:J447),$J$2:$J$1001,0),1)&gt;=100000,INDEX($Q$1005:$U$1005,1,MATCH(COLUMNS($Q$1006:Q1006),$Q$1006:$U$1006,0))&gt;=100000), " ",IF(INDEX($Q$2:$U$1001,MATCH(ROWS($J$2:J447),$J$2:$J$1001,0),MATCH(COLUMNS($Q$1006:Q1006),$Q$1006:$U$1006,0)), HYPERLINK("#",""), HYPERLINK(CONCATENATE("#Metadata!", ADDRESS(INDEX($L$2:$L$1001,MATCH(ROWS($J$2:J447),$J$2:$J$1001,0),0), INDEX($Q$1004:$U$1004,1,MATCH(COLUMNS($Q$1006:Q1006),$Q$1006:$U$1006,0)))),"Fix")))</f>
        <v xml:space="preserve"> </v>
      </c>
      <c r="C447" s="3" t="str">
        <f ca="1">IF(OR(INDEX($K$2:$K$1001,MATCH(ROWS($J$2:J447),$J$2:$J$1001,0),1)&gt;=100000,INDEX($Q$1005:$U$1005,1,MATCH(COLUMNS($Q$1006:R1006),$Q$1006:$U$1006,0))&gt;=100000), " ",IF(INDEX($Q$2:$U$1001,MATCH(ROWS($J$2:J447),$J$2:$J$1001,0),MATCH(COLUMNS($Q$1006:R1006),$Q$1006:$U$1006,0)), HYPERLINK("#",""), HYPERLINK(CONCATENATE("#Metadata!", ADDRESS(INDEX($L$2:$L$1001,MATCH(ROWS($J$2:J447),$J$2:$J$1001,0),0), INDEX($Q$1004:$U$1004,1,MATCH(COLUMNS($Q$1006:R1006),$Q$1006:$U$1006,0)))),"Fix")))</f>
        <v xml:space="preserve"> </v>
      </c>
      <c r="D447" s="3" t="str">
        <f ca="1">IF(OR(INDEX($K$2:$K$1001,MATCH(ROWS($J$2:J447),$J$2:$J$1001,0),1)&gt;=100000,INDEX($Q$1005:$U$1005,1,MATCH(COLUMNS($Q$1006:S1006),$Q$1006:$U$1006,0))&gt;=100000), " ",IF(INDEX($Q$2:$U$1001,MATCH(ROWS($J$2:J447),$J$2:$J$1001,0),MATCH(COLUMNS($Q$1006:S1006),$Q$1006:$U$1006,0)), HYPERLINK("#",""), HYPERLINK(CONCATENATE("#Metadata!", ADDRESS(INDEX($L$2:$L$1001,MATCH(ROWS($J$2:J447),$J$2:$J$1001,0),0), INDEX($Q$1004:$U$1004,1,MATCH(COLUMNS($Q$1006:S1006),$Q$1006:$U$1006,0)))),"Fix")))</f>
        <v xml:space="preserve"> </v>
      </c>
      <c r="E447" s="3" t="str">
        <f ca="1">IF(OR(INDEX($K$2:$K$1001,MATCH(ROWS($J$2:J447),$J$2:$J$1001,0),1)&gt;=100000,INDEX($Q$1005:$U$1005,1,MATCH(COLUMNS($Q$1006:T1006),$Q$1006:$U$1006,0))&gt;=100000), " ",IF(INDEX($Q$2:$U$1001,MATCH(ROWS($J$2:J447),$J$2:$J$1001,0),MATCH(COLUMNS($Q$1006:T1006),$Q$1006:$U$1006,0)), HYPERLINK("#",""), HYPERLINK(CONCATENATE("#Metadata!", ADDRESS(INDEX($L$2:$L$1001,MATCH(ROWS($J$2:J447),$J$2:$J$1001,0),0), INDEX($Q$1004:$U$1004,1,MATCH(COLUMNS($Q$1006:T1006),$Q$1006:$U$1006,0)))),"Fix")))</f>
        <v xml:space="preserve"> </v>
      </c>
      <c r="F447" s="3" t="str">
        <f ca="1">IF(OR(INDEX($K$2:$K$1001,MATCH(ROWS($J$2:J447),$J$2:$J$1001,0),1)&gt;=100000,INDEX($Q$1005:$U$1005,1,MATCH(COLUMNS($Q$1006:U1006),$Q$1006:$U$1006,0))&gt;=100000), " ",IF(INDEX($Q$2:$U$1001,MATCH(ROWS($J$2:J447),$J$2:$J$1001,0),MATCH(COLUMNS($Q$1006:U1006),$Q$1006:$U$1006,0)), HYPERLINK("#",""), HYPERLINK(CONCATENATE("#Metadata!", ADDRESS(INDEX($L$2:$L$1001,MATCH(ROWS($J$2:J447),$J$2:$J$1001,0),0), INDEX($Q$1004:$U$1004,1,MATCH(COLUMNS($Q$1006:U1006),$Q$1006:$U$1006,0)))),"Fix")))</f>
        <v xml:space="preserve"> </v>
      </c>
      <c r="J447">
        <f ca="1"/>
        <v>446</v>
      </c>
      <c r="K447">
        <v>100447</v>
      </c>
      <c r="L447">
        <v>447</v>
      </c>
      <c r="M447" t="b">
        <f t="shared" si="6"/>
        <v>1</v>
      </c>
      <c r="N447" t="b">
        <f>COUNTBLANK(Metadata!B447:F447)=COLUMNS(Metadata!B447:F447)</f>
        <v>1</v>
      </c>
      <c r="O447" t="str">
        <v/>
      </c>
      <c r="Q447" t="b">
        <f ca="1"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R447" t="b">
        <f>IF(Metadata!C447="",FALSE,TRUE)</f>
        <v>0</v>
      </c>
      <c r="S447" t="b">
        <f>OR(AND(IF(Metadata!D447="",FALSE,TRUE),EXACT(Metadata!D447,"missing: not collected")),AND(IF(Metadata!D447="",FALSE,TRUE),OR(EXACT(Metadata!D447,"t"),EXACT(Metadata!D447,"f"))))</f>
        <v>0</v>
      </c>
      <c r="T447" t="b">
        <f>AND(IF(Metadata!E447="",FALSE,TRUE),OR(EXACT(Metadata!E447,"a"),EXACT(Metadata!E447,"b")))</f>
        <v>0</v>
      </c>
      <c r="U447" t="b">
        <f>OR(AND(IF(Metadata!F447="",FALSE,TRUE),OR(EXACT(Metadata!F447,"missing: not collected"),EXACT(Metadata!F447,"missing: not provided"))),AND(IF(Metadata!F447="",FALSE,TRUE),OR(EXACT(Metadata!F447,"lo"),EXACT(Metadata!F447,"med"),EXACT(Metadata!F447,"hi"))))</f>
        <v>0</v>
      </c>
    </row>
    <row r="448" spans="1:21" x14ac:dyDescent="0.2">
      <c r="A448" s="4" t="str">
        <f ca="1">IF(B448=" "," ",HYPERLINK(CONCATENATE("#metadata!",ADDRESS(INDEX($L$2:$L$1001,MATCH(ROWS($J$2:J448),$J$2:$J$1001,0),0),1)),INDEX($O$2:$O$1001,MATCH(ROWS($J$2:J448),$J$2:$J$1001,0),0)))</f>
        <v xml:space="preserve"> </v>
      </c>
      <c r="B448" s="3" t="str">
        <f ca="1">IF(OR(INDEX($K$2:$K$1001,MATCH(ROWS($J$2:J448),$J$2:$J$1001,0),1)&gt;=100000,INDEX($Q$1005:$U$1005,1,MATCH(COLUMNS($Q$1006:Q1006),$Q$1006:$U$1006,0))&gt;=100000), " ",IF(INDEX($Q$2:$U$1001,MATCH(ROWS($J$2:J448),$J$2:$J$1001,0),MATCH(COLUMNS($Q$1006:Q1006),$Q$1006:$U$1006,0)), HYPERLINK("#",""), HYPERLINK(CONCATENATE("#Metadata!", ADDRESS(INDEX($L$2:$L$1001,MATCH(ROWS($J$2:J448),$J$2:$J$1001,0),0), INDEX($Q$1004:$U$1004,1,MATCH(COLUMNS($Q$1006:Q1006),$Q$1006:$U$1006,0)))),"Fix")))</f>
        <v xml:space="preserve"> </v>
      </c>
      <c r="C448" s="3" t="str">
        <f ca="1">IF(OR(INDEX($K$2:$K$1001,MATCH(ROWS($J$2:J448),$J$2:$J$1001,0),1)&gt;=100000,INDEX($Q$1005:$U$1005,1,MATCH(COLUMNS($Q$1006:R1006),$Q$1006:$U$1006,0))&gt;=100000), " ",IF(INDEX($Q$2:$U$1001,MATCH(ROWS($J$2:J448),$J$2:$J$1001,0),MATCH(COLUMNS($Q$1006:R1006),$Q$1006:$U$1006,0)), HYPERLINK("#",""), HYPERLINK(CONCATENATE("#Metadata!", ADDRESS(INDEX($L$2:$L$1001,MATCH(ROWS($J$2:J448),$J$2:$J$1001,0),0), INDEX($Q$1004:$U$1004,1,MATCH(COLUMNS($Q$1006:R1006),$Q$1006:$U$1006,0)))),"Fix")))</f>
        <v xml:space="preserve"> </v>
      </c>
      <c r="D448" s="3" t="str">
        <f ca="1">IF(OR(INDEX($K$2:$K$1001,MATCH(ROWS($J$2:J448),$J$2:$J$1001,0),1)&gt;=100000,INDEX($Q$1005:$U$1005,1,MATCH(COLUMNS($Q$1006:S1006),$Q$1006:$U$1006,0))&gt;=100000), " ",IF(INDEX($Q$2:$U$1001,MATCH(ROWS($J$2:J448),$J$2:$J$1001,0),MATCH(COLUMNS($Q$1006:S1006),$Q$1006:$U$1006,0)), HYPERLINK("#",""), HYPERLINK(CONCATENATE("#Metadata!", ADDRESS(INDEX($L$2:$L$1001,MATCH(ROWS($J$2:J448),$J$2:$J$1001,0),0), INDEX($Q$1004:$U$1004,1,MATCH(COLUMNS($Q$1006:S1006),$Q$1006:$U$1006,0)))),"Fix")))</f>
        <v xml:space="preserve"> </v>
      </c>
      <c r="E448" s="3" t="str">
        <f ca="1">IF(OR(INDEX($K$2:$K$1001,MATCH(ROWS($J$2:J448),$J$2:$J$1001,0),1)&gt;=100000,INDEX($Q$1005:$U$1005,1,MATCH(COLUMNS($Q$1006:T1006),$Q$1006:$U$1006,0))&gt;=100000), " ",IF(INDEX($Q$2:$U$1001,MATCH(ROWS($J$2:J448),$J$2:$J$1001,0),MATCH(COLUMNS($Q$1006:T1006),$Q$1006:$U$1006,0)), HYPERLINK("#",""), HYPERLINK(CONCATENATE("#Metadata!", ADDRESS(INDEX($L$2:$L$1001,MATCH(ROWS($J$2:J448),$J$2:$J$1001,0),0), INDEX($Q$1004:$U$1004,1,MATCH(COLUMNS($Q$1006:T1006),$Q$1006:$U$1006,0)))),"Fix")))</f>
        <v xml:space="preserve"> </v>
      </c>
      <c r="F448" s="3" t="str">
        <f ca="1">IF(OR(INDEX($K$2:$K$1001,MATCH(ROWS($J$2:J448),$J$2:$J$1001,0),1)&gt;=100000,INDEX($Q$1005:$U$1005,1,MATCH(COLUMNS($Q$1006:U1006),$Q$1006:$U$1006,0))&gt;=100000), " ",IF(INDEX($Q$2:$U$1001,MATCH(ROWS($J$2:J448),$J$2:$J$1001,0),MATCH(COLUMNS($Q$1006:U1006),$Q$1006:$U$1006,0)), HYPERLINK("#",""), HYPERLINK(CONCATENATE("#Metadata!", ADDRESS(INDEX($L$2:$L$1001,MATCH(ROWS($J$2:J448),$J$2:$J$1001,0),0), INDEX($Q$1004:$U$1004,1,MATCH(COLUMNS($Q$1006:U1006),$Q$1006:$U$1006,0)))),"Fix")))</f>
        <v xml:space="preserve"> </v>
      </c>
      <c r="J448">
        <f ca="1"/>
        <v>447</v>
      </c>
      <c r="K448">
        <v>100448</v>
      </c>
      <c r="L448">
        <v>448</v>
      </c>
      <c r="M448" t="b">
        <f t="shared" si="6"/>
        <v>1</v>
      </c>
      <c r="N448" t="b">
        <f>COUNTBLANK(Metadata!B448:F448)=COLUMNS(Metadata!B448:F448)</f>
        <v>1</v>
      </c>
      <c r="O448" t="str">
        <v/>
      </c>
      <c r="Q448" t="b">
        <f ca="1"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R448" t="b">
        <f>IF(Metadata!C448="",FALSE,TRUE)</f>
        <v>0</v>
      </c>
      <c r="S448" t="b">
        <f>OR(AND(IF(Metadata!D448="",FALSE,TRUE),EXACT(Metadata!D448,"missing: not collected")),AND(IF(Metadata!D448="",FALSE,TRUE),OR(EXACT(Metadata!D448,"t"),EXACT(Metadata!D448,"f"))))</f>
        <v>0</v>
      </c>
      <c r="T448" t="b">
        <f>AND(IF(Metadata!E448="",FALSE,TRUE),OR(EXACT(Metadata!E448,"a"),EXACT(Metadata!E448,"b")))</f>
        <v>0</v>
      </c>
      <c r="U448" t="b">
        <f>OR(AND(IF(Metadata!F448="",FALSE,TRUE),OR(EXACT(Metadata!F448,"missing: not collected"),EXACT(Metadata!F448,"missing: not provided"))),AND(IF(Metadata!F448="",FALSE,TRUE),OR(EXACT(Metadata!F448,"lo"),EXACT(Metadata!F448,"med"),EXACT(Metadata!F448,"hi"))))</f>
        <v>0</v>
      </c>
    </row>
    <row r="449" spans="1:21" x14ac:dyDescent="0.2">
      <c r="A449" s="4" t="str">
        <f ca="1">IF(B449=" "," ",HYPERLINK(CONCATENATE("#metadata!",ADDRESS(INDEX($L$2:$L$1001,MATCH(ROWS($J$2:J449),$J$2:$J$1001,0),0),1)),INDEX($O$2:$O$1001,MATCH(ROWS($J$2:J449),$J$2:$J$1001,0),0)))</f>
        <v xml:space="preserve"> </v>
      </c>
      <c r="B449" s="3" t="str">
        <f ca="1">IF(OR(INDEX($K$2:$K$1001,MATCH(ROWS($J$2:J449),$J$2:$J$1001,0),1)&gt;=100000,INDEX($Q$1005:$U$1005,1,MATCH(COLUMNS($Q$1006:Q1006),$Q$1006:$U$1006,0))&gt;=100000), " ",IF(INDEX($Q$2:$U$1001,MATCH(ROWS($J$2:J449),$J$2:$J$1001,0),MATCH(COLUMNS($Q$1006:Q1006),$Q$1006:$U$1006,0)), HYPERLINK("#",""), HYPERLINK(CONCATENATE("#Metadata!", ADDRESS(INDEX($L$2:$L$1001,MATCH(ROWS($J$2:J449),$J$2:$J$1001,0),0), INDEX($Q$1004:$U$1004,1,MATCH(COLUMNS($Q$1006:Q1006),$Q$1006:$U$1006,0)))),"Fix")))</f>
        <v xml:space="preserve"> </v>
      </c>
      <c r="C449" s="3" t="str">
        <f ca="1">IF(OR(INDEX($K$2:$K$1001,MATCH(ROWS($J$2:J449),$J$2:$J$1001,0),1)&gt;=100000,INDEX($Q$1005:$U$1005,1,MATCH(COLUMNS($Q$1006:R1006),$Q$1006:$U$1006,0))&gt;=100000), " ",IF(INDEX($Q$2:$U$1001,MATCH(ROWS($J$2:J449),$J$2:$J$1001,0),MATCH(COLUMNS($Q$1006:R1006),$Q$1006:$U$1006,0)), HYPERLINK("#",""), HYPERLINK(CONCATENATE("#Metadata!", ADDRESS(INDEX($L$2:$L$1001,MATCH(ROWS($J$2:J449),$J$2:$J$1001,0),0), INDEX($Q$1004:$U$1004,1,MATCH(COLUMNS($Q$1006:R1006),$Q$1006:$U$1006,0)))),"Fix")))</f>
        <v xml:space="preserve"> </v>
      </c>
      <c r="D449" s="3" t="str">
        <f ca="1">IF(OR(INDEX($K$2:$K$1001,MATCH(ROWS($J$2:J449),$J$2:$J$1001,0),1)&gt;=100000,INDEX($Q$1005:$U$1005,1,MATCH(COLUMNS($Q$1006:S1006),$Q$1006:$U$1006,0))&gt;=100000), " ",IF(INDEX($Q$2:$U$1001,MATCH(ROWS($J$2:J449),$J$2:$J$1001,0),MATCH(COLUMNS($Q$1006:S1006),$Q$1006:$U$1006,0)), HYPERLINK("#",""), HYPERLINK(CONCATENATE("#Metadata!", ADDRESS(INDEX($L$2:$L$1001,MATCH(ROWS($J$2:J449),$J$2:$J$1001,0),0), INDEX($Q$1004:$U$1004,1,MATCH(COLUMNS($Q$1006:S1006),$Q$1006:$U$1006,0)))),"Fix")))</f>
        <v xml:space="preserve"> </v>
      </c>
      <c r="E449" s="3" t="str">
        <f ca="1">IF(OR(INDEX($K$2:$K$1001,MATCH(ROWS($J$2:J449),$J$2:$J$1001,0),1)&gt;=100000,INDEX($Q$1005:$U$1005,1,MATCH(COLUMNS($Q$1006:T1006),$Q$1006:$U$1006,0))&gt;=100000), " ",IF(INDEX($Q$2:$U$1001,MATCH(ROWS($J$2:J449),$J$2:$J$1001,0),MATCH(COLUMNS($Q$1006:T1006),$Q$1006:$U$1006,0)), HYPERLINK("#",""), HYPERLINK(CONCATENATE("#Metadata!", ADDRESS(INDEX($L$2:$L$1001,MATCH(ROWS($J$2:J449),$J$2:$J$1001,0),0), INDEX($Q$1004:$U$1004,1,MATCH(COLUMNS($Q$1006:T1006),$Q$1006:$U$1006,0)))),"Fix")))</f>
        <v xml:space="preserve"> </v>
      </c>
      <c r="F449" s="3" t="str">
        <f ca="1">IF(OR(INDEX($K$2:$K$1001,MATCH(ROWS($J$2:J449),$J$2:$J$1001,0),1)&gt;=100000,INDEX($Q$1005:$U$1005,1,MATCH(COLUMNS($Q$1006:U1006),$Q$1006:$U$1006,0))&gt;=100000), " ",IF(INDEX($Q$2:$U$1001,MATCH(ROWS($J$2:J449),$J$2:$J$1001,0),MATCH(COLUMNS($Q$1006:U1006),$Q$1006:$U$1006,0)), HYPERLINK("#",""), HYPERLINK(CONCATENATE("#Metadata!", ADDRESS(INDEX($L$2:$L$1001,MATCH(ROWS($J$2:J449),$J$2:$J$1001,0),0), INDEX($Q$1004:$U$1004,1,MATCH(COLUMNS($Q$1006:U1006),$Q$1006:$U$1006,0)))),"Fix")))</f>
        <v xml:space="preserve"> </v>
      </c>
      <c r="J449">
        <f ca="1"/>
        <v>448</v>
      </c>
      <c r="K449">
        <v>100449</v>
      </c>
      <c r="L449">
        <v>449</v>
      </c>
      <c r="M449" t="b">
        <f t="shared" si="6"/>
        <v>1</v>
      </c>
      <c r="N449" t="b">
        <f>COUNTBLANK(Metadata!B449:F449)=COLUMNS(Metadata!B449:F449)</f>
        <v>1</v>
      </c>
      <c r="O449" t="str">
        <v/>
      </c>
      <c r="Q449" t="b">
        <f ca="1"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R449" t="b">
        <f>IF(Metadata!C449="",FALSE,TRUE)</f>
        <v>0</v>
      </c>
      <c r="S449" t="b">
        <f>OR(AND(IF(Metadata!D449="",FALSE,TRUE),EXACT(Metadata!D449,"missing: not collected")),AND(IF(Metadata!D449="",FALSE,TRUE),OR(EXACT(Metadata!D449,"t"),EXACT(Metadata!D449,"f"))))</f>
        <v>0</v>
      </c>
      <c r="T449" t="b">
        <f>AND(IF(Metadata!E449="",FALSE,TRUE),OR(EXACT(Metadata!E449,"a"),EXACT(Metadata!E449,"b")))</f>
        <v>0</v>
      </c>
      <c r="U449" t="b">
        <f>OR(AND(IF(Metadata!F449="",FALSE,TRUE),OR(EXACT(Metadata!F449,"missing: not collected"),EXACT(Metadata!F449,"missing: not provided"))),AND(IF(Metadata!F449="",FALSE,TRUE),OR(EXACT(Metadata!F449,"lo"),EXACT(Metadata!F449,"med"),EXACT(Metadata!F449,"hi"))))</f>
        <v>0</v>
      </c>
    </row>
    <row r="450" spans="1:21" x14ac:dyDescent="0.2">
      <c r="A450" s="4" t="str">
        <f ca="1">IF(B450=" "," ",HYPERLINK(CONCATENATE("#metadata!",ADDRESS(INDEX($L$2:$L$1001,MATCH(ROWS($J$2:J450),$J$2:$J$1001,0),0),1)),INDEX($O$2:$O$1001,MATCH(ROWS($J$2:J450),$J$2:$J$1001,0),0)))</f>
        <v xml:space="preserve"> </v>
      </c>
      <c r="B450" s="3" t="str">
        <f ca="1">IF(OR(INDEX($K$2:$K$1001,MATCH(ROWS($J$2:J450),$J$2:$J$1001,0),1)&gt;=100000,INDEX($Q$1005:$U$1005,1,MATCH(COLUMNS($Q$1006:Q1006),$Q$1006:$U$1006,0))&gt;=100000), " ",IF(INDEX($Q$2:$U$1001,MATCH(ROWS($J$2:J450),$J$2:$J$1001,0),MATCH(COLUMNS($Q$1006:Q1006),$Q$1006:$U$1006,0)), HYPERLINK("#",""), HYPERLINK(CONCATENATE("#Metadata!", ADDRESS(INDEX($L$2:$L$1001,MATCH(ROWS($J$2:J450),$J$2:$J$1001,0),0), INDEX($Q$1004:$U$1004,1,MATCH(COLUMNS($Q$1006:Q1006),$Q$1006:$U$1006,0)))),"Fix")))</f>
        <v xml:space="preserve"> </v>
      </c>
      <c r="C450" s="3" t="str">
        <f ca="1">IF(OR(INDEX($K$2:$K$1001,MATCH(ROWS($J$2:J450),$J$2:$J$1001,0),1)&gt;=100000,INDEX($Q$1005:$U$1005,1,MATCH(COLUMNS($Q$1006:R1006),$Q$1006:$U$1006,0))&gt;=100000), " ",IF(INDEX($Q$2:$U$1001,MATCH(ROWS($J$2:J450),$J$2:$J$1001,0),MATCH(COLUMNS($Q$1006:R1006),$Q$1006:$U$1006,0)), HYPERLINK("#",""), HYPERLINK(CONCATENATE("#Metadata!", ADDRESS(INDEX($L$2:$L$1001,MATCH(ROWS($J$2:J450),$J$2:$J$1001,0),0), INDEX($Q$1004:$U$1004,1,MATCH(COLUMNS($Q$1006:R1006),$Q$1006:$U$1006,0)))),"Fix")))</f>
        <v xml:space="preserve"> </v>
      </c>
      <c r="D450" s="3" t="str">
        <f ca="1">IF(OR(INDEX($K$2:$K$1001,MATCH(ROWS($J$2:J450),$J$2:$J$1001,0),1)&gt;=100000,INDEX($Q$1005:$U$1005,1,MATCH(COLUMNS($Q$1006:S1006),$Q$1006:$U$1006,0))&gt;=100000), " ",IF(INDEX($Q$2:$U$1001,MATCH(ROWS($J$2:J450),$J$2:$J$1001,0),MATCH(COLUMNS($Q$1006:S1006),$Q$1006:$U$1006,0)), HYPERLINK("#",""), HYPERLINK(CONCATENATE("#Metadata!", ADDRESS(INDEX($L$2:$L$1001,MATCH(ROWS($J$2:J450),$J$2:$J$1001,0),0), INDEX($Q$1004:$U$1004,1,MATCH(COLUMNS($Q$1006:S1006),$Q$1006:$U$1006,0)))),"Fix")))</f>
        <v xml:space="preserve"> </v>
      </c>
      <c r="E450" s="3" t="str">
        <f ca="1">IF(OR(INDEX($K$2:$K$1001,MATCH(ROWS($J$2:J450),$J$2:$J$1001,0),1)&gt;=100000,INDEX($Q$1005:$U$1005,1,MATCH(COLUMNS($Q$1006:T1006),$Q$1006:$U$1006,0))&gt;=100000), " ",IF(INDEX($Q$2:$U$1001,MATCH(ROWS($J$2:J450),$J$2:$J$1001,0),MATCH(COLUMNS($Q$1006:T1006),$Q$1006:$U$1006,0)), HYPERLINK("#",""), HYPERLINK(CONCATENATE("#Metadata!", ADDRESS(INDEX($L$2:$L$1001,MATCH(ROWS($J$2:J450),$J$2:$J$1001,0),0), INDEX($Q$1004:$U$1004,1,MATCH(COLUMNS($Q$1006:T1006),$Q$1006:$U$1006,0)))),"Fix")))</f>
        <v xml:space="preserve"> </v>
      </c>
      <c r="F450" s="3" t="str">
        <f ca="1">IF(OR(INDEX($K$2:$K$1001,MATCH(ROWS($J$2:J450),$J$2:$J$1001,0),1)&gt;=100000,INDEX($Q$1005:$U$1005,1,MATCH(COLUMNS($Q$1006:U1006),$Q$1006:$U$1006,0))&gt;=100000), " ",IF(INDEX($Q$2:$U$1001,MATCH(ROWS($J$2:J450),$J$2:$J$1001,0),MATCH(COLUMNS($Q$1006:U1006),$Q$1006:$U$1006,0)), HYPERLINK("#",""), HYPERLINK(CONCATENATE("#Metadata!", ADDRESS(INDEX($L$2:$L$1001,MATCH(ROWS($J$2:J450),$J$2:$J$1001,0),0), INDEX($Q$1004:$U$1004,1,MATCH(COLUMNS($Q$1006:U1006),$Q$1006:$U$1006,0)))),"Fix")))</f>
        <v xml:space="preserve"> </v>
      </c>
      <c r="J450">
        <f ca="1"/>
        <v>449</v>
      </c>
      <c r="K450">
        <v>100450</v>
      </c>
      <c r="L450">
        <v>450</v>
      </c>
      <c r="M450" t="b">
        <f t="shared" ref="M450:M513" si="7">IF(N450,TRUE,AND(Q450:U450))</f>
        <v>1</v>
      </c>
      <c r="N450" t="b">
        <f>COUNTBLANK(Metadata!B450:F450)=COLUMNS(Metadata!B450:F450)</f>
        <v>1</v>
      </c>
      <c r="O450" t="str">
        <v/>
      </c>
      <c r="Q450" t="b">
        <f ca="1"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R450" t="b">
        <f>IF(Metadata!C450="",FALSE,TRUE)</f>
        <v>0</v>
      </c>
      <c r="S450" t="b">
        <f>OR(AND(IF(Metadata!D450="",FALSE,TRUE),EXACT(Metadata!D450,"missing: not collected")),AND(IF(Metadata!D450="",FALSE,TRUE),OR(EXACT(Metadata!D450,"t"),EXACT(Metadata!D450,"f"))))</f>
        <v>0</v>
      </c>
      <c r="T450" t="b">
        <f>AND(IF(Metadata!E450="",FALSE,TRUE),OR(EXACT(Metadata!E450,"a"),EXACT(Metadata!E450,"b")))</f>
        <v>0</v>
      </c>
      <c r="U450" t="b">
        <f>OR(AND(IF(Metadata!F450="",FALSE,TRUE),OR(EXACT(Metadata!F450,"missing: not collected"),EXACT(Metadata!F450,"missing: not provided"))),AND(IF(Metadata!F450="",FALSE,TRUE),OR(EXACT(Metadata!F450,"lo"),EXACT(Metadata!F450,"med"),EXACT(Metadata!F450,"hi"))))</f>
        <v>0</v>
      </c>
    </row>
    <row r="451" spans="1:21" x14ac:dyDescent="0.2">
      <c r="A451" s="4" t="str">
        <f ca="1">IF(B451=" "," ",HYPERLINK(CONCATENATE("#metadata!",ADDRESS(INDEX($L$2:$L$1001,MATCH(ROWS($J$2:J451),$J$2:$J$1001,0),0),1)),INDEX($O$2:$O$1001,MATCH(ROWS($J$2:J451),$J$2:$J$1001,0),0)))</f>
        <v xml:space="preserve"> </v>
      </c>
      <c r="B451" s="3" t="str">
        <f ca="1">IF(OR(INDEX($K$2:$K$1001,MATCH(ROWS($J$2:J451),$J$2:$J$1001,0),1)&gt;=100000,INDEX($Q$1005:$U$1005,1,MATCH(COLUMNS($Q$1006:Q1006),$Q$1006:$U$1006,0))&gt;=100000), " ",IF(INDEX($Q$2:$U$1001,MATCH(ROWS($J$2:J451),$J$2:$J$1001,0),MATCH(COLUMNS($Q$1006:Q1006),$Q$1006:$U$1006,0)), HYPERLINK("#",""), HYPERLINK(CONCATENATE("#Metadata!", ADDRESS(INDEX($L$2:$L$1001,MATCH(ROWS($J$2:J451),$J$2:$J$1001,0),0), INDEX($Q$1004:$U$1004,1,MATCH(COLUMNS($Q$1006:Q1006),$Q$1006:$U$1006,0)))),"Fix")))</f>
        <v xml:space="preserve"> </v>
      </c>
      <c r="C451" s="3" t="str">
        <f ca="1">IF(OR(INDEX($K$2:$K$1001,MATCH(ROWS($J$2:J451),$J$2:$J$1001,0),1)&gt;=100000,INDEX($Q$1005:$U$1005,1,MATCH(COLUMNS($Q$1006:R1006),$Q$1006:$U$1006,0))&gt;=100000), " ",IF(INDEX($Q$2:$U$1001,MATCH(ROWS($J$2:J451),$J$2:$J$1001,0),MATCH(COLUMNS($Q$1006:R1006),$Q$1006:$U$1006,0)), HYPERLINK("#",""), HYPERLINK(CONCATENATE("#Metadata!", ADDRESS(INDEX($L$2:$L$1001,MATCH(ROWS($J$2:J451),$J$2:$J$1001,0),0), INDEX($Q$1004:$U$1004,1,MATCH(COLUMNS($Q$1006:R1006),$Q$1006:$U$1006,0)))),"Fix")))</f>
        <v xml:space="preserve"> </v>
      </c>
      <c r="D451" s="3" t="str">
        <f ca="1">IF(OR(INDEX($K$2:$K$1001,MATCH(ROWS($J$2:J451),$J$2:$J$1001,0),1)&gt;=100000,INDEX($Q$1005:$U$1005,1,MATCH(COLUMNS($Q$1006:S1006),$Q$1006:$U$1006,0))&gt;=100000), " ",IF(INDEX($Q$2:$U$1001,MATCH(ROWS($J$2:J451),$J$2:$J$1001,0),MATCH(COLUMNS($Q$1006:S1006),$Q$1006:$U$1006,0)), HYPERLINK("#",""), HYPERLINK(CONCATENATE("#Metadata!", ADDRESS(INDEX($L$2:$L$1001,MATCH(ROWS($J$2:J451),$J$2:$J$1001,0),0), INDEX($Q$1004:$U$1004,1,MATCH(COLUMNS($Q$1006:S1006),$Q$1006:$U$1006,0)))),"Fix")))</f>
        <v xml:space="preserve"> </v>
      </c>
      <c r="E451" s="3" t="str">
        <f ca="1">IF(OR(INDEX($K$2:$K$1001,MATCH(ROWS($J$2:J451),$J$2:$J$1001,0),1)&gt;=100000,INDEX($Q$1005:$U$1005,1,MATCH(COLUMNS($Q$1006:T1006),$Q$1006:$U$1006,0))&gt;=100000), " ",IF(INDEX($Q$2:$U$1001,MATCH(ROWS($J$2:J451),$J$2:$J$1001,0),MATCH(COLUMNS($Q$1006:T1006),$Q$1006:$U$1006,0)), HYPERLINK("#",""), HYPERLINK(CONCATENATE("#Metadata!", ADDRESS(INDEX($L$2:$L$1001,MATCH(ROWS($J$2:J451),$J$2:$J$1001,0),0), INDEX($Q$1004:$U$1004,1,MATCH(COLUMNS($Q$1006:T1006),$Q$1006:$U$1006,0)))),"Fix")))</f>
        <v xml:space="preserve"> </v>
      </c>
      <c r="F451" s="3" t="str">
        <f ca="1">IF(OR(INDEX($K$2:$K$1001,MATCH(ROWS($J$2:J451),$J$2:$J$1001,0),1)&gt;=100000,INDEX($Q$1005:$U$1005,1,MATCH(COLUMNS($Q$1006:U1006),$Q$1006:$U$1006,0))&gt;=100000), " ",IF(INDEX($Q$2:$U$1001,MATCH(ROWS($J$2:J451),$J$2:$J$1001,0),MATCH(COLUMNS($Q$1006:U1006),$Q$1006:$U$1006,0)), HYPERLINK("#",""), HYPERLINK(CONCATENATE("#Metadata!", ADDRESS(INDEX($L$2:$L$1001,MATCH(ROWS($J$2:J451),$J$2:$J$1001,0),0), INDEX($Q$1004:$U$1004,1,MATCH(COLUMNS($Q$1006:U1006),$Q$1006:$U$1006,0)))),"Fix")))</f>
        <v xml:space="preserve"> </v>
      </c>
      <c r="J451">
        <f ca="1"/>
        <v>450</v>
      </c>
      <c r="K451">
        <v>100451</v>
      </c>
      <c r="L451">
        <v>451</v>
      </c>
      <c r="M451" t="b">
        <f t="shared" si="7"/>
        <v>1</v>
      </c>
      <c r="N451" t="b">
        <f>COUNTBLANK(Metadata!B451:F451)=COLUMNS(Metadata!B451:F451)</f>
        <v>1</v>
      </c>
      <c r="O451" t="str">
        <v/>
      </c>
      <c r="Q451" t="b">
        <f ca="1"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R451" t="b">
        <f>IF(Metadata!C451="",FALSE,TRUE)</f>
        <v>0</v>
      </c>
      <c r="S451" t="b">
        <f>OR(AND(IF(Metadata!D451="",FALSE,TRUE),EXACT(Metadata!D451,"missing: not collected")),AND(IF(Metadata!D451="",FALSE,TRUE),OR(EXACT(Metadata!D451,"t"),EXACT(Metadata!D451,"f"))))</f>
        <v>0</v>
      </c>
      <c r="T451" t="b">
        <f>AND(IF(Metadata!E451="",FALSE,TRUE),OR(EXACT(Metadata!E451,"a"),EXACT(Metadata!E451,"b")))</f>
        <v>0</v>
      </c>
      <c r="U451" t="b">
        <f>OR(AND(IF(Metadata!F451="",FALSE,TRUE),OR(EXACT(Metadata!F451,"missing: not collected"),EXACT(Metadata!F451,"missing: not provided"))),AND(IF(Metadata!F451="",FALSE,TRUE),OR(EXACT(Metadata!F451,"lo"),EXACT(Metadata!F451,"med"),EXACT(Metadata!F451,"hi"))))</f>
        <v>0</v>
      </c>
    </row>
    <row r="452" spans="1:21" x14ac:dyDescent="0.2">
      <c r="A452" s="4" t="str">
        <f ca="1">IF(B452=" "," ",HYPERLINK(CONCATENATE("#metadata!",ADDRESS(INDEX($L$2:$L$1001,MATCH(ROWS($J$2:J452),$J$2:$J$1001,0),0),1)),INDEX($O$2:$O$1001,MATCH(ROWS($J$2:J452),$J$2:$J$1001,0),0)))</f>
        <v xml:space="preserve"> </v>
      </c>
      <c r="B452" s="3" t="str">
        <f ca="1">IF(OR(INDEX($K$2:$K$1001,MATCH(ROWS($J$2:J452),$J$2:$J$1001,0),1)&gt;=100000,INDEX($Q$1005:$U$1005,1,MATCH(COLUMNS($Q$1006:Q1006),$Q$1006:$U$1006,0))&gt;=100000), " ",IF(INDEX($Q$2:$U$1001,MATCH(ROWS($J$2:J452),$J$2:$J$1001,0),MATCH(COLUMNS($Q$1006:Q1006),$Q$1006:$U$1006,0)), HYPERLINK("#",""), HYPERLINK(CONCATENATE("#Metadata!", ADDRESS(INDEX($L$2:$L$1001,MATCH(ROWS($J$2:J452),$J$2:$J$1001,0),0), INDEX($Q$1004:$U$1004,1,MATCH(COLUMNS($Q$1006:Q1006),$Q$1006:$U$1006,0)))),"Fix")))</f>
        <v xml:space="preserve"> </v>
      </c>
      <c r="C452" s="3" t="str">
        <f ca="1">IF(OR(INDEX($K$2:$K$1001,MATCH(ROWS($J$2:J452),$J$2:$J$1001,0),1)&gt;=100000,INDEX($Q$1005:$U$1005,1,MATCH(COLUMNS($Q$1006:R1006),$Q$1006:$U$1006,0))&gt;=100000), " ",IF(INDEX($Q$2:$U$1001,MATCH(ROWS($J$2:J452),$J$2:$J$1001,0),MATCH(COLUMNS($Q$1006:R1006),$Q$1006:$U$1006,0)), HYPERLINK("#",""), HYPERLINK(CONCATENATE("#Metadata!", ADDRESS(INDEX($L$2:$L$1001,MATCH(ROWS($J$2:J452),$J$2:$J$1001,0),0), INDEX($Q$1004:$U$1004,1,MATCH(COLUMNS($Q$1006:R1006),$Q$1006:$U$1006,0)))),"Fix")))</f>
        <v xml:space="preserve"> </v>
      </c>
      <c r="D452" s="3" t="str">
        <f ca="1">IF(OR(INDEX($K$2:$K$1001,MATCH(ROWS($J$2:J452),$J$2:$J$1001,0),1)&gt;=100000,INDEX($Q$1005:$U$1005,1,MATCH(COLUMNS($Q$1006:S1006),$Q$1006:$U$1006,0))&gt;=100000), " ",IF(INDEX($Q$2:$U$1001,MATCH(ROWS($J$2:J452),$J$2:$J$1001,0),MATCH(COLUMNS($Q$1006:S1006),$Q$1006:$U$1006,0)), HYPERLINK("#",""), HYPERLINK(CONCATENATE("#Metadata!", ADDRESS(INDEX($L$2:$L$1001,MATCH(ROWS($J$2:J452),$J$2:$J$1001,0),0), INDEX($Q$1004:$U$1004,1,MATCH(COLUMNS($Q$1006:S1006),$Q$1006:$U$1006,0)))),"Fix")))</f>
        <v xml:space="preserve"> </v>
      </c>
      <c r="E452" s="3" t="str">
        <f ca="1">IF(OR(INDEX($K$2:$K$1001,MATCH(ROWS($J$2:J452),$J$2:$J$1001,0),1)&gt;=100000,INDEX($Q$1005:$U$1005,1,MATCH(COLUMNS($Q$1006:T1006),$Q$1006:$U$1006,0))&gt;=100000), " ",IF(INDEX($Q$2:$U$1001,MATCH(ROWS($J$2:J452),$J$2:$J$1001,0),MATCH(COLUMNS($Q$1006:T1006),$Q$1006:$U$1006,0)), HYPERLINK("#",""), HYPERLINK(CONCATENATE("#Metadata!", ADDRESS(INDEX($L$2:$L$1001,MATCH(ROWS($J$2:J452),$J$2:$J$1001,0),0), INDEX($Q$1004:$U$1004,1,MATCH(COLUMNS($Q$1006:T1006),$Q$1006:$U$1006,0)))),"Fix")))</f>
        <v xml:space="preserve"> </v>
      </c>
      <c r="F452" s="3" t="str">
        <f ca="1">IF(OR(INDEX($K$2:$K$1001,MATCH(ROWS($J$2:J452),$J$2:$J$1001,0),1)&gt;=100000,INDEX($Q$1005:$U$1005,1,MATCH(COLUMNS($Q$1006:U1006),$Q$1006:$U$1006,0))&gt;=100000), " ",IF(INDEX($Q$2:$U$1001,MATCH(ROWS($J$2:J452),$J$2:$J$1001,0),MATCH(COLUMNS($Q$1006:U1006),$Q$1006:$U$1006,0)), HYPERLINK("#",""), HYPERLINK(CONCATENATE("#Metadata!", ADDRESS(INDEX($L$2:$L$1001,MATCH(ROWS($J$2:J452),$J$2:$J$1001,0),0), INDEX($Q$1004:$U$1004,1,MATCH(COLUMNS($Q$1006:U1006),$Q$1006:$U$1006,0)))),"Fix")))</f>
        <v xml:space="preserve"> </v>
      </c>
      <c r="J452">
        <f ca="1"/>
        <v>451</v>
      </c>
      <c r="K452">
        <v>100452</v>
      </c>
      <c r="L452">
        <v>452</v>
      </c>
      <c r="M452" t="b">
        <f t="shared" si="7"/>
        <v>1</v>
      </c>
      <c r="N452" t="b">
        <f>COUNTBLANK(Metadata!B452:F452)=COLUMNS(Metadata!B452:F452)</f>
        <v>1</v>
      </c>
      <c r="O452" t="str">
        <v/>
      </c>
      <c r="Q452" t="b">
        <f ca="1"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R452" t="b">
        <f>IF(Metadata!C452="",FALSE,TRUE)</f>
        <v>0</v>
      </c>
      <c r="S452" t="b">
        <f>OR(AND(IF(Metadata!D452="",FALSE,TRUE),EXACT(Metadata!D452,"missing: not collected")),AND(IF(Metadata!D452="",FALSE,TRUE),OR(EXACT(Metadata!D452,"t"),EXACT(Metadata!D452,"f"))))</f>
        <v>0</v>
      </c>
      <c r="T452" t="b">
        <f>AND(IF(Metadata!E452="",FALSE,TRUE),OR(EXACT(Metadata!E452,"a"),EXACT(Metadata!E452,"b")))</f>
        <v>0</v>
      </c>
      <c r="U452" t="b">
        <f>OR(AND(IF(Metadata!F452="",FALSE,TRUE),OR(EXACT(Metadata!F452,"missing: not collected"),EXACT(Metadata!F452,"missing: not provided"))),AND(IF(Metadata!F452="",FALSE,TRUE),OR(EXACT(Metadata!F452,"lo"),EXACT(Metadata!F452,"med"),EXACT(Metadata!F452,"hi"))))</f>
        <v>0</v>
      </c>
    </row>
    <row r="453" spans="1:21" x14ac:dyDescent="0.2">
      <c r="A453" s="4" t="str">
        <f ca="1">IF(B453=" "," ",HYPERLINK(CONCATENATE("#metadata!",ADDRESS(INDEX($L$2:$L$1001,MATCH(ROWS($J$2:J453),$J$2:$J$1001,0),0),1)),INDEX($O$2:$O$1001,MATCH(ROWS($J$2:J453),$J$2:$J$1001,0),0)))</f>
        <v xml:space="preserve"> </v>
      </c>
      <c r="B453" s="3" t="str">
        <f ca="1">IF(OR(INDEX($K$2:$K$1001,MATCH(ROWS($J$2:J453),$J$2:$J$1001,0),1)&gt;=100000,INDEX($Q$1005:$U$1005,1,MATCH(COLUMNS($Q$1006:Q1006),$Q$1006:$U$1006,0))&gt;=100000), " ",IF(INDEX($Q$2:$U$1001,MATCH(ROWS($J$2:J453),$J$2:$J$1001,0),MATCH(COLUMNS($Q$1006:Q1006),$Q$1006:$U$1006,0)), HYPERLINK("#",""), HYPERLINK(CONCATENATE("#Metadata!", ADDRESS(INDEX($L$2:$L$1001,MATCH(ROWS($J$2:J453),$J$2:$J$1001,0),0), INDEX($Q$1004:$U$1004,1,MATCH(COLUMNS($Q$1006:Q1006),$Q$1006:$U$1006,0)))),"Fix")))</f>
        <v xml:space="preserve"> </v>
      </c>
      <c r="C453" s="3" t="str">
        <f ca="1">IF(OR(INDEX($K$2:$K$1001,MATCH(ROWS($J$2:J453),$J$2:$J$1001,0),1)&gt;=100000,INDEX($Q$1005:$U$1005,1,MATCH(COLUMNS($Q$1006:R1006),$Q$1006:$U$1006,0))&gt;=100000), " ",IF(INDEX($Q$2:$U$1001,MATCH(ROWS($J$2:J453),$J$2:$J$1001,0),MATCH(COLUMNS($Q$1006:R1006),$Q$1006:$U$1006,0)), HYPERLINK("#",""), HYPERLINK(CONCATENATE("#Metadata!", ADDRESS(INDEX($L$2:$L$1001,MATCH(ROWS($J$2:J453),$J$2:$J$1001,0),0), INDEX($Q$1004:$U$1004,1,MATCH(COLUMNS($Q$1006:R1006),$Q$1006:$U$1006,0)))),"Fix")))</f>
        <v xml:space="preserve"> </v>
      </c>
      <c r="D453" s="3" t="str">
        <f ca="1">IF(OR(INDEX($K$2:$K$1001,MATCH(ROWS($J$2:J453),$J$2:$J$1001,0),1)&gt;=100000,INDEX($Q$1005:$U$1005,1,MATCH(COLUMNS($Q$1006:S1006),$Q$1006:$U$1006,0))&gt;=100000), " ",IF(INDEX($Q$2:$U$1001,MATCH(ROWS($J$2:J453),$J$2:$J$1001,0),MATCH(COLUMNS($Q$1006:S1006),$Q$1006:$U$1006,0)), HYPERLINK("#",""), HYPERLINK(CONCATENATE("#Metadata!", ADDRESS(INDEX($L$2:$L$1001,MATCH(ROWS($J$2:J453),$J$2:$J$1001,0),0), INDEX($Q$1004:$U$1004,1,MATCH(COLUMNS($Q$1006:S1006),$Q$1006:$U$1006,0)))),"Fix")))</f>
        <v xml:space="preserve"> </v>
      </c>
      <c r="E453" s="3" t="str">
        <f ca="1">IF(OR(INDEX($K$2:$K$1001,MATCH(ROWS($J$2:J453),$J$2:$J$1001,0),1)&gt;=100000,INDEX($Q$1005:$U$1005,1,MATCH(COLUMNS($Q$1006:T1006),$Q$1006:$U$1006,0))&gt;=100000), " ",IF(INDEX($Q$2:$U$1001,MATCH(ROWS($J$2:J453),$J$2:$J$1001,0),MATCH(COLUMNS($Q$1006:T1006),$Q$1006:$U$1006,0)), HYPERLINK("#",""), HYPERLINK(CONCATENATE("#Metadata!", ADDRESS(INDEX($L$2:$L$1001,MATCH(ROWS($J$2:J453),$J$2:$J$1001,0),0), INDEX($Q$1004:$U$1004,1,MATCH(COLUMNS($Q$1006:T1006),$Q$1006:$U$1006,0)))),"Fix")))</f>
        <v xml:space="preserve"> </v>
      </c>
      <c r="F453" s="3" t="str">
        <f ca="1">IF(OR(INDEX($K$2:$K$1001,MATCH(ROWS($J$2:J453),$J$2:$J$1001,0),1)&gt;=100000,INDEX($Q$1005:$U$1005,1,MATCH(COLUMNS($Q$1006:U1006),$Q$1006:$U$1006,0))&gt;=100000), " ",IF(INDEX($Q$2:$U$1001,MATCH(ROWS($J$2:J453),$J$2:$J$1001,0),MATCH(COLUMNS($Q$1006:U1006),$Q$1006:$U$1006,0)), HYPERLINK("#",""), HYPERLINK(CONCATENATE("#Metadata!", ADDRESS(INDEX($L$2:$L$1001,MATCH(ROWS($J$2:J453),$J$2:$J$1001,0),0), INDEX($Q$1004:$U$1004,1,MATCH(COLUMNS($Q$1006:U1006),$Q$1006:$U$1006,0)))),"Fix")))</f>
        <v xml:space="preserve"> </v>
      </c>
      <c r="J453">
        <f ca="1"/>
        <v>452</v>
      </c>
      <c r="K453">
        <v>100453</v>
      </c>
      <c r="L453">
        <v>453</v>
      </c>
      <c r="M453" t="b">
        <f t="shared" si="7"/>
        <v>1</v>
      </c>
      <c r="N453" t="b">
        <f>COUNTBLANK(Metadata!B453:F453)=COLUMNS(Metadata!B453:F453)</f>
        <v>1</v>
      </c>
      <c r="O453" t="str">
        <v/>
      </c>
      <c r="Q453" t="b">
        <f ca="1"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R453" t="b">
        <f>IF(Metadata!C453="",FALSE,TRUE)</f>
        <v>0</v>
      </c>
      <c r="S453" t="b">
        <f>OR(AND(IF(Metadata!D453="",FALSE,TRUE),EXACT(Metadata!D453,"missing: not collected")),AND(IF(Metadata!D453="",FALSE,TRUE),OR(EXACT(Metadata!D453,"t"),EXACT(Metadata!D453,"f"))))</f>
        <v>0</v>
      </c>
      <c r="T453" t="b">
        <f>AND(IF(Metadata!E453="",FALSE,TRUE),OR(EXACT(Metadata!E453,"a"),EXACT(Metadata!E453,"b")))</f>
        <v>0</v>
      </c>
      <c r="U453" t="b">
        <f>OR(AND(IF(Metadata!F453="",FALSE,TRUE),OR(EXACT(Metadata!F453,"missing: not collected"),EXACT(Metadata!F453,"missing: not provided"))),AND(IF(Metadata!F453="",FALSE,TRUE),OR(EXACT(Metadata!F453,"lo"),EXACT(Metadata!F453,"med"),EXACT(Metadata!F453,"hi"))))</f>
        <v>0</v>
      </c>
    </row>
    <row r="454" spans="1:21" x14ac:dyDescent="0.2">
      <c r="A454" s="4" t="str">
        <f ca="1">IF(B454=" "," ",HYPERLINK(CONCATENATE("#metadata!",ADDRESS(INDEX($L$2:$L$1001,MATCH(ROWS($J$2:J454),$J$2:$J$1001,0),0),1)),INDEX($O$2:$O$1001,MATCH(ROWS($J$2:J454),$J$2:$J$1001,0),0)))</f>
        <v xml:space="preserve"> </v>
      </c>
      <c r="B454" s="3" t="str">
        <f ca="1">IF(OR(INDEX($K$2:$K$1001,MATCH(ROWS($J$2:J454),$J$2:$J$1001,0),1)&gt;=100000,INDEX($Q$1005:$U$1005,1,MATCH(COLUMNS($Q$1006:Q1006),$Q$1006:$U$1006,0))&gt;=100000), " ",IF(INDEX($Q$2:$U$1001,MATCH(ROWS($J$2:J454),$J$2:$J$1001,0),MATCH(COLUMNS($Q$1006:Q1006),$Q$1006:$U$1006,0)), HYPERLINK("#",""), HYPERLINK(CONCATENATE("#Metadata!", ADDRESS(INDEX($L$2:$L$1001,MATCH(ROWS($J$2:J454),$J$2:$J$1001,0),0), INDEX($Q$1004:$U$1004,1,MATCH(COLUMNS($Q$1006:Q1006),$Q$1006:$U$1006,0)))),"Fix")))</f>
        <v xml:space="preserve"> </v>
      </c>
      <c r="C454" s="3" t="str">
        <f ca="1">IF(OR(INDEX($K$2:$K$1001,MATCH(ROWS($J$2:J454),$J$2:$J$1001,0),1)&gt;=100000,INDEX($Q$1005:$U$1005,1,MATCH(COLUMNS($Q$1006:R1006),$Q$1006:$U$1006,0))&gt;=100000), " ",IF(INDEX($Q$2:$U$1001,MATCH(ROWS($J$2:J454),$J$2:$J$1001,0),MATCH(COLUMNS($Q$1006:R1006),$Q$1006:$U$1006,0)), HYPERLINK("#",""), HYPERLINK(CONCATENATE("#Metadata!", ADDRESS(INDEX($L$2:$L$1001,MATCH(ROWS($J$2:J454),$J$2:$J$1001,0),0), INDEX($Q$1004:$U$1004,1,MATCH(COLUMNS($Q$1006:R1006),$Q$1006:$U$1006,0)))),"Fix")))</f>
        <v xml:space="preserve"> </v>
      </c>
      <c r="D454" s="3" t="str">
        <f ca="1">IF(OR(INDEX($K$2:$K$1001,MATCH(ROWS($J$2:J454),$J$2:$J$1001,0),1)&gt;=100000,INDEX($Q$1005:$U$1005,1,MATCH(COLUMNS($Q$1006:S1006),$Q$1006:$U$1006,0))&gt;=100000), " ",IF(INDEX($Q$2:$U$1001,MATCH(ROWS($J$2:J454),$J$2:$J$1001,0),MATCH(COLUMNS($Q$1006:S1006),$Q$1006:$U$1006,0)), HYPERLINK("#",""), HYPERLINK(CONCATENATE("#Metadata!", ADDRESS(INDEX($L$2:$L$1001,MATCH(ROWS($J$2:J454),$J$2:$J$1001,0),0), INDEX($Q$1004:$U$1004,1,MATCH(COLUMNS($Q$1006:S1006),$Q$1006:$U$1006,0)))),"Fix")))</f>
        <v xml:space="preserve"> </v>
      </c>
      <c r="E454" s="3" t="str">
        <f ca="1">IF(OR(INDEX($K$2:$K$1001,MATCH(ROWS($J$2:J454),$J$2:$J$1001,0),1)&gt;=100000,INDEX($Q$1005:$U$1005,1,MATCH(COLUMNS($Q$1006:T1006),$Q$1006:$U$1006,0))&gt;=100000), " ",IF(INDEX($Q$2:$U$1001,MATCH(ROWS($J$2:J454),$J$2:$J$1001,0),MATCH(COLUMNS($Q$1006:T1006),$Q$1006:$U$1006,0)), HYPERLINK("#",""), HYPERLINK(CONCATENATE("#Metadata!", ADDRESS(INDEX($L$2:$L$1001,MATCH(ROWS($J$2:J454),$J$2:$J$1001,0),0), INDEX($Q$1004:$U$1004,1,MATCH(COLUMNS($Q$1006:T1006),$Q$1006:$U$1006,0)))),"Fix")))</f>
        <v xml:space="preserve"> </v>
      </c>
      <c r="F454" s="3" t="str">
        <f ca="1">IF(OR(INDEX($K$2:$K$1001,MATCH(ROWS($J$2:J454),$J$2:$J$1001,0),1)&gt;=100000,INDEX($Q$1005:$U$1005,1,MATCH(COLUMNS($Q$1006:U1006),$Q$1006:$U$1006,0))&gt;=100000), " ",IF(INDEX($Q$2:$U$1001,MATCH(ROWS($J$2:J454),$J$2:$J$1001,0),MATCH(COLUMNS($Q$1006:U1006),$Q$1006:$U$1006,0)), HYPERLINK("#",""), HYPERLINK(CONCATENATE("#Metadata!", ADDRESS(INDEX($L$2:$L$1001,MATCH(ROWS($J$2:J454),$J$2:$J$1001,0),0), INDEX($Q$1004:$U$1004,1,MATCH(COLUMNS($Q$1006:U1006),$Q$1006:$U$1006,0)))),"Fix")))</f>
        <v xml:space="preserve"> </v>
      </c>
      <c r="J454">
        <f ca="1"/>
        <v>453</v>
      </c>
      <c r="K454">
        <v>100454</v>
      </c>
      <c r="L454">
        <v>454</v>
      </c>
      <c r="M454" t="b">
        <f t="shared" si="7"/>
        <v>1</v>
      </c>
      <c r="N454" t="b">
        <f>COUNTBLANK(Metadata!B454:F454)=COLUMNS(Metadata!B454:F454)</f>
        <v>1</v>
      </c>
      <c r="O454" t="str">
        <v/>
      </c>
      <c r="Q454" t="b">
        <f ca="1"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R454" t="b">
        <f>IF(Metadata!C454="",FALSE,TRUE)</f>
        <v>0</v>
      </c>
      <c r="S454" t="b">
        <f>OR(AND(IF(Metadata!D454="",FALSE,TRUE),EXACT(Metadata!D454,"missing: not collected")),AND(IF(Metadata!D454="",FALSE,TRUE),OR(EXACT(Metadata!D454,"t"),EXACT(Metadata!D454,"f"))))</f>
        <v>0</v>
      </c>
      <c r="T454" t="b">
        <f>AND(IF(Metadata!E454="",FALSE,TRUE),OR(EXACT(Metadata!E454,"a"),EXACT(Metadata!E454,"b")))</f>
        <v>0</v>
      </c>
      <c r="U454" t="b">
        <f>OR(AND(IF(Metadata!F454="",FALSE,TRUE),OR(EXACT(Metadata!F454,"missing: not collected"),EXACT(Metadata!F454,"missing: not provided"))),AND(IF(Metadata!F454="",FALSE,TRUE),OR(EXACT(Metadata!F454,"lo"),EXACT(Metadata!F454,"med"),EXACT(Metadata!F454,"hi"))))</f>
        <v>0</v>
      </c>
    </row>
    <row r="455" spans="1:21" x14ac:dyDescent="0.2">
      <c r="A455" s="4" t="str">
        <f ca="1">IF(B455=" "," ",HYPERLINK(CONCATENATE("#metadata!",ADDRESS(INDEX($L$2:$L$1001,MATCH(ROWS($J$2:J455),$J$2:$J$1001,0),0),1)),INDEX($O$2:$O$1001,MATCH(ROWS($J$2:J455),$J$2:$J$1001,0),0)))</f>
        <v xml:space="preserve"> </v>
      </c>
      <c r="B455" s="3" t="str">
        <f ca="1">IF(OR(INDEX($K$2:$K$1001,MATCH(ROWS($J$2:J455),$J$2:$J$1001,0),1)&gt;=100000,INDEX($Q$1005:$U$1005,1,MATCH(COLUMNS($Q$1006:Q1006),$Q$1006:$U$1006,0))&gt;=100000), " ",IF(INDEX($Q$2:$U$1001,MATCH(ROWS($J$2:J455),$J$2:$J$1001,0),MATCH(COLUMNS($Q$1006:Q1006),$Q$1006:$U$1006,0)), HYPERLINK("#",""), HYPERLINK(CONCATENATE("#Metadata!", ADDRESS(INDEX($L$2:$L$1001,MATCH(ROWS($J$2:J455),$J$2:$J$1001,0),0), INDEX($Q$1004:$U$1004,1,MATCH(COLUMNS($Q$1006:Q1006),$Q$1006:$U$1006,0)))),"Fix")))</f>
        <v xml:space="preserve"> </v>
      </c>
      <c r="C455" s="3" t="str">
        <f ca="1">IF(OR(INDEX($K$2:$K$1001,MATCH(ROWS($J$2:J455),$J$2:$J$1001,0),1)&gt;=100000,INDEX($Q$1005:$U$1005,1,MATCH(COLUMNS($Q$1006:R1006),$Q$1006:$U$1006,0))&gt;=100000), " ",IF(INDEX($Q$2:$U$1001,MATCH(ROWS($J$2:J455),$J$2:$J$1001,0),MATCH(COLUMNS($Q$1006:R1006),$Q$1006:$U$1006,0)), HYPERLINK("#",""), HYPERLINK(CONCATENATE("#Metadata!", ADDRESS(INDEX($L$2:$L$1001,MATCH(ROWS($J$2:J455),$J$2:$J$1001,0),0), INDEX($Q$1004:$U$1004,1,MATCH(COLUMNS($Q$1006:R1006),$Q$1006:$U$1006,0)))),"Fix")))</f>
        <v xml:space="preserve"> </v>
      </c>
      <c r="D455" s="3" t="str">
        <f ca="1">IF(OR(INDEX($K$2:$K$1001,MATCH(ROWS($J$2:J455),$J$2:$J$1001,0),1)&gt;=100000,INDEX($Q$1005:$U$1005,1,MATCH(COLUMNS($Q$1006:S1006),$Q$1006:$U$1006,0))&gt;=100000), " ",IF(INDEX($Q$2:$U$1001,MATCH(ROWS($J$2:J455),$J$2:$J$1001,0),MATCH(COLUMNS($Q$1006:S1006),$Q$1006:$U$1006,0)), HYPERLINK("#",""), HYPERLINK(CONCATENATE("#Metadata!", ADDRESS(INDEX($L$2:$L$1001,MATCH(ROWS($J$2:J455),$J$2:$J$1001,0),0), INDEX($Q$1004:$U$1004,1,MATCH(COLUMNS($Q$1006:S1006),$Q$1006:$U$1006,0)))),"Fix")))</f>
        <v xml:space="preserve"> </v>
      </c>
      <c r="E455" s="3" t="str">
        <f ca="1">IF(OR(INDEX($K$2:$K$1001,MATCH(ROWS($J$2:J455),$J$2:$J$1001,0),1)&gt;=100000,INDEX($Q$1005:$U$1005,1,MATCH(COLUMNS($Q$1006:T1006),$Q$1006:$U$1006,0))&gt;=100000), " ",IF(INDEX($Q$2:$U$1001,MATCH(ROWS($J$2:J455),$J$2:$J$1001,0),MATCH(COLUMNS($Q$1006:T1006),$Q$1006:$U$1006,0)), HYPERLINK("#",""), HYPERLINK(CONCATENATE("#Metadata!", ADDRESS(INDEX($L$2:$L$1001,MATCH(ROWS($J$2:J455),$J$2:$J$1001,0),0), INDEX($Q$1004:$U$1004,1,MATCH(COLUMNS($Q$1006:T1006),$Q$1006:$U$1006,0)))),"Fix")))</f>
        <v xml:space="preserve"> </v>
      </c>
      <c r="F455" s="3" t="str">
        <f ca="1">IF(OR(INDEX($K$2:$K$1001,MATCH(ROWS($J$2:J455),$J$2:$J$1001,0),1)&gt;=100000,INDEX($Q$1005:$U$1005,1,MATCH(COLUMNS($Q$1006:U1006),$Q$1006:$U$1006,0))&gt;=100000), " ",IF(INDEX($Q$2:$U$1001,MATCH(ROWS($J$2:J455),$J$2:$J$1001,0),MATCH(COLUMNS($Q$1006:U1006),$Q$1006:$U$1006,0)), HYPERLINK("#",""), HYPERLINK(CONCATENATE("#Metadata!", ADDRESS(INDEX($L$2:$L$1001,MATCH(ROWS($J$2:J455),$J$2:$J$1001,0),0), INDEX($Q$1004:$U$1004,1,MATCH(COLUMNS($Q$1006:U1006),$Q$1006:$U$1006,0)))),"Fix")))</f>
        <v xml:space="preserve"> </v>
      </c>
      <c r="J455">
        <f ca="1"/>
        <v>454</v>
      </c>
      <c r="K455">
        <v>100455</v>
      </c>
      <c r="L455">
        <v>455</v>
      </c>
      <c r="M455" t="b">
        <f t="shared" si="7"/>
        <v>1</v>
      </c>
      <c r="N455" t="b">
        <f>COUNTBLANK(Metadata!B455:F455)=COLUMNS(Metadata!B455:F455)</f>
        <v>1</v>
      </c>
      <c r="O455" t="str">
        <v/>
      </c>
      <c r="Q455" t="b">
        <f ca="1"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R455" t="b">
        <f>IF(Metadata!C455="",FALSE,TRUE)</f>
        <v>0</v>
      </c>
      <c r="S455" t="b">
        <f>OR(AND(IF(Metadata!D455="",FALSE,TRUE),EXACT(Metadata!D455,"missing: not collected")),AND(IF(Metadata!D455="",FALSE,TRUE),OR(EXACT(Metadata!D455,"t"),EXACT(Metadata!D455,"f"))))</f>
        <v>0</v>
      </c>
      <c r="T455" t="b">
        <f>AND(IF(Metadata!E455="",FALSE,TRUE),OR(EXACT(Metadata!E455,"a"),EXACT(Metadata!E455,"b")))</f>
        <v>0</v>
      </c>
      <c r="U455" t="b">
        <f>OR(AND(IF(Metadata!F455="",FALSE,TRUE),OR(EXACT(Metadata!F455,"missing: not collected"),EXACT(Metadata!F455,"missing: not provided"))),AND(IF(Metadata!F455="",FALSE,TRUE),OR(EXACT(Metadata!F455,"lo"),EXACT(Metadata!F455,"med"),EXACT(Metadata!F455,"hi"))))</f>
        <v>0</v>
      </c>
    </row>
    <row r="456" spans="1:21" x14ac:dyDescent="0.2">
      <c r="A456" s="4" t="str">
        <f ca="1">IF(B456=" "," ",HYPERLINK(CONCATENATE("#metadata!",ADDRESS(INDEX($L$2:$L$1001,MATCH(ROWS($J$2:J456),$J$2:$J$1001,0),0),1)),INDEX($O$2:$O$1001,MATCH(ROWS($J$2:J456),$J$2:$J$1001,0),0)))</f>
        <v xml:space="preserve"> </v>
      </c>
      <c r="B456" s="3" t="str">
        <f ca="1">IF(OR(INDEX($K$2:$K$1001,MATCH(ROWS($J$2:J456),$J$2:$J$1001,0),1)&gt;=100000,INDEX($Q$1005:$U$1005,1,MATCH(COLUMNS($Q$1006:Q1006),$Q$1006:$U$1006,0))&gt;=100000), " ",IF(INDEX($Q$2:$U$1001,MATCH(ROWS($J$2:J456),$J$2:$J$1001,0),MATCH(COLUMNS($Q$1006:Q1006),$Q$1006:$U$1006,0)), HYPERLINK("#",""), HYPERLINK(CONCATENATE("#Metadata!", ADDRESS(INDEX($L$2:$L$1001,MATCH(ROWS($J$2:J456),$J$2:$J$1001,0),0), INDEX($Q$1004:$U$1004,1,MATCH(COLUMNS($Q$1006:Q1006),$Q$1006:$U$1006,0)))),"Fix")))</f>
        <v xml:space="preserve"> </v>
      </c>
      <c r="C456" s="3" t="str">
        <f ca="1">IF(OR(INDEX($K$2:$K$1001,MATCH(ROWS($J$2:J456),$J$2:$J$1001,0),1)&gt;=100000,INDEX($Q$1005:$U$1005,1,MATCH(COLUMNS($Q$1006:R1006),$Q$1006:$U$1006,0))&gt;=100000), " ",IF(INDEX($Q$2:$U$1001,MATCH(ROWS($J$2:J456),$J$2:$J$1001,0),MATCH(COLUMNS($Q$1006:R1006),$Q$1006:$U$1006,0)), HYPERLINK("#",""), HYPERLINK(CONCATENATE("#Metadata!", ADDRESS(INDEX($L$2:$L$1001,MATCH(ROWS($J$2:J456),$J$2:$J$1001,0),0), INDEX($Q$1004:$U$1004,1,MATCH(COLUMNS($Q$1006:R1006),$Q$1006:$U$1006,0)))),"Fix")))</f>
        <v xml:space="preserve"> </v>
      </c>
      <c r="D456" s="3" t="str">
        <f ca="1">IF(OR(INDEX($K$2:$K$1001,MATCH(ROWS($J$2:J456),$J$2:$J$1001,0),1)&gt;=100000,INDEX($Q$1005:$U$1005,1,MATCH(COLUMNS($Q$1006:S1006),$Q$1006:$U$1006,0))&gt;=100000), " ",IF(INDEX($Q$2:$U$1001,MATCH(ROWS($J$2:J456),$J$2:$J$1001,0),MATCH(COLUMNS($Q$1006:S1006),$Q$1006:$U$1006,0)), HYPERLINK("#",""), HYPERLINK(CONCATENATE("#Metadata!", ADDRESS(INDEX($L$2:$L$1001,MATCH(ROWS($J$2:J456),$J$2:$J$1001,0),0), INDEX($Q$1004:$U$1004,1,MATCH(COLUMNS($Q$1006:S1006),$Q$1006:$U$1006,0)))),"Fix")))</f>
        <v xml:space="preserve"> </v>
      </c>
      <c r="E456" s="3" t="str">
        <f ca="1">IF(OR(INDEX($K$2:$K$1001,MATCH(ROWS($J$2:J456),$J$2:$J$1001,0),1)&gt;=100000,INDEX($Q$1005:$U$1005,1,MATCH(COLUMNS($Q$1006:T1006),$Q$1006:$U$1006,0))&gt;=100000), " ",IF(INDEX($Q$2:$U$1001,MATCH(ROWS($J$2:J456),$J$2:$J$1001,0),MATCH(COLUMNS($Q$1006:T1006),$Q$1006:$U$1006,0)), HYPERLINK("#",""), HYPERLINK(CONCATENATE("#Metadata!", ADDRESS(INDEX($L$2:$L$1001,MATCH(ROWS($J$2:J456),$J$2:$J$1001,0),0), INDEX($Q$1004:$U$1004,1,MATCH(COLUMNS($Q$1006:T1006),$Q$1006:$U$1006,0)))),"Fix")))</f>
        <v xml:space="preserve"> </v>
      </c>
      <c r="F456" s="3" t="str">
        <f ca="1">IF(OR(INDEX($K$2:$K$1001,MATCH(ROWS($J$2:J456),$J$2:$J$1001,0),1)&gt;=100000,INDEX($Q$1005:$U$1005,1,MATCH(COLUMNS($Q$1006:U1006),$Q$1006:$U$1006,0))&gt;=100000), " ",IF(INDEX($Q$2:$U$1001,MATCH(ROWS($J$2:J456),$J$2:$J$1001,0),MATCH(COLUMNS($Q$1006:U1006),$Q$1006:$U$1006,0)), HYPERLINK("#",""), HYPERLINK(CONCATENATE("#Metadata!", ADDRESS(INDEX($L$2:$L$1001,MATCH(ROWS($J$2:J456),$J$2:$J$1001,0),0), INDEX($Q$1004:$U$1004,1,MATCH(COLUMNS($Q$1006:U1006),$Q$1006:$U$1006,0)))),"Fix")))</f>
        <v xml:space="preserve"> </v>
      </c>
      <c r="J456">
        <f ca="1"/>
        <v>455</v>
      </c>
      <c r="K456">
        <v>100456</v>
      </c>
      <c r="L456">
        <v>456</v>
      </c>
      <c r="M456" t="b">
        <f t="shared" si="7"/>
        <v>1</v>
      </c>
      <c r="N456" t="b">
        <f>COUNTBLANK(Metadata!B456:F456)=COLUMNS(Metadata!B456:F456)</f>
        <v>1</v>
      </c>
      <c r="O456" t="str">
        <v/>
      </c>
      <c r="Q456" t="b">
        <f ca="1"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R456" t="b">
        <f>IF(Metadata!C456="",FALSE,TRUE)</f>
        <v>0</v>
      </c>
      <c r="S456" t="b">
        <f>OR(AND(IF(Metadata!D456="",FALSE,TRUE),EXACT(Metadata!D456,"missing: not collected")),AND(IF(Metadata!D456="",FALSE,TRUE),OR(EXACT(Metadata!D456,"t"),EXACT(Metadata!D456,"f"))))</f>
        <v>0</v>
      </c>
      <c r="T456" t="b">
        <f>AND(IF(Metadata!E456="",FALSE,TRUE),OR(EXACT(Metadata!E456,"a"),EXACT(Metadata!E456,"b")))</f>
        <v>0</v>
      </c>
      <c r="U456" t="b">
        <f>OR(AND(IF(Metadata!F456="",FALSE,TRUE),OR(EXACT(Metadata!F456,"missing: not collected"),EXACT(Metadata!F456,"missing: not provided"))),AND(IF(Metadata!F456="",FALSE,TRUE),OR(EXACT(Metadata!F456,"lo"),EXACT(Metadata!F456,"med"),EXACT(Metadata!F456,"hi"))))</f>
        <v>0</v>
      </c>
    </row>
    <row r="457" spans="1:21" x14ac:dyDescent="0.2">
      <c r="A457" s="4" t="str">
        <f ca="1">IF(B457=" "," ",HYPERLINK(CONCATENATE("#metadata!",ADDRESS(INDEX($L$2:$L$1001,MATCH(ROWS($J$2:J457),$J$2:$J$1001,0),0),1)),INDEX($O$2:$O$1001,MATCH(ROWS($J$2:J457),$J$2:$J$1001,0),0)))</f>
        <v xml:space="preserve"> </v>
      </c>
      <c r="B457" s="3" t="str">
        <f ca="1">IF(OR(INDEX($K$2:$K$1001,MATCH(ROWS($J$2:J457),$J$2:$J$1001,0),1)&gt;=100000,INDEX($Q$1005:$U$1005,1,MATCH(COLUMNS($Q$1006:Q1006),$Q$1006:$U$1006,0))&gt;=100000), " ",IF(INDEX($Q$2:$U$1001,MATCH(ROWS($J$2:J457),$J$2:$J$1001,0),MATCH(COLUMNS($Q$1006:Q1006),$Q$1006:$U$1006,0)), HYPERLINK("#",""), HYPERLINK(CONCATENATE("#Metadata!", ADDRESS(INDEX($L$2:$L$1001,MATCH(ROWS($J$2:J457),$J$2:$J$1001,0),0), INDEX($Q$1004:$U$1004,1,MATCH(COLUMNS($Q$1006:Q1006),$Q$1006:$U$1006,0)))),"Fix")))</f>
        <v xml:space="preserve"> </v>
      </c>
      <c r="C457" s="3" t="str">
        <f ca="1">IF(OR(INDEX($K$2:$K$1001,MATCH(ROWS($J$2:J457),$J$2:$J$1001,0),1)&gt;=100000,INDEX($Q$1005:$U$1005,1,MATCH(COLUMNS($Q$1006:R1006),$Q$1006:$U$1006,0))&gt;=100000), " ",IF(INDEX($Q$2:$U$1001,MATCH(ROWS($J$2:J457),$J$2:$J$1001,0),MATCH(COLUMNS($Q$1006:R1006),$Q$1006:$U$1006,0)), HYPERLINK("#",""), HYPERLINK(CONCATENATE("#Metadata!", ADDRESS(INDEX($L$2:$L$1001,MATCH(ROWS($J$2:J457),$J$2:$J$1001,0),0), INDEX($Q$1004:$U$1004,1,MATCH(COLUMNS($Q$1006:R1006),$Q$1006:$U$1006,0)))),"Fix")))</f>
        <v xml:space="preserve"> </v>
      </c>
      <c r="D457" s="3" t="str">
        <f ca="1">IF(OR(INDEX($K$2:$K$1001,MATCH(ROWS($J$2:J457),$J$2:$J$1001,0),1)&gt;=100000,INDEX($Q$1005:$U$1005,1,MATCH(COLUMNS($Q$1006:S1006),$Q$1006:$U$1006,0))&gt;=100000), " ",IF(INDEX($Q$2:$U$1001,MATCH(ROWS($J$2:J457),$J$2:$J$1001,0),MATCH(COLUMNS($Q$1006:S1006),$Q$1006:$U$1006,0)), HYPERLINK("#",""), HYPERLINK(CONCATENATE("#Metadata!", ADDRESS(INDEX($L$2:$L$1001,MATCH(ROWS($J$2:J457),$J$2:$J$1001,0),0), INDEX($Q$1004:$U$1004,1,MATCH(COLUMNS($Q$1006:S1006),$Q$1006:$U$1006,0)))),"Fix")))</f>
        <v xml:space="preserve"> </v>
      </c>
      <c r="E457" s="3" t="str">
        <f ca="1">IF(OR(INDEX($K$2:$K$1001,MATCH(ROWS($J$2:J457),$J$2:$J$1001,0),1)&gt;=100000,INDEX($Q$1005:$U$1005,1,MATCH(COLUMNS($Q$1006:T1006),$Q$1006:$U$1006,0))&gt;=100000), " ",IF(INDEX($Q$2:$U$1001,MATCH(ROWS($J$2:J457),$J$2:$J$1001,0),MATCH(COLUMNS($Q$1006:T1006),$Q$1006:$U$1006,0)), HYPERLINK("#",""), HYPERLINK(CONCATENATE("#Metadata!", ADDRESS(INDEX($L$2:$L$1001,MATCH(ROWS($J$2:J457),$J$2:$J$1001,0),0), INDEX($Q$1004:$U$1004,1,MATCH(COLUMNS($Q$1006:T1006),$Q$1006:$U$1006,0)))),"Fix")))</f>
        <v xml:space="preserve"> </v>
      </c>
      <c r="F457" s="3" t="str">
        <f ca="1">IF(OR(INDEX($K$2:$K$1001,MATCH(ROWS($J$2:J457),$J$2:$J$1001,0),1)&gt;=100000,INDEX($Q$1005:$U$1005,1,MATCH(COLUMNS($Q$1006:U1006),$Q$1006:$U$1006,0))&gt;=100000), " ",IF(INDEX($Q$2:$U$1001,MATCH(ROWS($J$2:J457),$J$2:$J$1001,0),MATCH(COLUMNS($Q$1006:U1006),$Q$1006:$U$1006,0)), HYPERLINK("#",""), HYPERLINK(CONCATENATE("#Metadata!", ADDRESS(INDEX($L$2:$L$1001,MATCH(ROWS($J$2:J457),$J$2:$J$1001,0),0), INDEX($Q$1004:$U$1004,1,MATCH(COLUMNS($Q$1006:U1006),$Q$1006:$U$1006,0)))),"Fix")))</f>
        <v xml:space="preserve"> </v>
      </c>
      <c r="J457">
        <f ca="1"/>
        <v>456</v>
      </c>
      <c r="K457">
        <v>100457</v>
      </c>
      <c r="L457">
        <v>457</v>
      </c>
      <c r="M457" t="b">
        <f t="shared" si="7"/>
        <v>1</v>
      </c>
      <c r="N457" t="b">
        <f>COUNTBLANK(Metadata!B457:F457)=COLUMNS(Metadata!B457:F457)</f>
        <v>1</v>
      </c>
      <c r="O457" t="str">
        <v/>
      </c>
      <c r="Q457" t="b">
        <f ca="1"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R457" t="b">
        <f>IF(Metadata!C457="",FALSE,TRUE)</f>
        <v>0</v>
      </c>
      <c r="S457" t="b">
        <f>OR(AND(IF(Metadata!D457="",FALSE,TRUE),EXACT(Metadata!D457,"missing: not collected")),AND(IF(Metadata!D457="",FALSE,TRUE),OR(EXACT(Metadata!D457,"t"),EXACT(Metadata!D457,"f"))))</f>
        <v>0</v>
      </c>
      <c r="T457" t="b">
        <f>AND(IF(Metadata!E457="",FALSE,TRUE),OR(EXACT(Metadata!E457,"a"),EXACT(Metadata!E457,"b")))</f>
        <v>0</v>
      </c>
      <c r="U457" t="b">
        <f>OR(AND(IF(Metadata!F457="",FALSE,TRUE),OR(EXACT(Metadata!F457,"missing: not collected"),EXACT(Metadata!F457,"missing: not provided"))),AND(IF(Metadata!F457="",FALSE,TRUE),OR(EXACT(Metadata!F457,"lo"),EXACT(Metadata!F457,"med"),EXACT(Metadata!F457,"hi"))))</f>
        <v>0</v>
      </c>
    </row>
    <row r="458" spans="1:21" x14ac:dyDescent="0.2">
      <c r="A458" s="4" t="str">
        <f ca="1">IF(B458=" "," ",HYPERLINK(CONCATENATE("#metadata!",ADDRESS(INDEX($L$2:$L$1001,MATCH(ROWS($J$2:J458),$J$2:$J$1001,0),0),1)),INDEX($O$2:$O$1001,MATCH(ROWS($J$2:J458),$J$2:$J$1001,0),0)))</f>
        <v xml:space="preserve"> </v>
      </c>
      <c r="B458" s="3" t="str">
        <f ca="1">IF(OR(INDEX($K$2:$K$1001,MATCH(ROWS($J$2:J458),$J$2:$J$1001,0),1)&gt;=100000,INDEX($Q$1005:$U$1005,1,MATCH(COLUMNS($Q$1006:Q1006),$Q$1006:$U$1006,0))&gt;=100000), " ",IF(INDEX($Q$2:$U$1001,MATCH(ROWS($J$2:J458),$J$2:$J$1001,0),MATCH(COLUMNS($Q$1006:Q1006),$Q$1006:$U$1006,0)), HYPERLINK("#",""), HYPERLINK(CONCATENATE("#Metadata!", ADDRESS(INDEX($L$2:$L$1001,MATCH(ROWS($J$2:J458),$J$2:$J$1001,0),0), INDEX($Q$1004:$U$1004,1,MATCH(COLUMNS($Q$1006:Q1006),$Q$1006:$U$1006,0)))),"Fix")))</f>
        <v xml:space="preserve"> </v>
      </c>
      <c r="C458" s="3" t="str">
        <f ca="1">IF(OR(INDEX($K$2:$K$1001,MATCH(ROWS($J$2:J458),$J$2:$J$1001,0),1)&gt;=100000,INDEX($Q$1005:$U$1005,1,MATCH(COLUMNS($Q$1006:R1006),$Q$1006:$U$1006,0))&gt;=100000), " ",IF(INDEX($Q$2:$U$1001,MATCH(ROWS($J$2:J458),$J$2:$J$1001,0),MATCH(COLUMNS($Q$1006:R1006),$Q$1006:$U$1006,0)), HYPERLINK("#",""), HYPERLINK(CONCATENATE("#Metadata!", ADDRESS(INDEX($L$2:$L$1001,MATCH(ROWS($J$2:J458),$J$2:$J$1001,0),0), INDEX($Q$1004:$U$1004,1,MATCH(COLUMNS($Q$1006:R1006),$Q$1006:$U$1006,0)))),"Fix")))</f>
        <v xml:space="preserve"> </v>
      </c>
      <c r="D458" s="3" t="str">
        <f ca="1">IF(OR(INDEX($K$2:$K$1001,MATCH(ROWS($J$2:J458),$J$2:$J$1001,0),1)&gt;=100000,INDEX($Q$1005:$U$1005,1,MATCH(COLUMNS($Q$1006:S1006),$Q$1006:$U$1006,0))&gt;=100000), " ",IF(INDEX($Q$2:$U$1001,MATCH(ROWS($J$2:J458),$J$2:$J$1001,0),MATCH(COLUMNS($Q$1006:S1006),$Q$1006:$U$1006,0)), HYPERLINK("#",""), HYPERLINK(CONCATENATE("#Metadata!", ADDRESS(INDEX($L$2:$L$1001,MATCH(ROWS($J$2:J458),$J$2:$J$1001,0),0), INDEX($Q$1004:$U$1004,1,MATCH(COLUMNS($Q$1006:S1006),$Q$1006:$U$1006,0)))),"Fix")))</f>
        <v xml:space="preserve"> </v>
      </c>
      <c r="E458" s="3" t="str">
        <f ca="1">IF(OR(INDEX($K$2:$K$1001,MATCH(ROWS($J$2:J458),$J$2:$J$1001,0),1)&gt;=100000,INDEX($Q$1005:$U$1005,1,MATCH(COLUMNS($Q$1006:T1006),$Q$1006:$U$1006,0))&gt;=100000), " ",IF(INDEX($Q$2:$U$1001,MATCH(ROWS($J$2:J458),$J$2:$J$1001,0),MATCH(COLUMNS($Q$1006:T1006),$Q$1006:$U$1006,0)), HYPERLINK("#",""), HYPERLINK(CONCATENATE("#Metadata!", ADDRESS(INDEX($L$2:$L$1001,MATCH(ROWS($J$2:J458),$J$2:$J$1001,0),0), INDEX($Q$1004:$U$1004,1,MATCH(COLUMNS($Q$1006:T1006),$Q$1006:$U$1006,0)))),"Fix")))</f>
        <v xml:space="preserve"> </v>
      </c>
      <c r="F458" s="3" t="str">
        <f ca="1">IF(OR(INDEX($K$2:$K$1001,MATCH(ROWS($J$2:J458),$J$2:$J$1001,0),1)&gt;=100000,INDEX($Q$1005:$U$1005,1,MATCH(COLUMNS($Q$1006:U1006),$Q$1006:$U$1006,0))&gt;=100000), " ",IF(INDEX($Q$2:$U$1001,MATCH(ROWS($J$2:J458),$J$2:$J$1001,0),MATCH(COLUMNS($Q$1006:U1006),$Q$1006:$U$1006,0)), HYPERLINK("#",""), HYPERLINK(CONCATENATE("#Metadata!", ADDRESS(INDEX($L$2:$L$1001,MATCH(ROWS($J$2:J458),$J$2:$J$1001,0),0), INDEX($Q$1004:$U$1004,1,MATCH(COLUMNS($Q$1006:U1006),$Q$1006:$U$1006,0)))),"Fix")))</f>
        <v xml:space="preserve"> </v>
      </c>
      <c r="J458">
        <f ca="1"/>
        <v>457</v>
      </c>
      <c r="K458">
        <v>100458</v>
      </c>
      <c r="L458">
        <v>458</v>
      </c>
      <c r="M458" t="b">
        <f t="shared" si="7"/>
        <v>1</v>
      </c>
      <c r="N458" t="b">
        <f>COUNTBLANK(Metadata!B458:F458)=COLUMNS(Metadata!B458:F458)</f>
        <v>1</v>
      </c>
      <c r="O458" t="str">
        <v/>
      </c>
      <c r="Q458" t="b">
        <f ca="1"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R458" t="b">
        <f>IF(Metadata!C458="",FALSE,TRUE)</f>
        <v>0</v>
      </c>
      <c r="S458" t="b">
        <f>OR(AND(IF(Metadata!D458="",FALSE,TRUE),EXACT(Metadata!D458,"missing: not collected")),AND(IF(Metadata!D458="",FALSE,TRUE),OR(EXACT(Metadata!D458,"t"),EXACT(Metadata!D458,"f"))))</f>
        <v>0</v>
      </c>
      <c r="T458" t="b">
        <f>AND(IF(Metadata!E458="",FALSE,TRUE),OR(EXACT(Metadata!E458,"a"),EXACT(Metadata!E458,"b")))</f>
        <v>0</v>
      </c>
      <c r="U458" t="b">
        <f>OR(AND(IF(Metadata!F458="",FALSE,TRUE),OR(EXACT(Metadata!F458,"missing: not collected"),EXACT(Metadata!F458,"missing: not provided"))),AND(IF(Metadata!F458="",FALSE,TRUE),OR(EXACT(Metadata!F458,"lo"),EXACT(Metadata!F458,"med"),EXACT(Metadata!F458,"hi"))))</f>
        <v>0</v>
      </c>
    </row>
    <row r="459" spans="1:21" x14ac:dyDescent="0.2">
      <c r="A459" s="4" t="str">
        <f ca="1">IF(B459=" "," ",HYPERLINK(CONCATENATE("#metadata!",ADDRESS(INDEX($L$2:$L$1001,MATCH(ROWS($J$2:J459),$J$2:$J$1001,0),0),1)),INDEX($O$2:$O$1001,MATCH(ROWS($J$2:J459),$J$2:$J$1001,0),0)))</f>
        <v xml:space="preserve"> </v>
      </c>
      <c r="B459" s="3" t="str">
        <f ca="1">IF(OR(INDEX($K$2:$K$1001,MATCH(ROWS($J$2:J459),$J$2:$J$1001,0),1)&gt;=100000,INDEX($Q$1005:$U$1005,1,MATCH(COLUMNS($Q$1006:Q1006),$Q$1006:$U$1006,0))&gt;=100000), " ",IF(INDEX($Q$2:$U$1001,MATCH(ROWS($J$2:J459),$J$2:$J$1001,0),MATCH(COLUMNS($Q$1006:Q1006),$Q$1006:$U$1006,0)), HYPERLINK("#",""), HYPERLINK(CONCATENATE("#Metadata!", ADDRESS(INDEX($L$2:$L$1001,MATCH(ROWS($J$2:J459),$J$2:$J$1001,0),0), INDEX($Q$1004:$U$1004,1,MATCH(COLUMNS($Q$1006:Q1006),$Q$1006:$U$1006,0)))),"Fix")))</f>
        <v xml:space="preserve"> </v>
      </c>
      <c r="C459" s="3" t="str">
        <f ca="1">IF(OR(INDEX($K$2:$K$1001,MATCH(ROWS($J$2:J459),$J$2:$J$1001,0),1)&gt;=100000,INDEX($Q$1005:$U$1005,1,MATCH(COLUMNS($Q$1006:R1006),$Q$1006:$U$1006,0))&gt;=100000), " ",IF(INDEX($Q$2:$U$1001,MATCH(ROWS($J$2:J459),$J$2:$J$1001,0),MATCH(COLUMNS($Q$1006:R1006),$Q$1006:$U$1006,0)), HYPERLINK("#",""), HYPERLINK(CONCATENATE("#Metadata!", ADDRESS(INDEX($L$2:$L$1001,MATCH(ROWS($J$2:J459),$J$2:$J$1001,0),0), INDEX($Q$1004:$U$1004,1,MATCH(COLUMNS($Q$1006:R1006),$Q$1006:$U$1006,0)))),"Fix")))</f>
        <v xml:space="preserve"> </v>
      </c>
      <c r="D459" s="3" t="str">
        <f ca="1">IF(OR(INDEX($K$2:$K$1001,MATCH(ROWS($J$2:J459),$J$2:$J$1001,0),1)&gt;=100000,INDEX($Q$1005:$U$1005,1,MATCH(COLUMNS($Q$1006:S1006),$Q$1006:$U$1006,0))&gt;=100000), " ",IF(INDEX($Q$2:$U$1001,MATCH(ROWS($J$2:J459),$J$2:$J$1001,0),MATCH(COLUMNS($Q$1006:S1006),$Q$1006:$U$1006,0)), HYPERLINK("#",""), HYPERLINK(CONCATENATE("#Metadata!", ADDRESS(INDEX($L$2:$L$1001,MATCH(ROWS($J$2:J459),$J$2:$J$1001,0),0), INDEX($Q$1004:$U$1004,1,MATCH(COLUMNS($Q$1006:S1006),$Q$1006:$U$1006,0)))),"Fix")))</f>
        <v xml:space="preserve"> </v>
      </c>
      <c r="E459" s="3" t="str">
        <f ca="1">IF(OR(INDEX($K$2:$K$1001,MATCH(ROWS($J$2:J459),$J$2:$J$1001,0),1)&gt;=100000,INDEX($Q$1005:$U$1005,1,MATCH(COLUMNS($Q$1006:T1006),$Q$1006:$U$1006,0))&gt;=100000), " ",IF(INDEX($Q$2:$U$1001,MATCH(ROWS($J$2:J459),$J$2:$J$1001,0),MATCH(COLUMNS($Q$1006:T1006),$Q$1006:$U$1006,0)), HYPERLINK("#",""), HYPERLINK(CONCATENATE("#Metadata!", ADDRESS(INDEX($L$2:$L$1001,MATCH(ROWS($J$2:J459),$J$2:$J$1001,0),0), INDEX($Q$1004:$U$1004,1,MATCH(COLUMNS($Q$1006:T1006),$Q$1006:$U$1006,0)))),"Fix")))</f>
        <v xml:space="preserve"> </v>
      </c>
      <c r="F459" s="3" t="str">
        <f ca="1">IF(OR(INDEX($K$2:$K$1001,MATCH(ROWS($J$2:J459),$J$2:$J$1001,0),1)&gt;=100000,INDEX($Q$1005:$U$1005,1,MATCH(COLUMNS($Q$1006:U1006),$Q$1006:$U$1006,0))&gt;=100000), " ",IF(INDEX($Q$2:$U$1001,MATCH(ROWS($J$2:J459),$J$2:$J$1001,0),MATCH(COLUMNS($Q$1006:U1006),$Q$1006:$U$1006,0)), HYPERLINK("#",""), HYPERLINK(CONCATENATE("#Metadata!", ADDRESS(INDEX($L$2:$L$1001,MATCH(ROWS($J$2:J459),$J$2:$J$1001,0),0), INDEX($Q$1004:$U$1004,1,MATCH(COLUMNS($Q$1006:U1006),$Q$1006:$U$1006,0)))),"Fix")))</f>
        <v xml:space="preserve"> </v>
      </c>
      <c r="J459">
        <f ca="1"/>
        <v>458</v>
      </c>
      <c r="K459">
        <v>100459</v>
      </c>
      <c r="L459">
        <v>459</v>
      </c>
      <c r="M459" t="b">
        <f t="shared" si="7"/>
        <v>1</v>
      </c>
      <c r="N459" t="b">
        <f>COUNTBLANK(Metadata!B459:F459)=COLUMNS(Metadata!B459:F459)</f>
        <v>1</v>
      </c>
      <c r="O459" t="str">
        <v/>
      </c>
      <c r="Q459" t="b">
        <f ca="1"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R459" t="b">
        <f>IF(Metadata!C459="",FALSE,TRUE)</f>
        <v>0</v>
      </c>
      <c r="S459" t="b">
        <f>OR(AND(IF(Metadata!D459="",FALSE,TRUE),EXACT(Metadata!D459,"missing: not collected")),AND(IF(Metadata!D459="",FALSE,TRUE),OR(EXACT(Metadata!D459,"t"),EXACT(Metadata!D459,"f"))))</f>
        <v>0</v>
      </c>
      <c r="T459" t="b">
        <f>AND(IF(Metadata!E459="",FALSE,TRUE),OR(EXACT(Metadata!E459,"a"),EXACT(Metadata!E459,"b")))</f>
        <v>0</v>
      </c>
      <c r="U459" t="b">
        <f>OR(AND(IF(Metadata!F459="",FALSE,TRUE),OR(EXACT(Metadata!F459,"missing: not collected"),EXACT(Metadata!F459,"missing: not provided"))),AND(IF(Metadata!F459="",FALSE,TRUE),OR(EXACT(Metadata!F459,"lo"),EXACT(Metadata!F459,"med"),EXACT(Metadata!F459,"hi"))))</f>
        <v>0</v>
      </c>
    </row>
    <row r="460" spans="1:21" x14ac:dyDescent="0.2">
      <c r="A460" s="4" t="str">
        <f ca="1">IF(B460=" "," ",HYPERLINK(CONCATENATE("#metadata!",ADDRESS(INDEX($L$2:$L$1001,MATCH(ROWS($J$2:J460),$J$2:$J$1001,0),0),1)),INDEX($O$2:$O$1001,MATCH(ROWS($J$2:J460),$J$2:$J$1001,0),0)))</f>
        <v xml:space="preserve"> </v>
      </c>
      <c r="B460" s="3" t="str">
        <f ca="1">IF(OR(INDEX($K$2:$K$1001,MATCH(ROWS($J$2:J460),$J$2:$J$1001,0),1)&gt;=100000,INDEX($Q$1005:$U$1005,1,MATCH(COLUMNS($Q$1006:Q1006),$Q$1006:$U$1006,0))&gt;=100000), " ",IF(INDEX($Q$2:$U$1001,MATCH(ROWS($J$2:J460),$J$2:$J$1001,0),MATCH(COLUMNS($Q$1006:Q1006),$Q$1006:$U$1006,0)), HYPERLINK("#",""), HYPERLINK(CONCATENATE("#Metadata!", ADDRESS(INDEX($L$2:$L$1001,MATCH(ROWS($J$2:J460),$J$2:$J$1001,0),0), INDEX($Q$1004:$U$1004,1,MATCH(COLUMNS($Q$1006:Q1006),$Q$1006:$U$1006,0)))),"Fix")))</f>
        <v xml:space="preserve"> </v>
      </c>
      <c r="C460" s="3" t="str">
        <f ca="1">IF(OR(INDEX($K$2:$K$1001,MATCH(ROWS($J$2:J460),$J$2:$J$1001,0),1)&gt;=100000,INDEX($Q$1005:$U$1005,1,MATCH(COLUMNS($Q$1006:R1006),$Q$1006:$U$1006,0))&gt;=100000), " ",IF(INDEX($Q$2:$U$1001,MATCH(ROWS($J$2:J460),$J$2:$J$1001,0),MATCH(COLUMNS($Q$1006:R1006),$Q$1006:$U$1006,0)), HYPERLINK("#",""), HYPERLINK(CONCATENATE("#Metadata!", ADDRESS(INDEX($L$2:$L$1001,MATCH(ROWS($J$2:J460),$J$2:$J$1001,0),0), INDEX($Q$1004:$U$1004,1,MATCH(COLUMNS($Q$1006:R1006),$Q$1006:$U$1006,0)))),"Fix")))</f>
        <v xml:space="preserve"> </v>
      </c>
      <c r="D460" s="3" t="str">
        <f ca="1">IF(OR(INDEX($K$2:$K$1001,MATCH(ROWS($J$2:J460),$J$2:$J$1001,0),1)&gt;=100000,INDEX($Q$1005:$U$1005,1,MATCH(COLUMNS($Q$1006:S1006),$Q$1006:$U$1006,0))&gt;=100000), " ",IF(INDEX($Q$2:$U$1001,MATCH(ROWS($J$2:J460),$J$2:$J$1001,0),MATCH(COLUMNS($Q$1006:S1006),$Q$1006:$U$1006,0)), HYPERLINK("#",""), HYPERLINK(CONCATENATE("#Metadata!", ADDRESS(INDEX($L$2:$L$1001,MATCH(ROWS($J$2:J460),$J$2:$J$1001,0),0), INDEX($Q$1004:$U$1004,1,MATCH(COLUMNS($Q$1006:S1006),$Q$1006:$U$1006,0)))),"Fix")))</f>
        <v xml:space="preserve"> </v>
      </c>
      <c r="E460" s="3" t="str">
        <f ca="1">IF(OR(INDEX($K$2:$K$1001,MATCH(ROWS($J$2:J460),$J$2:$J$1001,0),1)&gt;=100000,INDEX($Q$1005:$U$1005,1,MATCH(COLUMNS($Q$1006:T1006),$Q$1006:$U$1006,0))&gt;=100000), " ",IF(INDEX($Q$2:$U$1001,MATCH(ROWS($J$2:J460),$J$2:$J$1001,0),MATCH(COLUMNS($Q$1006:T1006),$Q$1006:$U$1006,0)), HYPERLINK("#",""), HYPERLINK(CONCATENATE("#Metadata!", ADDRESS(INDEX($L$2:$L$1001,MATCH(ROWS($J$2:J460),$J$2:$J$1001,0),0), INDEX($Q$1004:$U$1004,1,MATCH(COLUMNS($Q$1006:T1006),$Q$1006:$U$1006,0)))),"Fix")))</f>
        <v xml:space="preserve"> </v>
      </c>
      <c r="F460" s="3" t="str">
        <f ca="1">IF(OR(INDEX($K$2:$K$1001,MATCH(ROWS($J$2:J460),$J$2:$J$1001,0),1)&gt;=100000,INDEX($Q$1005:$U$1005,1,MATCH(COLUMNS($Q$1006:U1006),$Q$1006:$U$1006,0))&gt;=100000), " ",IF(INDEX($Q$2:$U$1001,MATCH(ROWS($J$2:J460),$J$2:$J$1001,0),MATCH(COLUMNS($Q$1006:U1006),$Q$1006:$U$1006,0)), HYPERLINK("#",""), HYPERLINK(CONCATENATE("#Metadata!", ADDRESS(INDEX($L$2:$L$1001,MATCH(ROWS($J$2:J460),$J$2:$J$1001,0),0), INDEX($Q$1004:$U$1004,1,MATCH(COLUMNS($Q$1006:U1006),$Q$1006:$U$1006,0)))),"Fix")))</f>
        <v xml:space="preserve"> </v>
      </c>
      <c r="J460">
        <f ca="1"/>
        <v>459</v>
      </c>
      <c r="K460">
        <v>100460</v>
      </c>
      <c r="L460">
        <v>460</v>
      </c>
      <c r="M460" t="b">
        <f t="shared" si="7"/>
        <v>1</v>
      </c>
      <c r="N460" t="b">
        <f>COUNTBLANK(Metadata!B460:F460)=COLUMNS(Metadata!B460:F460)</f>
        <v>1</v>
      </c>
      <c r="O460" t="str">
        <v/>
      </c>
      <c r="Q460" t="b">
        <f ca="1"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R460" t="b">
        <f>IF(Metadata!C460="",FALSE,TRUE)</f>
        <v>0</v>
      </c>
      <c r="S460" t="b">
        <f>OR(AND(IF(Metadata!D460="",FALSE,TRUE),EXACT(Metadata!D460,"missing: not collected")),AND(IF(Metadata!D460="",FALSE,TRUE),OR(EXACT(Metadata!D460,"t"),EXACT(Metadata!D460,"f"))))</f>
        <v>0</v>
      </c>
      <c r="T460" t="b">
        <f>AND(IF(Metadata!E460="",FALSE,TRUE),OR(EXACT(Metadata!E460,"a"),EXACT(Metadata!E460,"b")))</f>
        <v>0</v>
      </c>
      <c r="U460" t="b">
        <f>OR(AND(IF(Metadata!F460="",FALSE,TRUE),OR(EXACT(Metadata!F460,"missing: not collected"),EXACT(Metadata!F460,"missing: not provided"))),AND(IF(Metadata!F460="",FALSE,TRUE),OR(EXACT(Metadata!F460,"lo"),EXACT(Metadata!F460,"med"),EXACT(Metadata!F460,"hi"))))</f>
        <v>0</v>
      </c>
    </row>
    <row r="461" spans="1:21" x14ac:dyDescent="0.2">
      <c r="A461" s="4" t="str">
        <f ca="1">IF(B461=" "," ",HYPERLINK(CONCATENATE("#metadata!",ADDRESS(INDEX($L$2:$L$1001,MATCH(ROWS($J$2:J461),$J$2:$J$1001,0),0),1)),INDEX($O$2:$O$1001,MATCH(ROWS($J$2:J461),$J$2:$J$1001,0),0)))</f>
        <v xml:space="preserve"> </v>
      </c>
      <c r="B461" s="3" t="str">
        <f ca="1">IF(OR(INDEX($K$2:$K$1001,MATCH(ROWS($J$2:J461),$J$2:$J$1001,0),1)&gt;=100000,INDEX($Q$1005:$U$1005,1,MATCH(COLUMNS($Q$1006:Q1006),$Q$1006:$U$1006,0))&gt;=100000), " ",IF(INDEX($Q$2:$U$1001,MATCH(ROWS($J$2:J461),$J$2:$J$1001,0),MATCH(COLUMNS($Q$1006:Q1006),$Q$1006:$U$1006,0)), HYPERLINK("#",""), HYPERLINK(CONCATENATE("#Metadata!", ADDRESS(INDEX($L$2:$L$1001,MATCH(ROWS($J$2:J461),$J$2:$J$1001,0),0), INDEX($Q$1004:$U$1004,1,MATCH(COLUMNS($Q$1006:Q1006),$Q$1006:$U$1006,0)))),"Fix")))</f>
        <v xml:space="preserve"> </v>
      </c>
      <c r="C461" s="3" t="str">
        <f ca="1">IF(OR(INDEX($K$2:$K$1001,MATCH(ROWS($J$2:J461),$J$2:$J$1001,0),1)&gt;=100000,INDEX($Q$1005:$U$1005,1,MATCH(COLUMNS($Q$1006:R1006),$Q$1006:$U$1006,0))&gt;=100000), " ",IF(INDEX($Q$2:$U$1001,MATCH(ROWS($J$2:J461),$J$2:$J$1001,0),MATCH(COLUMNS($Q$1006:R1006),$Q$1006:$U$1006,0)), HYPERLINK("#",""), HYPERLINK(CONCATENATE("#Metadata!", ADDRESS(INDEX($L$2:$L$1001,MATCH(ROWS($J$2:J461),$J$2:$J$1001,0),0), INDEX($Q$1004:$U$1004,1,MATCH(COLUMNS($Q$1006:R1006),$Q$1006:$U$1006,0)))),"Fix")))</f>
        <v xml:space="preserve"> </v>
      </c>
      <c r="D461" s="3" t="str">
        <f ca="1">IF(OR(INDEX($K$2:$K$1001,MATCH(ROWS($J$2:J461),$J$2:$J$1001,0),1)&gt;=100000,INDEX($Q$1005:$U$1005,1,MATCH(COLUMNS($Q$1006:S1006),$Q$1006:$U$1006,0))&gt;=100000), " ",IF(INDEX($Q$2:$U$1001,MATCH(ROWS($J$2:J461),$J$2:$J$1001,0),MATCH(COLUMNS($Q$1006:S1006),$Q$1006:$U$1006,0)), HYPERLINK("#",""), HYPERLINK(CONCATENATE("#Metadata!", ADDRESS(INDEX($L$2:$L$1001,MATCH(ROWS($J$2:J461),$J$2:$J$1001,0),0), INDEX($Q$1004:$U$1004,1,MATCH(COLUMNS($Q$1006:S1006),$Q$1006:$U$1006,0)))),"Fix")))</f>
        <v xml:space="preserve"> </v>
      </c>
      <c r="E461" s="3" t="str">
        <f ca="1">IF(OR(INDEX($K$2:$K$1001,MATCH(ROWS($J$2:J461),$J$2:$J$1001,0),1)&gt;=100000,INDEX($Q$1005:$U$1005,1,MATCH(COLUMNS($Q$1006:T1006),$Q$1006:$U$1006,0))&gt;=100000), " ",IF(INDEX($Q$2:$U$1001,MATCH(ROWS($J$2:J461),$J$2:$J$1001,0),MATCH(COLUMNS($Q$1006:T1006),$Q$1006:$U$1006,0)), HYPERLINK("#",""), HYPERLINK(CONCATENATE("#Metadata!", ADDRESS(INDEX($L$2:$L$1001,MATCH(ROWS($J$2:J461),$J$2:$J$1001,0),0), INDEX($Q$1004:$U$1004,1,MATCH(COLUMNS($Q$1006:T1006),$Q$1006:$U$1006,0)))),"Fix")))</f>
        <v xml:space="preserve"> </v>
      </c>
      <c r="F461" s="3" t="str">
        <f ca="1">IF(OR(INDEX($K$2:$K$1001,MATCH(ROWS($J$2:J461),$J$2:$J$1001,0),1)&gt;=100000,INDEX($Q$1005:$U$1005,1,MATCH(COLUMNS($Q$1006:U1006),$Q$1006:$U$1006,0))&gt;=100000), " ",IF(INDEX($Q$2:$U$1001,MATCH(ROWS($J$2:J461),$J$2:$J$1001,0),MATCH(COLUMNS($Q$1006:U1006),$Q$1006:$U$1006,0)), HYPERLINK("#",""), HYPERLINK(CONCATENATE("#Metadata!", ADDRESS(INDEX($L$2:$L$1001,MATCH(ROWS($J$2:J461),$J$2:$J$1001,0),0), INDEX($Q$1004:$U$1004,1,MATCH(COLUMNS($Q$1006:U1006),$Q$1006:$U$1006,0)))),"Fix")))</f>
        <v xml:space="preserve"> </v>
      </c>
      <c r="J461">
        <f ca="1"/>
        <v>460</v>
      </c>
      <c r="K461">
        <v>100461</v>
      </c>
      <c r="L461">
        <v>461</v>
      </c>
      <c r="M461" t="b">
        <f t="shared" si="7"/>
        <v>1</v>
      </c>
      <c r="N461" t="b">
        <f>COUNTBLANK(Metadata!B461:F461)=COLUMNS(Metadata!B461:F461)</f>
        <v>1</v>
      </c>
      <c r="O461" t="str">
        <v/>
      </c>
      <c r="Q461" t="b">
        <f ca="1"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R461" t="b">
        <f>IF(Metadata!C461="",FALSE,TRUE)</f>
        <v>0</v>
      </c>
      <c r="S461" t="b">
        <f>OR(AND(IF(Metadata!D461="",FALSE,TRUE),EXACT(Metadata!D461,"missing: not collected")),AND(IF(Metadata!D461="",FALSE,TRUE),OR(EXACT(Metadata!D461,"t"),EXACT(Metadata!D461,"f"))))</f>
        <v>0</v>
      </c>
      <c r="T461" t="b">
        <f>AND(IF(Metadata!E461="",FALSE,TRUE),OR(EXACT(Metadata!E461,"a"),EXACT(Metadata!E461,"b")))</f>
        <v>0</v>
      </c>
      <c r="U461" t="b">
        <f>OR(AND(IF(Metadata!F461="",FALSE,TRUE),OR(EXACT(Metadata!F461,"missing: not collected"),EXACT(Metadata!F461,"missing: not provided"))),AND(IF(Metadata!F461="",FALSE,TRUE),OR(EXACT(Metadata!F461,"lo"),EXACT(Metadata!F461,"med"),EXACT(Metadata!F461,"hi"))))</f>
        <v>0</v>
      </c>
    </row>
    <row r="462" spans="1:21" x14ac:dyDescent="0.2">
      <c r="A462" s="4" t="str">
        <f ca="1">IF(B462=" "," ",HYPERLINK(CONCATENATE("#metadata!",ADDRESS(INDEX($L$2:$L$1001,MATCH(ROWS($J$2:J462),$J$2:$J$1001,0),0),1)),INDEX($O$2:$O$1001,MATCH(ROWS($J$2:J462),$J$2:$J$1001,0),0)))</f>
        <v xml:space="preserve"> </v>
      </c>
      <c r="B462" s="3" t="str">
        <f ca="1">IF(OR(INDEX($K$2:$K$1001,MATCH(ROWS($J$2:J462),$J$2:$J$1001,0),1)&gt;=100000,INDEX($Q$1005:$U$1005,1,MATCH(COLUMNS($Q$1006:Q1006),$Q$1006:$U$1006,0))&gt;=100000), " ",IF(INDEX($Q$2:$U$1001,MATCH(ROWS($J$2:J462),$J$2:$J$1001,0),MATCH(COLUMNS($Q$1006:Q1006),$Q$1006:$U$1006,0)), HYPERLINK("#",""), HYPERLINK(CONCATENATE("#Metadata!", ADDRESS(INDEX($L$2:$L$1001,MATCH(ROWS($J$2:J462),$J$2:$J$1001,0),0), INDEX($Q$1004:$U$1004,1,MATCH(COLUMNS($Q$1006:Q1006),$Q$1006:$U$1006,0)))),"Fix")))</f>
        <v xml:space="preserve"> </v>
      </c>
      <c r="C462" s="3" t="str">
        <f ca="1">IF(OR(INDEX($K$2:$K$1001,MATCH(ROWS($J$2:J462),$J$2:$J$1001,0),1)&gt;=100000,INDEX($Q$1005:$U$1005,1,MATCH(COLUMNS($Q$1006:R1006),$Q$1006:$U$1006,0))&gt;=100000), " ",IF(INDEX($Q$2:$U$1001,MATCH(ROWS($J$2:J462),$J$2:$J$1001,0),MATCH(COLUMNS($Q$1006:R1006),$Q$1006:$U$1006,0)), HYPERLINK("#",""), HYPERLINK(CONCATENATE("#Metadata!", ADDRESS(INDEX($L$2:$L$1001,MATCH(ROWS($J$2:J462),$J$2:$J$1001,0),0), INDEX($Q$1004:$U$1004,1,MATCH(COLUMNS($Q$1006:R1006),$Q$1006:$U$1006,0)))),"Fix")))</f>
        <v xml:space="preserve"> </v>
      </c>
      <c r="D462" s="3" t="str">
        <f ca="1">IF(OR(INDEX($K$2:$K$1001,MATCH(ROWS($J$2:J462),$J$2:$J$1001,0),1)&gt;=100000,INDEX($Q$1005:$U$1005,1,MATCH(COLUMNS($Q$1006:S1006),$Q$1006:$U$1006,0))&gt;=100000), " ",IF(INDEX($Q$2:$U$1001,MATCH(ROWS($J$2:J462),$J$2:$J$1001,0),MATCH(COLUMNS($Q$1006:S1006),$Q$1006:$U$1006,0)), HYPERLINK("#",""), HYPERLINK(CONCATENATE("#Metadata!", ADDRESS(INDEX($L$2:$L$1001,MATCH(ROWS($J$2:J462),$J$2:$J$1001,0),0), INDEX($Q$1004:$U$1004,1,MATCH(COLUMNS($Q$1006:S1006),$Q$1006:$U$1006,0)))),"Fix")))</f>
        <v xml:space="preserve"> </v>
      </c>
      <c r="E462" s="3" t="str">
        <f ca="1">IF(OR(INDEX($K$2:$K$1001,MATCH(ROWS($J$2:J462),$J$2:$J$1001,0),1)&gt;=100000,INDEX($Q$1005:$U$1005,1,MATCH(COLUMNS($Q$1006:T1006),$Q$1006:$U$1006,0))&gt;=100000), " ",IF(INDEX($Q$2:$U$1001,MATCH(ROWS($J$2:J462),$J$2:$J$1001,0),MATCH(COLUMNS($Q$1006:T1006),$Q$1006:$U$1006,0)), HYPERLINK("#",""), HYPERLINK(CONCATENATE("#Metadata!", ADDRESS(INDEX($L$2:$L$1001,MATCH(ROWS($J$2:J462),$J$2:$J$1001,0),0), INDEX($Q$1004:$U$1004,1,MATCH(COLUMNS($Q$1006:T1006),$Q$1006:$U$1006,0)))),"Fix")))</f>
        <v xml:space="preserve"> </v>
      </c>
      <c r="F462" s="3" t="str">
        <f ca="1">IF(OR(INDEX($K$2:$K$1001,MATCH(ROWS($J$2:J462),$J$2:$J$1001,0),1)&gt;=100000,INDEX($Q$1005:$U$1005,1,MATCH(COLUMNS($Q$1006:U1006),$Q$1006:$U$1006,0))&gt;=100000), " ",IF(INDEX($Q$2:$U$1001,MATCH(ROWS($J$2:J462),$J$2:$J$1001,0),MATCH(COLUMNS($Q$1006:U1006),$Q$1006:$U$1006,0)), HYPERLINK("#",""), HYPERLINK(CONCATENATE("#Metadata!", ADDRESS(INDEX($L$2:$L$1001,MATCH(ROWS($J$2:J462),$J$2:$J$1001,0),0), INDEX($Q$1004:$U$1004,1,MATCH(COLUMNS($Q$1006:U1006),$Q$1006:$U$1006,0)))),"Fix")))</f>
        <v xml:space="preserve"> </v>
      </c>
      <c r="J462">
        <f ca="1"/>
        <v>461</v>
      </c>
      <c r="K462">
        <v>100462</v>
      </c>
      <c r="L462">
        <v>462</v>
      </c>
      <c r="M462" t="b">
        <f t="shared" si="7"/>
        <v>1</v>
      </c>
      <c r="N462" t="b">
        <f>COUNTBLANK(Metadata!B462:F462)=COLUMNS(Metadata!B462:F462)</f>
        <v>1</v>
      </c>
      <c r="O462" t="str">
        <v/>
      </c>
      <c r="Q462" t="b">
        <f ca="1"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R462" t="b">
        <f>IF(Metadata!C462="",FALSE,TRUE)</f>
        <v>0</v>
      </c>
      <c r="S462" t="b">
        <f>OR(AND(IF(Metadata!D462="",FALSE,TRUE),EXACT(Metadata!D462,"missing: not collected")),AND(IF(Metadata!D462="",FALSE,TRUE),OR(EXACT(Metadata!D462,"t"),EXACT(Metadata!D462,"f"))))</f>
        <v>0</v>
      </c>
      <c r="T462" t="b">
        <f>AND(IF(Metadata!E462="",FALSE,TRUE),OR(EXACT(Metadata!E462,"a"),EXACT(Metadata!E462,"b")))</f>
        <v>0</v>
      </c>
      <c r="U462" t="b">
        <f>OR(AND(IF(Metadata!F462="",FALSE,TRUE),OR(EXACT(Metadata!F462,"missing: not collected"),EXACT(Metadata!F462,"missing: not provided"))),AND(IF(Metadata!F462="",FALSE,TRUE),OR(EXACT(Metadata!F462,"lo"),EXACT(Metadata!F462,"med"),EXACT(Metadata!F462,"hi"))))</f>
        <v>0</v>
      </c>
    </row>
    <row r="463" spans="1:21" x14ac:dyDescent="0.2">
      <c r="A463" s="4" t="str">
        <f ca="1">IF(B463=" "," ",HYPERLINK(CONCATENATE("#metadata!",ADDRESS(INDEX($L$2:$L$1001,MATCH(ROWS($J$2:J463),$J$2:$J$1001,0),0),1)),INDEX($O$2:$O$1001,MATCH(ROWS($J$2:J463),$J$2:$J$1001,0),0)))</f>
        <v xml:space="preserve"> </v>
      </c>
      <c r="B463" s="3" t="str">
        <f ca="1">IF(OR(INDEX($K$2:$K$1001,MATCH(ROWS($J$2:J463),$J$2:$J$1001,0),1)&gt;=100000,INDEX($Q$1005:$U$1005,1,MATCH(COLUMNS($Q$1006:Q1006),$Q$1006:$U$1006,0))&gt;=100000), " ",IF(INDEX($Q$2:$U$1001,MATCH(ROWS($J$2:J463),$J$2:$J$1001,0),MATCH(COLUMNS($Q$1006:Q1006),$Q$1006:$U$1006,0)), HYPERLINK("#",""), HYPERLINK(CONCATENATE("#Metadata!", ADDRESS(INDEX($L$2:$L$1001,MATCH(ROWS($J$2:J463),$J$2:$J$1001,0),0), INDEX($Q$1004:$U$1004,1,MATCH(COLUMNS($Q$1006:Q1006),$Q$1006:$U$1006,0)))),"Fix")))</f>
        <v xml:space="preserve"> </v>
      </c>
      <c r="C463" s="3" t="str">
        <f ca="1">IF(OR(INDEX($K$2:$K$1001,MATCH(ROWS($J$2:J463),$J$2:$J$1001,0),1)&gt;=100000,INDEX($Q$1005:$U$1005,1,MATCH(COLUMNS($Q$1006:R1006),$Q$1006:$U$1006,0))&gt;=100000), " ",IF(INDEX($Q$2:$U$1001,MATCH(ROWS($J$2:J463),$J$2:$J$1001,0),MATCH(COLUMNS($Q$1006:R1006),$Q$1006:$U$1006,0)), HYPERLINK("#",""), HYPERLINK(CONCATENATE("#Metadata!", ADDRESS(INDEX($L$2:$L$1001,MATCH(ROWS($J$2:J463),$J$2:$J$1001,0),0), INDEX($Q$1004:$U$1004,1,MATCH(COLUMNS($Q$1006:R1006),$Q$1006:$U$1006,0)))),"Fix")))</f>
        <v xml:space="preserve"> </v>
      </c>
      <c r="D463" s="3" t="str">
        <f ca="1">IF(OR(INDEX($K$2:$K$1001,MATCH(ROWS($J$2:J463),$J$2:$J$1001,0),1)&gt;=100000,INDEX($Q$1005:$U$1005,1,MATCH(COLUMNS($Q$1006:S1006),$Q$1006:$U$1006,0))&gt;=100000), " ",IF(INDEX($Q$2:$U$1001,MATCH(ROWS($J$2:J463),$J$2:$J$1001,0),MATCH(COLUMNS($Q$1006:S1006),$Q$1006:$U$1006,0)), HYPERLINK("#",""), HYPERLINK(CONCATENATE("#Metadata!", ADDRESS(INDEX($L$2:$L$1001,MATCH(ROWS($J$2:J463),$J$2:$J$1001,0),0), INDEX($Q$1004:$U$1004,1,MATCH(COLUMNS($Q$1006:S1006),$Q$1006:$U$1006,0)))),"Fix")))</f>
        <v xml:space="preserve"> </v>
      </c>
      <c r="E463" s="3" t="str">
        <f ca="1">IF(OR(INDEX($K$2:$K$1001,MATCH(ROWS($J$2:J463),$J$2:$J$1001,0),1)&gt;=100000,INDEX($Q$1005:$U$1005,1,MATCH(COLUMNS($Q$1006:T1006),$Q$1006:$U$1006,0))&gt;=100000), " ",IF(INDEX($Q$2:$U$1001,MATCH(ROWS($J$2:J463),$J$2:$J$1001,0),MATCH(COLUMNS($Q$1006:T1006),$Q$1006:$U$1006,0)), HYPERLINK("#",""), HYPERLINK(CONCATENATE("#Metadata!", ADDRESS(INDEX($L$2:$L$1001,MATCH(ROWS($J$2:J463),$J$2:$J$1001,0),0), INDEX($Q$1004:$U$1004,1,MATCH(COLUMNS($Q$1006:T1006),$Q$1006:$U$1006,0)))),"Fix")))</f>
        <v xml:space="preserve"> </v>
      </c>
      <c r="F463" s="3" t="str">
        <f ca="1">IF(OR(INDEX($K$2:$K$1001,MATCH(ROWS($J$2:J463),$J$2:$J$1001,0),1)&gt;=100000,INDEX($Q$1005:$U$1005,1,MATCH(COLUMNS($Q$1006:U1006),$Q$1006:$U$1006,0))&gt;=100000), " ",IF(INDEX($Q$2:$U$1001,MATCH(ROWS($J$2:J463),$J$2:$J$1001,0),MATCH(COLUMNS($Q$1006:U1006),$Q$1006:$U$1006,0)), HYPERLINK("#",""), HYPERLINK(CONCATENATE("#Metadata!", ADDRESS(INDEX($L$2:$L$1001,MATCH(ROWS($J$2:J463),$J$2:$J$1001,0),0), INDEX($Q$1004:$U$1004,1,MATCH(COLUMNS($Q$1006:U1006),$Q$1006:$U$1006,0)))),"Fix")))</f>
        <v xml:space="preserve"> </v>
      </c>
      <c r="J463">
        <f ca="1"/>
        <v>462</v>
      </c>
      <c r="K463">
        <v>100463</v>
      </c>
      <c r="L463">
        <v>463</v>
      </c>
      <c r="M463" t="b">
        <f t="shared" si="7"/>
        <v>1</v>
      </c>
      <c r="N463" t="b">
        <f>COUNTBLANK(Metadata!B463:F463)=COLUMNS(Metadata!B463:F463)</f>
        <v>1</v>
      </c>
      <c r="O463" t="str">
        <v/>
      </c>
      <c r="Q463" t="b">
        <f ca="1"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R463" t="b">
        <f>IF(Metadata!C463="",FALSE,TRUE)</f>
        <v>0</v>
      </c>
      <c r="S463" t="b">
        <f>OR(AND(IF(Metadata!D463="",FALSE,TRUE),EXACT(Metadata!D463,"missing: not collected")),AND(IF(Metadata!D463="",FALSE,TRUE),OR(EXACT(Metadata!D463,"t"),EXACT(Metadata!D463,"f"))))</f>
        <v>0</v>
      </c>
      <c r="T463" t="b">
        <f>AND(IF(Metadata!E463="",FALSE,TRUE),OR(EXACT(Metadata!E463,"a"),EXACT(Metadata!E463,"b")))</f>
        <v>0</v>
      </c>
      <c r="U463" t="b">
        <f>OR(AND(IF(Metadata!F463="",FALSE,TRUE),OR(EXACT(Metadata!F463,"missing: not collected"),EXACT(Metadata!F463,"missing: not provided"))),AND(IF(Metadata!F463="",FALSE,TRUE),OR(EXACT(Metadata!F463,"lo"),EXACT(Metadata!F463,"med"),EXACT(Metadata!F463,"hi"))))</f>
        <v>0</v>
      </c>
    </row>
    <row r="464" spans="1:21" x14ac:dyDescent="0.2">
      <c r="A464" s="4" t="str">
        <f ca="1">IF(B464=" "," ",HYPERLINK(CONCATENATE("#metadata!",ADDRESS(INDEX($L$2:$L$1001,MATCH(ROWS($J$2:J464),$J$2:$J$1001,0),0),1)),INDEX($O$2:$O$1001,MATCH(ROWS($J$2:J464),$J$2:$J$1001,0),0)))</f>
        <v xml:space="preserve"> </v>
      </c>
      <c r="B464" s="3" t="str">
        <f ca="1">IF(OR(INDEX($K$2:$K$1001,MATCH(ROWS($J$2:J464),$J$2:$J$1001,0),1)&gt;=100000,INDEX($Q$1005:$U$1005,1,MATCH(COLUMNS($Q$1006:Q1006),$Q$1006:$U$1006,0))&gt;=100000), " ",IF(INDEX($Q$2:$U$1001,MATCH(ROWS($J$2:J464),$J$2:$J$1001,0),MATCH(COLUMNS($Q$1006:Q1006),$Q$1006:$U$1006,0)), HYPERLINK("#",""), HYPERLINK(CONCATENATE("#Metadata!", ADDRESS(INDEX($L$2:$L$1001,MATCH(ROWS($J$2:J464),$J$2:$J$1001,0),0), INDEX($Q$1004:$U$1004,1,MATCH(COLUMNS($Q$1006:Q1006),$Q$1006:$U$1006,0)))),"Fix")))</f>
        <v xml:space="preserve"> </v>
      </c>
      <c r="C464" s="3" t="str">
        <f ca="1">IF(OR(INDEX($K$2:$K$1001,MATCH(ROWS($J$2:J464),$J$2:$J$1001,0),1)&gt;=100000,INDEX($Q$1005:$U$1005,1,MATCH(COLUMNS($Q$1006:R1006),$Q$1006:$U$1006,0))&gt;=100000), " ",IF(INDEX($Q$2:$U$1001,MATCH(ROWS($J$2:J464),$J$2:$J$1001,0),MATCH(COLUMNS($Q$1006:R1006),$Q$1006:$U$1006,0)), HYPERLINK("#",""), HYPERLINK(CONCATENATE("#Metadata!", ADDRESS(INDEX($L$2:$L$1001,MATCH(ROWS($J$2:J464),$J$2:$J$1001,0),0), INDEX($Q$1004:$U$1004,1,MATCH(COLUMNS($Q$1006:R1006),$Q$1006:$U$1006,0)))),"Fix")))</f>
        <v xml:space="preserve"> </v>
      </c>
      <c r="D464" s="3" t="str">
        <f ca="1">IF(OR(INDEX($K$2:$K$1001,MATCH(ROWS($J$2:J464),$J$2:$J$1001,0),1)&gt;=100000,INDEX($Q$1005:$U$1005,1,MATCH(COLUMNS($Q$1006:S1006),$Q$1006:$U$1006,0))&gt;=100000), " ",IF(INDEX($Q$2:$U$1001,MATCH(ROWS($J$2:J464),$J$2:$J$1001,0),MATCH(COLUMNS($Q$1006:S1006),$Q$1006:$U$1006,0)), HYPERLINK("#",""), HYPERLINK(CONCATENATE("#Metadata!", ADDRESS(INDEX($L$2:$L$1001,MATCH(ROWS($J$2:J464),$J$2:$J$1001,0),0), INDEX($Q$1004:$U$1004,1,MATCH(COLUMNS($Q$1006:S1006),$Q$1006:$U$1006,0)))),"Fix")))</f>
        <v xml:space="preserve"> </v>
      </c>
      <c r="E464" s="3" t="str">
        <f ca="1">IF(OR(INDEX($K$2:$K$1001,MATCH(ROWS($J$2:J464),$J$2:$J$1001,0),1)&gt;=100000,INDEX($Q$1005:$U$1005,1,MATCH(COLUMNS($Q$1006:T1006),$Q$1006:$U$1006,0))&gt;=100000), " ",IF(INDEX($Q$2:$U$1001,MATCH(ROWS($J$2:J464),$J$2:$J$1001,0),MATCH(COLUMNS($Q$1006:T1006),$Q$1006:$U$1006,0)), HYPERLINK("#",""), HYPERLINK(CONCATENATE("#Metadata!", ADDRESS(INDEX($L$2:$L$1001,MATCH(ROWS($J$2:J464),$J$2:$J$1001,0),0), INDEX($Q$1004:$U$1004,1,MATCH(COLUMNS($Q$1006:T1006),$Q$1006:$U$1006,0)))),"Fix")))</f>
        <v xml:space="preserve"> </v>
      </c>
      <c r="F464" s="3" t="str">
        <f ca="1">IF(OR(INDEX($K$2:$K$1001,MATCH(ROWS($J$2:J464),$J$2:$J$1001,0),1)&gt;=100000,INDEX($Q$1005:$U$1005,1,MATCH(COLUMNS($Q$1006:U1006),$Q$1006:$U$1006,0))&gt;=100000), " ",IF(INDEX($Q$2:$U$1001,MATCH(ROWS($J$2:J464),$J$2:$J$1001,0),MATCH(COLUMNS($Q$1006:U1006),$Q$1006:$U$1006,0)), HYPERLINK("#",""), HYPERLINK(CONCATENATE("#Metadata!", ADDRESS(INDEX($L$2:$L$1001,MATCH(ROWS($J$2:J464),$J$2:$J$1001,0),0), INDEX($Q$1004:$U$1004,1,MATCH(COLUMNS($Q$1006:U1006),$Q$1006:$U$1006,0)))),"Fix")))</f>
        <v xml:space="preserve"> </v>
      </c>
      <c r="J464">
        <f ca="1"/>
        <v>463</v>
      </c>
      <c r="K464">
        <v>100464</v>
      </c>
      <c r="L464">
        <v>464</v>
      </c>
      <c r="M464" t="b">
        <f t="shared" si="7"/>
        <v>1</v>
      </c>
      <c r="N464" t="b">
        <f>COUNTBLANK(Metadata!B464:F464)=COLUMNS(Metadata!B464:F464)</f>
        <v>1</v>
      </c>
      <c r="O464" t="str">
        <v/>
      </c>
      <c r="Q464" t="b">
        <f ca="1"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R464" t="b">
        <f>IF(Metadata!C464="",FALSE,TRUE)</f>
        <v>0</v>
      </c>
      <c r="S464" t="b">
        <f>OR(AND(IF(Metadata!D464="",FALSE,TRUE),EXACT(Metadata!D464,"missing: not collected")),AND(IF(Metadata!D464="",FALSE,TRUE),OR(EXACT(Metadata!D464,"t"),EXACT(Metadata!D464,"f"))))</f>
        <v>0</v>
      </c>
      <c r="T464" t="b">
        <f>AND(IF(Metadata!E464="",FALSE,TRUE),OR(EXACT(Metadata!E464,"a"),EXACT(Metadata!E464,"b")))</f>
        <v>0</v>
      </c>
      <c r="U464" t="b">
        <f>OR(AND(IF(Metadata!F464="",FALSE,TRUE),OR(EXACT(Metadata!F464,"missing: not collected"),EXACT(Metadata!F464,"missing: not provided"))),AND(IF(Metadata!F464="",FALSE,TRUE),OR(EXACT(Metadata!F464,"lo"),EXACT(Metadata!F464,"med"),EXACT(Metadata!F464,"hi"))))</f>
        <v>0</v>
      </c>
    </row>
    <row r="465" spans="1:21" x14ac:dyDescent="0.2">
      <c r="A465" s="4" t="str">
        <f ca="1">IF(B465=" "," ",HYPERLINK(CONCATENATE("#metadata!",ADDRESS(INDEX($L$2:$L$1001,MATCH(ROWS($J$2:J465),$J$2:$J$1001,0),0),1)),INDEX($O$2:$O$1001,MATCH(ROWS($J$2:J465),$J$2:$J$1001,0),0)))</f>
        <v xml:space="preserve"> </v>
      </c>
      <c r="B465" s="3" t="str">
        <f ca="1">IF(OR(INDEX($K$2:$K$1001,MATCH(ROWS($J$2:J465),$J$2:$J$1001,0),1)&gt;=100000,INDEX($Q$1005:$U$1005,1,MATCH(COLUMNS($Q$1006:Q1006),$Q$1006:$U$1006,0))&gt;=100000), " ",IF(INDEX($Q$2:$U$1001,MATCH(ROWS($J$2:J465),$J$2:$J$1001,0),MATCH(COLUMNS($Q$1006:Q1006),$Q$1006:$U$1006,0)), HYPERLINK("#",""), HYPERLINK(CONCATENATE("#Metadata!", ADDRESS(INDEX($L$2:$L$1001,MATCH(ROWS($J$2:J465),$J$2:$J$1001,0),0), INDEX($Q$1004:$U$1004,1,MATCH(COLUMNS($Q$1006:Q1006),$Q$1006:$U$1006,0)))),"Fix")))</f>
        <v xml:space="preserve"> </v>
      </c>
      <c r="C465" s="3" t="str">
        <f ca="1">IF(OR(INDEX($K$2:$K$1001,MATCH(ROWS($J$2:J465),$J$2:$J$1001,0),1)&gt;=100000,INDEX($Q$1005:$U$1005,1,MATCH(COLUMNS($Q$1006:R1006),$Q$1006:$U$1006,0))&gt;=100000), " ",IF(INDEX($Q$2:$U$1001,MATCH(ROWS($J$2:J465),$J$2:$J$1001,0),MATCH(COLUMNS($Q$1006:R1006),$Q$1006:$U$1006,0)), HYPERLINK("#",""), HYPERLINK(CONCATENATE("#Metadata!", ADDRESS(INDEX($L$2:$L$1001,MATCH(ROWS($J$2:J465),$J$2:$J$1001,0),0), INDEX($Q$1004:$U$1004,1,MATCH(COLUMNS($Q$1006:R1006),$Q$1006:$U$1006,0)))),"Fix")))</f>
        <v xml:space="preserve"> </v>
      </c>
      <c r="D465" s="3" t="str">
        <f ca="1">IF(OR(INDEX($K$2:$K$1001,MATCH(ROWS($J$2:J465),$J$2:$J$1001,0),1)&gt;=100000,INDEX($Q$1005:$U$1005,1,MATCH(COLUMNS($Q$1006:S1006),$Q$1006:$U$1006,0))&gt;=100000), " ",IF(INDEX($Q$2:$U$1001,MATCH(ROWS($J$2:J465),$J$2:$J$1001,0),MATCH(COLUMNS($Q$1006:S1006),$Q$1006:$U$1006,0)), HYPERLINK("#",""), HYPERLINK(CONCATENATE("#Metadata!", ADDRESS(INDEX($L$2:$L$1001,MATCH(ROWS($J$2:J465),$J$2:$J$1001,0),0), INDEX($Q$1004:$U$1004,1,MATCH(COLUMNS($Q$1006:S1006),$Q$1006:$U$1006,0)))),"Fix")))</f>
        <v xml:space="preserve"> </v>
      </c>
      <c r="E465" s="3" t="str">
        <f ca="1">IF(OR(INDEX($K$2:$K$1001,MATCH(ROWS($J$2:J465),$J$2:$J$1001,0),1)&gt;=100000,INDEX($Q$1005:$U$1005,1,MATCH(COLUMNS($Q$1006:T1006),$Q$1006:$U$1006,0))&gt;=100000), " ",IF(INDEX($Q$2:$U$1001,MATCH(ROWS($J$2:J465),$J$2:$J$1001,0),MATCH(COLUMNS($Q$1006:T1006),$Q$1006:$U$1006,0)), HYPERLINK("#",""), HYPERLINK(CONCATENATE("#Metadata!", ADDRESS(INDEX($L$2:$L$1001,MATCH(ROWS($J$2:J465),$J$2:$J$1001,0),0), INDEX($Q$1004:$U$1004,1,MATCH(COLUMNS($Q$1006:T1006),$Q$1006:$U$1006,0)))),"Fix")))</f>
        <v xml:space="preserve"> </v>
      </c>
      <c r="F465" s="3" t="str">
        <f ca="1">IF(OR(INDEX($K$2:$K$1001,MATCH(ROWS($J$2:J465),$J$2:$J$1001,0),1)&gt;=100000,INDEX($Q$1005:$U$1005,1,MATCH(COLUMNS($Q$1006:U1006),$Q$1006:$U$1006,0))&gt;=100000), " ",IF(INDEX($Q$2:$U$1001,MATCH(ROWS($J$2:J465),$J$2:$J$1001,0),MATCH(COLUMNS($Q$1006:U1006),$Q$1006:$U$1006,0)), HYPERLINK("#",""), HYPERLINK(CONCATENATE("#Metadata!", ADDRESS(INDEX($L$2:$L$1001,MATCH(ROWS($J$2:J465),$J$2:$J$1001,0),0), INDEX($Q$1004:$U$1004,1,MATCH(COLUMNS($Q$1006:U1006),$Q$1006:$U$1006,0)))),"Fix")))</f>
        <v xml:space="preserve"> </v>
      </c>
      <c r="J465">
        <f ca="1"/>
        <v>464</v>
      </c>
      <c r="K465">
        <v>100465</v>
      </c>
      <c r="L465">
        <v>465</v>
      </c>
      <c r="M465" t="b">
        <f t="shared" si="7"/>
        <v>1</v>
      </c>
      <c r="N465" t="b">
        <f>COUNTBLANK(Metadata!B465:F465)=COLUMNS(Metadata!B465:F465)</f>
        <v>1</v>
      </c>
      <c r="O465" t="str">
        <v/>
      </c>
      <c r="Q465" t="b">
        <f ca="1"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R465" t="b">
        <f>IF(Metadata!C465="",FALSE,TRUE)</f>
        <v>0</v>
      </c>
      <c r="S465" t="b">
        <f>OR(AND(IF(Metadata!D465="",FALSE,TRUE),EXACT(Metadata!D465,"missing: not collected")),AND(IF(Metadata!D465="",FALSE,TRUE),OR(EXACT(Metadata!D465,"t"),EXACT(Metadata!D465,"f"))))</f>
        <v>0</v>
      </c>
      <c r="T465" t="b">
        <f>AND(IF(Metadata!E465="",FALSE,TRUE),OR(EXACT(Metadata!E465,"a"),EXACT(Metadata!E465,"b")))</f>
        <v>0</v>
      </c>
      <c r="U465" t="b">
        <f>OR(AND(IF(Metadata!F465="",FALSE,TRUE),OR(EXACT(Metadata!F465,"missing: not collected"),EXACT(Metadata!F465,"missing: not provided"))),AND(IF(Metadata!F465="",FALSE,TRUE),OR(EXACT(Metadata!F465,"lo"),EXACT(Metadata!F465,"med"),EXACT(Metadata!F465,"hi"))))</f>
        <v>0</v>
      </c>
    </row>
    <row r="466" spans="1:21" x14ac:dyDescent="0.2">
      <c r="A466" s="4" t="str">
        <f ca="1">IF(B466=" "," ",HYPERLINK(CONCATENATE("#metadata!",ADDRESS(INDEX($L$2:$L$1001,MATCH(ROWS($J$2:J466),$J$2:$J$1001,0),0),1)),INDEX($O$2:$O$1001,MATCH(ROWS($J$2:J466),$J$2:$J$1001,0),0)))</f>
        <v xml:space="preserve"> </v>
      </c>
      <c r="B466" s="3" t="str">
        <f ca="1">IF(OR(INDEX($K$2:$K$1001,MATCH(ROWS($J$2:J466),$J$2:$J$1001,0),1)&gt;=100000,INDEX($Q$1005:$U$1005,1,MATCH(COLUMNS($Q$1006:Q1006),$Q$1006:$U$1006,0))&gt;=100000), " ",IF(INDEX($Q$2:$U$1001,MATCH(ROWS($J$2:J466),$J$2:$J$1001,0),MATCH(COLUMNS($Q$1006:Q1006),$Q$1006:$U$1006,0)), HYPERLINK("#",""), HYPERLINK(CONCATENATE("#Metadata!", ADDRESS(INDEX($L$2:$L$1001,MATCH(ROWS($J$2:J466),$J$2:$J$1001,0),0), INDEX($Q$1004:$U$1004,1,MATCH(COLUMNS($Q$1006:Q1006),$Q$1006:$U$1006,0)))),"Fix")))</f>
        <v xml:space="preserve"> </v>
      </c>
      <c r="C466" s="3" t="str">
        <f ca="1">IF(OR(INDEX($K$2:$K$1001,MATCH(ROWS($J$2:J466),$J$2:$J$1001,0),1)&gt;=100000,INDEX($Q$1005:$U$1005,1,MATCH(COLUMNS($Q$1006:R1006),$Q$1006:$U$1006,0))&gt;=100000), " ",IF(INDEX($Q$2:$U$1001,MATCH(ROWS($J$2:J466),$J$2:$J$1001,0),MATCH(COLUMNS($Q$1006:R1006),$Q$1006:$U$1006,0)), HYPERLINK("#",""), HYPERLINK(CONCATENATE("#Metadata!", ADDRESS(INDEX($L$2:$L$1001,MATCH(ROWS($J$2:J466),$J$2:$J$1001,0),0), INDEX($Q$1004:$U$1004,1,MATCH(COLUMNS($Q$1006:R1006),$Q$1006:$U$1006,0)))),"Fix")))</f>
        <v xml:space="preserve"> </v>
      </c>
      <c r="D466" s="3" t="str">
        <f ca="1">IF(OR(INDEX($K$2:$K$1001,MATCH(ROWS($J$2:J466),$J$2:$J$1001,0),1)&gt;=100000,INDEX($Q$1005:$U$1005,1,MATCH(COLUMNS($Q$1006:S1006),$Q$1006:$U$1006,0))&gt;=100000), " ",IF(INDEX($Q$2:$U$1001,MATCH(ROWS($J$2:J466),$J$2:$J$1001,0),MATCH(COLUMNS($Q$1006:S1006),$Q$1006:$U$1006,0)), HYPERLINK("#",""), HYPERLINK(CONCATENATE("#Metadata!", ADDRESS(INDEX($L$2:$L$1001,MATCH(ROWS($J$2:J466),$J$2:$J$1001,0),0), INDEX($Q$1004:$U$1004,1,MATCH(COLUMNS($Q$1006:S1006),$Q$1006:$U$1006,0)))),"Fix")))</f>
        <v xml:space="preserve"> </v>
      </c>
      <c r="E466" s="3" t="str">
        <f ca="1">IF(OR(INDEX($K$2:$K$1001,MATCH(ROWS($J$2:J466),$J$2:$J$1001,0),1)&gt;=100000,INDEX($Q$1005:$U$1005,1,MATCH(COLUMNS($Q$1006:T1006),$Q$1006:$U$1006,0))&gt;=100000), " ",IF(INDEX($Q$2:$U$1001,MATCH(ROWS($J$2:J466),$J$2:$J$1001,0),MATCH(COLUMNS($Q$1006:T1006),$Q$1006:$U$1006,0)), HYPERLINK("#",""), HYPERLINK(CONCATENATE("#Metadata!", ADDRESS(INDEX($L$2:$L$1001,MATCH(ROWS($J$2:J466),$J$2:$J$1001,0),0), INDEX($Q$1004:$U$1004,1,MATCH(COLUMNS($Q$1006:T1006),$Q$1006:$U$1006,0)))),"Fix")))</f>
        <v xml:space="preserve"> </v>
      </c>
      <c r="F466" s="3" t="str">
        <f ca="1">IF(OR(INDEX($K$2:$K$1001,MATCH(ROWS($J$2:J466),$J$2:$J$1001,0),1)&gt;=100000,INDEX($Q$1005:$U$1005,1,MATCH(COLUMNS($Q$1006:U1006),$Q$1006:$U$1006,0))&gt;=100000), " ",IF(INDEX($Q$2:$U$1001,MATCH(ROWS($J$2:J466),$J$2:$J$1001,0),MATCH(COLUMNS($Q$1006:U1006),$Q$1006:$U$1006,0)), HYPERLINK("#",""), HYPERLINK(CONCATENATE("#Metadata!", ADDRESS(INDEX($L$2:$L$1001,MATCH(ROWS($J$2:J466),$J$2:$J$1001,0),0), INDEX($Q$1004:$U$1004,1,MATCH(COLUMNS($Q$1006:U1006),$Q$1006:$U$1006,0)))),"Fix")))</f>
        <v xml:space="preserve"> </v>
      </c>
      <c r="J466">
        <f ca="1"/>
        <v>465</v>
      </c>
      <c r="K466">
        <v>100466</v>
      </c>
      <c r="L466">
        <v>466</v>
      </c>
      <c r="M466" t="b">
        <f t="shared" si="7"/>
        <v>1</v>
      </c>
      <c r="N466" t="b">
        <f>COUNTBLANK(Metadata!B466:F466)=COLUMNS(Metadata!B466:F466)</f>
        <v>1</v>
      </c>
      <c r="O466" t="str">
        <v/>
      </c>
      <c r="Q466" t="b">
        <f ca="1"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R466" t="b">
        <f>IF(Metadata!C466="",FALSE,TRUE)</f>
        <v>0</v>
      </c>
      <c r="S466" t="b">
        <f>OR(AND(IF(Metadata!D466="",FALSE,TRUE),EXACT(Metadata!D466,"missing: not collected")),AND(IF(Metadata!D466="",FALSE,TRUE),OR(EXACT(Metadata!D466,"t"),EXACT(Metadata!D466,"f"))))</f>
        <v>0</v>
      </c>
      <c r="T466" t="b">
        <f>AND(IF(Metadata!E466="",FALSE,TRUE),OR(EXACT(Metadata!E466,"a"),EXACT(Metadata!E466,"b")))</f>
        <v>0</v>
      </c>
      <c r="U466" t="b">
        <f>OR(AND(IF(Metadata!F466="",FALSE,TRUE),OR(EXACT(Metadata!F466,"missing: not collected"),EXACT(Metadata!F466,"missing: not provided"))),AND(IF(Metadata!F466="",FALSE,TRUE),OR(EXACT(Metadata!F466,"lo"),EXACT(Metadata!F466,"med"),EXACT(Metadata!F466,"hi"))))</f>
        <v>0</v>
      </c>
    </row>
    <row r="467" spans="1:21" x14ac:dyDescent="0.2">
      <c r="A467" s="4" t="str">
        <f ca="1">IF(B467=" "," ",HYPERLINK(CONCATENATE("#metadata!",ADDRESS(INDEX($L$2:$L$1001,MATCH(ROWS($J$2:J467),$J$2:$J$1001,0),0),1)),INDEX($O$2:$O$1001,MATCH(ROWS($J$2:J467),$J$2:$J$1001,0),0)))</f>
        <v xml:space="preserve"> </v>
      </c>
      <c r="B467" s="3" t="str">
        <f ca="1">IF(OR(INDEX($K$2:$K$1001,MATCH(ROWS($J$2:J467),$J$2:$J$1001,0),1)&gt;=100000,INDEX($Q$1005:$U$1005,1,MATCH(COLUMNS($Q$1006:Q1006),$Q$1006:$U$1006,0))&gt;=100000), " ",IF(INDEX($Q$2:$U$1001,MATCH(ROWS($J$2:J467),$J$2:$J$1001,0),MATCH(COLUMNS($Q$1006:Q1006),$Q$1006:$U$1006,0)), HYPERLINK("#",""), HYPERLINK(CONCATENATE("#Metadata!", ADDRESS(INDEX($L$2:$L$1001,MATCH(ROWS($J$2:J467),$J$2:$J$1001,0),0), INDEX($Q$1004:$U$1004,1,MATCH(COLUMNS($Q$1006:Q1006),$Q$1006:$U$1006,0)))),"Fix")))</f>
        <v xml:space="preserve"> </v>
      </c>
      <c r="C467" s="3" t="str">
        <f ca="1">IF(OR(INDEX($K$2:$K$1001,MATCH(ROWS($J$2:J467),$J$2:$J$1001,0),1)&gt;=100000,INDEX($Q$1005:$U$1005,1,MATCH(COLUMNS($Q$1006:R1006),$Q$1006:$U$1006,0))&gt;=100000), " ",IF(INDEX($Q$2:$U$1001,MATCH(ROWS($J$2:J467),$J$2:$J$1001,0),MATCH(COLUMNS($Q$1006:R1006),$Q$1006:$U$1006,0)), HYPERLINK("#",""), HYPERLINK(CONCATENATE("#Metadata!", ADDRESS(INDEX($L$2:$L$1001,MATCH(ROWS($J$2:J467),$J$2:$J$1001,0),0), INDEX($Q$1004:$U$1004,1,MATCH(COLUMNS($Q$1006:R1006),$Q$1006:$U$1006,0)))),"Fix")))</f>
        <v xml:space="preserve"> </v>
      </c>
      <c r="D467" s="3" t="str">
        <f ca="1">IF(OR(INDEX($K$2:$K$1001,MATCH(ROWS($J$2:J467),$J$2:$J$1001,0),1)&gt;=100000,INDEX($Q$1005:$U$1005,1,MATCH(COLUMNS($Q$1006:S1006),$Q$1006:$U$1006,0))&gt;=100000), " ",IF(INDEX($Q$2:$U$1001,MATCH(ROWS($J$2:J467),$J$2:$J$1001,0),MATCH(COLUMNS($Q$1006:S1006),$Q$1006:$U$1006,0)), HYPERLINK("#",""), HYPERLINK(CONCATENATE("#Metadata!", ADDRESS(INDEX($L$2:$L$1001,MATCH(ROWS($J$2:J467),$J$2:$J$1001,0),0), INDEX($Q$1004:$U$1004,1,MATCH(COLUMNS($Q$1006:S1006),$Q$1006:$U$1006,0)))),"Fix")))</f>
        <v xml:space="preserve"> </v>
      </c>
      <c r="E467" s="3" t="str">
        <f ca="1">IF(OR(INDEX($K$2:$K$1001,MATCH(ROWS($J$2:J467),$J$2:$J$1001,0),1)&gt;=100000,INDEX($Q$1005:$U$1005,1,MATCH(COLUMNS($Q$1006:T1006),$Q$1006:$U$1006,0))&gt;=100000), " ",IF(INDEX($Q$2:$U$1001,MATCH(ROWS($J$2:J467),$J$2:$J$1001,0),MATCH(COLUMNS($Q$1006:T1006),$Q$1006:$U$1006,0)), HYPERLINK("#",""), HYPERLINK(CONCATENATE("#Metadata!", ADDRESS(INDEX($L$2:$L$1001,MATCH(ROWS($J$2:J467),$J$2:$J$1001,0),0), INDEX($Q$1004:$U$1004,1,MATCH(COLUMNS($Q$1006:T1006),$Q$1006:$U$1006,0)))),"Fix")))</f>
        <v xml:space="preserve"> </v>
      </c>
      <c r="F467" s="3" t="str">
        <f ca="1">IF(OR(INDEX($K$2:$K$1001,MATCH(ROWS($J$2:J467),$J$2:$J$1001,0),1)&gt;=100000,INDEX($Q$1005:$U$1005,1,MATCH(COLUMNS($Q$1006:U1006),$Q$1006:$U$1006,0))&gt;=100000), " ",IF(INDEX($Q$2:$U$1001,MATCH(ROWS($J$2:J467),$J$2:$J$1001,0),MATCH(COLUMNS($Q$1006:U1006),$Q$1006:$U$1006,0)), HYPERLINK("#",""), HYPERLINK(CONCATENATE("#Metadata!", ADDRESS(INDEX($L$2:$L$1001,MATCH(ROWS($J$2:J467),$J$2:$J$1001,0),0), INDEX($Q$1004:$U$1004,1,MATCH(COLUMNS($Q$1006:U1006),$Q$1006:$U$1006,0)))),"Fix")))</f>
        <v xml:space="preserve"> </v>
      </c>
      <c r="J467">
        <f ca="1"/>
        <v>466</v>
      </c>
      <c r="K467">
        <v>100467</v>
      </c>
      <c r="L467">
        <v>467</v>
      </c>
      <c r="M467" t="b">
        <f t="shared" si="7"/>
        <v>1</v>
      </c>
      <c r="N467" t="b">
        <f>COUNTBLANK(Metadata!B467:F467)=COLUMNS(Metadata!B467:F467)</f>
        <v>1</v>
      </c>
      <c r="O467" t="str">
        <v/>
      </c>
      <c r="Q467" t="b">
        <f ca="1"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R467" t="b">
        <f>IF(Metadata!C467="",FALSE,TRUE)</f>
        <v>0</v>
      </c>
      <c r="S467" t="b">
        <f>OR(AND(IF(Metadata!D467="",FALSE,TRUE),EXACT(Metadata!D467,"missing: not collected")),AND(IF(Metadata!D467="",FALSE,TRUE),OR(EXACT(Metadata!D467,"t"),EXACT(Metadata!D467,"f"))))</f>
        <v>0</v>
      </c>
      <c r="T467" t="b">
        <f>AND(IF(Metadata!E467="",FALSE,TRUE),OR(EXACT(Metadata!E467,"a"),EXACT(Metadata!E467,"b")))</f>
        <v>0</v>
      </c>
      <c r="U467" t="b">
        <f>OR(AND(IF(Metadata!F467="",FALSE,TRUE),OR(EXACT(Metadata!F467,"missing: not collected"),EXACT(Metadata!F467,"missing: not provided"))),AND(IF(Metadata!F467="",FALSE,TRUE),OR(EXACT(Metadata!F467,"lo"),EXACT(Metadata!F467,"med"),EXACT(Metadata!F467,"hi"))))</f>
        <v>0</v>
      </c>
    </row>
    <row r="468" spans="1:21" x14ac:dyDescent="0.2">
      <c r="A468" s="4" t="str">
        <f ca="1">IF(B468=" "," ",HYPERLINK(CONCATENATE("#metadata!",ADDRESS(INDEX($L$2:$L$1001,MATCH(ROWS($J$2:J468),$J$2:$J$1001,0),0),1)),INDEX($O$2:$O$1001,MATCH(ROWS($J$2:J468),$J$2:$J$1001,0),0)))</f>
        <v xml:space="preserve"> </v>
      </c>
      <c r="B468" s="3" t="str">
        <f ca="1">IF(OR(INDEX($K$2:$K$1001,MATCH(ROWS($J$2:J468),$J$2:$J$1001,0),1)&gt;=100000,INDEX($Q$1005:$U$1005,1,MATCH(COLUMNS($Q$1006:Q1006),$Q$1006:$U$1006,0))&gt;=100000), " ",IF(INDEX($Q$2:$U$1001,MATCH(ROWS($J$2:J468),$J$2:$J$1001,0),MATCH(COLUMNS($Q$1006:Q1006),$Q$1006:$U$1006,0)), HYPERLINK("#",""), HYPERLINK(CONCATENATE("#Metadata!", ADDRESS(INDEX($L$2:$L$1001,MATCH(ROWS($J$2:J468),$J$2:$J$1001,0),0), INDEX($Q$1004:$U$1004,1,MATCH(COLUMNS($Q$1006:Q1006),$Q$1006:$U$1006,0)))),"Fix")))</f>
        <v xml:space="preserve"> </v>
      </c>
      <c r="C468" s="3" t="str">
        <f ca="1">IF(OR(INDEX($K$2:$K$1001,MATCH(ROWS($J$2:J468),$J$2:$J$1001,0),1)&gt;=100000,INDEX($Q$1005:$U$1005,1,MATCH(COLUMNS($Q$1006:R1006),$Q$1006:$U$1006,0))&gt;=100000), " ",IF(INDEX($Q$2:$U$1001,MATCH(ROWS($J$2:J468),$J$2:$J$1001,0),MATCH(COLUMNS($Q$1006:R1006),$Q$1006:$U$1006,0)), HYPERLINK("#",""), HYPERLINK(CONCATENATE("#Metadata!", ADDRESS(INDEX($L$2:$L$1001,MATCH(ROWS($J$2:J468),$J$2:$J$1001,0),0), INDEX($Q$1004:$U$1004,1,MATCH(COLUMNS($Q$1006:R1006),$Q$1006:$U$1006,0)))),"Fix")))</f>
        <v xml:space="preserve"> </v>
      </c>
      <c r="D468" s="3" t="str">
        <f ca="1">IF(OR(INDEX($K$2:$K$1001,MATCH(ROWS($J$2:J468),$J$2:$J$1001,0),1)&gt;=100000,INDEX($Q$1005:$U$1005,1,MATCH(COLUMNS($Q$1006:S1006),$Q$1006:$U$1006,0))&gt;=100000), " ",IF(INDEX($Q$2:$U$1001,MATCH(ROWS($J$2:J468),$J$2:$J$1001,0),MATCH(COLUMNS($Q$1006:S1006),$Q$1006:$U$1006,0)), HYPERLINK("#",""), HYPERLINK(CONCATENATE("#Metadata!", ADDRESS(INDEX($L$2:$L$1001,MATCH(ROWS($J$2:J468),$J$2:$J$1001,0),0), INDEX($Q$1004:$U$1004,1,MATCH(COLUMNS($Q$1006:S1006),$Q$1006:$U$1006,0)))),"Fix")))</f>
        <v xml:space="preserve"> </v>
      </c>
      <c r="E468" s="3" t="str">
        <f ca="1">IF(OR(INDEX($K$2:$K$1001,MATCH(ROWS($J$2:J468),$J$2:$J$1001,0),1)&gt;=100000,INDEX($Q$1005:$U$1005,1,MATCH(COLUMNS($Q$1006:T1006),$Q$1006:$U$1006,0))&gt;=100000), " ",IF(INDEX($Q$2:$U$1001,MATCH(ROWS($J$2:J468),$J$2:$J$1001,0),MATCH(COLUMNS($Q$1006:T1006),$Q$1006:$U$1006,0)), HYPERLINK("#",""), HYPERLINK(CONCATENATE("#Metadata!", ADDRESS(INDEX($L$2:$L$1001,MATCH(ROWS($J$2:J468),$J$2:$J$1001,0),0), INDEX($Q$1004:$U$1004,1,MATCH(COLUMNS($Q$1006:T1006),$Q$1006:$U$1006,0)))),"Fix")))</f>
        <v xml:space="preserve"> </v>
      </c>
      <c r="F468" s="3" t="str">
        <f ca="1">IF(OR(INDEX($K$2:$K$1001,MATCH(ROWS($J$2:J468),$J$2:$J$1001,0),1)&gt;=100000,INDEX($Q$1005:$U$1005,1,MATCH(COLUMNS($Q$1006:U1006),$Q$1006:$U$1006,0))&gt;=100000), " ",IF(INDEX($Q$2:$U$1001,MATCH(ROWS($J$2:J468),$J$2:$J$1001,0),MATCH(COLUMNS($Q$1006:U1006),$Q$1006:$U$1006,0)), HYPERLINK("#",""), HYPERLINK(CONCATENATE("#Metadata!", ADDRESS(INDEX($L$2:$L$1001,MATCH(ROWS($J$2:J468),$J$2:$J$1001,0),0), INDEX($Q$1004:$U$1004,1,MATCH(COLUMNS($Q$1006:U1006),$Q$1006:$U$1006,0)))),"Fix")))</f>
        <v xml:space="preserve"> </v>
      </c>
      <c r="J468">
        <f ca="1"/>
        <v>467</v>
      </c>
      <c r="K468">
        <v>100468</v>
      </c>
      <c r="L468">
        <v>468</v>
      </c>
      <c r="M468" t="b">
        <f t="shared" si="7"/>
        <v>1</v>
      </c>
      <c r="N468" t="b">
        <f>COUNTBLANK(Metadata!B468:F468)=COLUMNS(Metadata!B468:F468)</f>
        <v>1</v>
      </c>
      <c r="O468" t="str">
        <v/>
      </c>
      <c r="Q468" t="b">
        <f ca="1"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R468" t="b">
        <f>IF(Metadata!C468="",FALSE,TRUE)</f>
        <v>0</v>
      </c>
      <c r="S468" t="b">
        <f>OR(AND(IF(Metadata!D468="",FALSE,TRUE),EXACT(Metadata!D468,"missing: not collected")),AND(IF(Metadata!D468="",FALSE,TRUE),OR(EXACT(Metadata!D468,"t"),EXACT(Metadata!D468,"f"))))</f>
        <v>0</v>
      </c>
      <c r="T468" t="b">
        <f>AND(IF(Metadata!E468="",FALSE,TRUE),OR(EXACT(Metadata!E468,"a"),EXACT(Metadata!E468,"b")))</f>
        <v>0</v>
      </c>
      <c r="U468" t="b">
        <f>OR(AND(IF(Metadata!F468="",FALSE,TRUE),OR(EXACT(Metadata!F468,"missing: not collected"),EXACT(Metadata!F468,"missing: not provided"))),AND(IF(Metadata!F468="",FALSE,TRUE),OR(EXACT(Metadata!F468,"lo"),EXACT(Metadata!F468,"med"),EXACT(Metadata!F468,"hi"))))</f>
        <v>0</v>
      </c>
    </row>
    <row r="469" spans="1:21" x14ac:dyDescent="0.2">
      <c r="A469" s="4" t="str">
        <f ca="1">IF(B469=" "," ",HYPERLINK(CONCATENATE("#metadata!",ADDRESS(INDEX($L$2:$L$1001,MATCH(ROWS($J$2:J469),$J$2:$J$1001,0),0),1)),INDEX($O$2:$O$1001,MATCH(ROWS($J$2:J469),$J$2:$J$1001,0),0)))</f>
        <v xml:space="preserve"> </v>
      </c>
      <c r="B469" s="3" t="str">
        <f ca="1">IF(OR(INDEX($K$2:$K$1001,MATCH(ROWS($J$2:J469),$J$2:$J$1001,0),1)&gt;=100000,INDEX($Q$1005:$U$1005,1,MATCH(COLUMNS($Q$1006:Q1006),$Q$1006:$U$1006,0))&gt;=100000), " ",IF(INDEX($Q$2:$U$1001,MATCH(ROWS($J$2:J469),$J$2:$J$1001,0),MATCH(COLUMNS($Q$1006:Q1006),$Q$1006:$U$1006,0)), HYPERLINK("#",""), HYPERLINK(CONCATENATE("#Metadata!", ADDRESS(INDEX($L$2:$L$1001,MATCH(ROWS($J$2:J469),$J$2:$J$1001,0),0), INDEX($Q$1004:$U$1004,1,MATCH(COLUMNS($Q$1006:Q1006),$Q$1006:$U$1006,0)))),"Fix")))</f>
        <v xml:space="preserve"> </v>
      </c>
      <c r="C469" s="3" t="str">
        <f ca="1">IF(OR(INDEX($K$2:$K$1001,MATCH(ROWS($J$2:J469),$J$2:$J$1001,0),1)&gt;=100000,INDEX($Q$1005:$U$1005,1,MATCH(COLUMNS($Q$1006:R1006),$Q$1006:$U$1006,0))&gt;=100000), " ",IF(INDEX($Q$2:$U$1001,MATCH(ROWS($J$2:J469),$J$2:$J$1001,0),MATCH(COLUMNS($Q$1006:R1006),$Q$1006:$U$1006,0)), HYPERLINK("#",""), HYPERLINK(CONCATENATE("#Metadata!", ADDRESS(INDEX($L$2:$L$1001,MATCH(ROWS($J$2:J469),$J$2:$J$1001,0),0), INDEX($Q$1004:$U$1004,1,MATCH(COLUMNS($Q$1006:R1006),$Q$1006:$U$1006,0)))),"Fix")))</f>
        <v xml:space="preserve"> </v>
      </c>
      <c r="D469" s="3" t="str">
        <f ca="1">IF(OR(INDEX($K$2:$K$1001,MATCH(ROWS($J$2:J469),$J$2:$J$1001,0),1)&gt;=100000,INDEX($Q$1005:$U$1005,1,MATCH(COLUMNS($Q$1006:S1006),$Q$1006:$U$1006,0))&gt;=100000), " ",IF(INDEX($Q$2:$U$1001,MATCH(ROWS($J$2:J469),$J$2:$J$1001,0),MATCH(COLUMNS($Q$1006:S1006),$Q$1006:$U$1006,0)), HYPERLINK("#",""), HYPERLINK(CONCATENATE("#Metadata!", ADDRESS(INDEX($L$2:$L$1001,MATCH(ROWS($J$2:J469),$J$2:$J$1001,0),0), INDEX($Q$1004:$U$1004,1,MATCH(COLUMNS($Q$1006:S1006),$Q$1006:$U$1006,0)))),"Fix")))</f>
        <v xml:space="preserve"> </v>
      </c>
      <c r="E469" s="3" t="str">
        <f ca="1">IF(OR(INDEX($K$2:$K$1001,MATCH(ROWS($J$2:J469),$J$2:$J$1001,0),1)&gt;=100000,INDEX($Q$1005:$U$1005,1,MATCH(COLUMNS($Q$1006:T1006),$Q$1006:$U$1006,0))&gt;=100000), " ",IF(INDEX($Q$2:$U$1001,MATCH(ROWS($J$2:J469),$J$2:$J$1001,0),MATCH(COLUMNS($Q$1006:T1006),$Q$1006:$U$1006,0)), HYPERLINK("#",""), HYPERLINK(CONCATENATE("#Metadata!", ADDRESS(INDEX($L$2:$L$1001,MATCH(ROWS($J$2:J469),$J$2:$J$1001,0),0), INDEX($Q$1004:$U$1004,1,MATCH(COLUMNS($Q$1006:T1006),$Q$1006:$U$1006,0)))),"Fix")))</f>
        <v xml:space="preserve"> </v>
      </c>
      <c r="F469" s="3" t="str">
        <f ca="1">IF(OR(INDEX($K$2:$K$1001,MATCH(ROWS($J$2:J469),$J$2:$J$1001,0),1)&gt;=100000,INDEX($Q$1005:$U$1005,1,MATCH(COLUMNS($Q$1006:U1006),$Q$1006:$U$1006,0))&gt;=100000), " ",IF(INDEX($Q$2:$U$1001,MATCH(ROWS($J$2:J469),$J$2:$J$1001,0),MATCH(COLUMNS($Q$1006:U1006),$Q$1006:$U$1006,0)), HYPERLINK("#",""), HYPERLINK(CONCATENATE("#Metadata!", ADDRESS(INDEX($L$2:$L$1001,MATCH(ROWS($J$2:J469),$J$2:$J$1001,0),0), INDEX($Q$1004:$U$1004,1,MATCH(COLUMNS($Q$1006:U1006),$Q$1006:$U$1006,0)))),"Fix")))</f>
        <v xml:space="preserve"> </v>
      </c>
      <c r="J469">
        <f ca="1"/>
        <v>468</v>
      </c>
      <c r="K469">
        <v>100469</v>
      </c>
      <c r="L469">
        <v>469</v>
      </c>
      <c r="M469" t="b">
        <f t="shared" si="7"/>
        <v>1</v>
      </c>
      <c r="N469" t="b">
        <f>COUNTBLANK(Metadata!B469:F469)=COLUMNS(Metadata!B469:F469)</f>
        <v>1</v>
      </c>
      <c r="O469" t="str">
        <v/>
      </c>
      <c r="Q469" t="b">
        <f ca="1"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R469" t="b">
        <f>IF(Metadata!C469="",FALSE,TRUE)</f>
        <v>0</v>
      </c>
      <c r="S469" t="b">
        <f>OR(AND(IF(Metadata!D469="",FALSE,TRUE),EXACT(Metadata!D469,"missing: not collected")),AND(IF(Metadata!D469="",FALSE,TRUE),OR(EXACT(Metadata!D469,"t"),EXACT(Metadata!D469,"f"))))</f>
        <v>0</v>
      </c>
      <c r="T469" t="b">
        <f>AND(IF(Metadata!E469="",FALSE,TRUE),OR(EXACT(Metadata!E469,"a"),EXACT(Metadata!E469,"b")))</f>
        <v>0</v>
      </c>
      <c r="U469" t="b">
        <f>OR(AND(IF(Metadata!F469="",FALSE,TRUE),OR(EXACT(Metadata!F469,"missing: not collected"),EXACT(Metadata!F469,"missing: not provided"))),AND(IF(Metadata!F469="",FALSE,TRUE),OR(EXACT(Metadata!F469,"lo"),EXACT(Metadata!F469,"med"),EXACT(Metadata!F469,"hi"))))</f>
        <v>0</v>
      </c>
    </row>
    <row r="470" spans="1:21" x14ac:dyDescent="0.2">
      <c r="A470" s="4" t="str">
        <f ca="1">IF(B470=" "," ",HYPERLINK(CONCATENATE("#metadata!",ADDRESS(INDEX($L$2:$L$1001,MATCH(ROWS($J$2:J470),$J$2:$J$1001,0),0),1)),INDEX($O$2:$O$1001,MATCH(ROWS($J$2:J470),$J$2:$J$1001,0),0)))</f>
        <v xml:space="preserve"> </v>
      </c>
      <c r="B470" s="3" t="str">
        <f ca="1">IF(OR(INDEX($K$2:$K$1001,MATCH(ROWS($J$2:J470),$J$2:$J$1001,0),1)&gt;=100000,INDEX($Q$1005:$U$1005,1,MATCH(COLUMNS($Q$1006:Q1006),$Q$1006:$U$1006,0))&gt;=100000), " ",IF(INDEX($Q$2:$U$1001,MATCH(ROWS($J$2:J470),$J$2:$J$1001,0),MATCH(COLUMNS($Q$1006:Q1006),$Q$1006:$U$1006,0)), HYPERLINK("#",""), HYPERLINK(CONCATENATE("#Metadata!", ADDRESS(INDEX($L$2:$L$1001,MATCH(ROWS($J$2:J470),$J$2:$J$1001,0),0), INDEX($Q$1004:$U$1004,1,MATCH(COLUMNS($Q$1006:Q1006),$Q$1006:$U$1006,0)))),"Fix")))</f>
        <v xml:space="preserve"> </v>
      </c>
      <c r="C470" s="3" t="str">
        <f ca="1">IF(OR(INDEX($K$2:$K$1001,MATCH(ROWS($J$2:J470),$J$2:$J$1001,0),1)&gt;=100000,INDEX($Q$1005:$U$1005,1,MATCH(COLUMNS($Q$1006:R1006),$Q$1006:$U$1006,0))&gt;=100000), " ",IF(INDEX($Q$2:$U$1001,MATCH(ROWS($J$2:J470),$J$2:$J$1001,0),MATCH(COLUMNS($Q$1006:R1006),$Q$1006:$U$1006,0)), HYPERLINK("#",""), HYPERLINK(CONCATENATE("#Metadata!", ADDRESS(INDEX($L$2:$L$1001,MATCH(ROWS($J$2:J470),$J$2:$J$1001,0),0), INDEX($Q$1004:$U$1004,1,MATCH(COLUMNS($Q$1006:R1006),$Q$1006:$U$1006,0)))),"Fix")))</f>
        <v xml:space="preserve"> </v>
      </c>
      <c r="D470" s="3" t="str">
        <f ca="1">IF(OR(INDEX($K$2:$K$1001,MATCH(ROWS($J$2:J470),$J$2:$J$1001,0),1)&gt;=100000,INDEX($Q$1005:$U$1005,1,MATCH(COLUMNS($Q$1006:S1006),$Q$1006:$U$1006,0))&gt;=100000), " ",IF(INDEX($Q$2:$U$1001,MATCH(ROWS($J$2:J470),$J$2:$J$1001,0),MATCH(COLUMNS($Q$1006:S1006),$Q$1006:$U$1006,0)), HYPERLINK("#",""), HYPERLINK(CONCATENATE("#Metadata!", ADDRESS(INDEX($L$2:$L$1001,MATCH(ROWS($J$2:J470),$J$2:$J$1001,0),0), INDEX($Q$1004:$U$1004,1,MATCH(COLUMNS($Q$1006:S1006),$Q$1006:$U$1006,0)))),"Fix")))</f>
        <v xml:space="preserve"> </v>
      </c>
      <c r="E470" s="3" t="str">
        <f ca="1">IF(OR(INDEX($K$2:$K$1001,MATCH(ROWS($J$2:J470),$J$2:$J$1001,0),1)&gt;=100000,INDEX($Q$1005:$U$1005,1,MATCH(COLUMNS($Q$1006:T1006),$Q$1006:$U$1006,0))&gt;=100000), " ",IF(INDEX($Q$2:$U$1001,MATCH(ROWS($J$2:J470),$J$2:$J$1001,0),MATCH(COLUMNS($Q$1006:T1006),$Q$1006:$U$1006,0)), HYPERLINK("#",""), HYPERLINK(CONCATENATE("#Metadata!", ADDRESS(INDEX($L$2:$L$1001,MATCH(ROWS($J$2:J470),$J$2:$J$1001,0),0), INDEX($Q$1004:$U$1004,1,MATCH(COLUMNS($Q$1006:T1006),$Q$1006:$U$1006,0)))),"Fix")))</f>
        <v xml:space="preserve"> </v>
      </c>
      <c r="F470" s="3" t="str">
        <f ca="1">IF(OR(INDEX($K$2:$K$1001,MATCH(ROWS($J$2:J470),$J$2:$J$1001,0),1)&gt;=100000,INDEX($Q$1005:$U$1005,1,MATCH(COLUMNS($Q$1006:U1006),$Q$1006:$U$1006,0))&gt;=100000), " ",IF(INDEX($Q$2:$U$1001,MATCH(ROWS($J$2:J470),$J$2:$J$1001,0),MATCH(COLUMNS($Q$1006:U1006),$Q$1006:$U$1006,0)), HYPERLINK("#",""), HYPERLINK(CONCATENATE("#Metadata!", ADDRESS(INDEX($L$2:$L$1001,MATCH(ROWS($J$2:J470),$J$2:$J$1001,0),0), INDEX($Q$1004:$U$1004,1,MATCH(COLUMNS($Q$1006:U1006),$Q$1006:$U$1006,0)))),"Fix")))</f>
        <v xml:space="preserve"> </v>
      </c>
      <c r="J470">
        <f ca="1"/>
        <v>469</v>
      </c>
      <c r="K470">
        <v>100470</v>
      </c>
      <c r="L470">
        <v>470</v>
      </c>
      <c r="M470" t="b">
        <f t="shared" si="7"/>
        <v>1</v>
      </c>
      <c r="N470" t="b">
        <f>COUNTBLANK(Metadata!B470:F470)=COLUMNS(Metadata!B470:F470)</f>
        <v>1</v>
      </c>
      <c r="O470" t="str">
        <v/>
      </c>
      <c r="Q470" t="b">
        <f ca="1"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R470" t="b">
        <f>IF(Metadata!C470="",FALSE,TRUE)</f>
        <v>0</v>
      </c>
      <c r="S470" t="b">
        <f>OR(AND(IF(Metadata!D470="",FALSE,TRUE),EXACT(Metadata!D470,"missing: not collected")),AND(IF(Metadata!D470="",FALSE,TRUE),OR(EXACT(Metadata!D470,"t"),EXACT(Metadata!D470,"f"))))</f>
        <v>0</v>
      </c>
      <c r="T470" t="b">
        <f>AND(IF(Metadata!E470="",FALSE,TRUE),OR(EXACT(Metadata!E470,"a"),EXACT(Metadata!E470,"b")))</f>
        <v>0</v>
      </c>
      <c r="U470" t="b">
        <f>OR(AND(IF(Metadata!F470="",FALSE,TRUE),OR(EXACT(Metadata!F470,"missing: not collected"),EXACT(Metadata!F470,"missing: not provided"))),AND(IF(Metadata!F470="",FALSE,TRUE),OR(EXACT(Metadata!F470,"lo"),EXACT(Metadata!F470,"med"),EXACT(Metadata!F470,"hi"))))</f>
        <v>0</v>
      </c>
    </row>
    <row r="471" spans="1:21" x14ac:dyDescent="0.2">
      <c r="A471" s="4" t="str">
        <f ca="1">IF(B471=" "," ",HYPERLINK(CONCATENATE("#metadata!",ADDRESS(INDEX($L$2:$L$1001,MATCH(ROWS($J$2:J471),$J$2:$J$1001,0),0),1)),INDEX($O$2:$O$1001,MATCH(ROWS($J$2:J471),$J$2:$J$1001,0),0)))</f>
        <v xml:space="preserve"> </v>
      </c>
      <c r="B471" s="3" t="str">
        <f ca="1">IF(OR(INDEX($K$2:$K$1001,MATCH(ROWS($J$2:J471),$J$2:$J$1001,0),1)&gt;=100000,INDEX($Q$1005:$U$1005,1,MATCH(COLUMNS($Q$1006:Q1006),$Q$1006:$U$1006,0))&gt;=100000), " ",IF(INDEX($Q$2:$U$1001,MATCH(ROWS($J$2:J471),$J$2:$J$1001,0),MATCH(COLUMNS($Q$1006:Q1006),$Q$1006:$U$1006,0)), HYPERLINK("#",""), HYPERLINK(CONCATENATE("#Metadata!", ADDRESS(INDEX($L$2:$L$1001,MATCH(ROWS($J$2:J471),$J$2:$J$1001,0),0), INDEX($Q$1004:$U$1004,1,MATCH(COLUMNS($Q$1006:Q1006),$Q$1006:$U$1006,0)))),"Fix")))</f>
        <v xml:space="preserve"> </v>
      </c>
      <c r="C471" s="3" t="str">
        <f ca="1">IF(OR(INDEX($K$2:$K$1001,MATCH(ROWS($J$2:J471),$J$2:$J$1001,0),1)&gt;=100000,INDEX($Q$1005:$U$1005,1,MATCH(COLUMNS($Q$1006:R1006),$Q$1006:$U$1006,0))&gt;=100000), " ",IF(INDEX($Q$2:$U$1001,MATCH(ROWS($J$2:J471),$J$2:$J$1001,0),MATCH(COLUMNS($Q$1006:R1006),$Q$1006:$U$1006,0)), HYPERLINK("#",""), HYPERLINK(CONCATENATE("#Metadata!", ADDRESS(INDEX($L$2:$L$1001,MATCH(ROWS($J$2:J471),$J$2:$J$1001,0),0), INDEX($Q$1004:$U$1004,1,MATCH(COLUMNS($Q$1006:R1006),$Q$1006:$U$1006,0)))),"Fix")))</f>
        <v xml:space="preserve"> </v>
      </c>
      <c r="D471" s="3" t="str">
        <f ca="1">IF(OR(INDEX($K$2:$K$1001,MATCH(ROWS($J$2:J471),$J$2:$J$1001,0),1)&gt;=100000,INDEX($Q$1005:$U$1005,1,MATCH(COLUMNS($Q$1006:S1006),$Q$1006:$U$1006,0))&gt;=100000), " ",IF(INDEX($Q$2:$U$1001,MATCH(ROWS($J$2:J471),$J$2:$J$1001,0),MATCH(COLUMNS($Q$1006:S1006),$Q$1006:$U$1006,0)), HYPERLINK("#",""), HYPERLINK(CONCATENATE("#Metadata!", ADDRESS(INDEX($L$2:$L$1001,MATCH(ROWS($J$2:J471),$J$2:$J$1001,0),0), INDEX($Q$1004:$U$1004,1,MATCH(COLUMNS($Q$1006:S1006),$Q$1006:$U$1006,0)))),"Fix")))</f>
        <v xml:space="preserve"> </v>
      </c>
      <c r="E471" s="3" t="str">
        <f ca="1">IF(OR(INDEX($K$2:$K$1001,MATCH(ROWS($J$2:J471),$J$2:$J$1001,0),1)&gt;=100000,INDEX($Q$1005:$U$1005,1,MATCH(COLUMNS($Q$1006:T1006),$Q$1006:$U$1006,0))&gt;=100000), " ",IF(INDEX($Q$2:$U$1001,MATCH(ROWS($J$2:J471),$J$2:$J$1001,0),MATCH(COLUMNS($Q$1006:T1006),$Q$1006:$U$1006,0)), HYPERLINK("#",""), HYPERLINK(CONCATENATE("#Metadata!", ADDRESS(INDEX($L$2:$L$1001,MATCH(ROWS($J$2:J471),$J$2:$J$1001,0),0), INDEX($Q$1004:$U$1004,1,MATCH(COLUMNS($Q$1006:T1006),$Q$1006:$U$1006,0)))),"Fix")))</f>
        <v xml:space="preserve"> </v>
      </c>
      <c r="F471" s="3" t="str">
        <f ca="1">IF(OR(INDEX($K$2:$K$1001,MATCH(ROWS($J$2:J471),$J$2:$J$1001,0),1)&gt;=100000,INDEX($Q$1005:$U$1005,1,MATCH(COLUMNS($Q$1006:U1006),$Q$1006:$U$1006,0))&gt;=100000), " ",IF(INDEX($Q$2:$U$1001,MATCH(ROWS($J$2:J471),$J$2:$J$1001,0),MATCH(COLUMNS($Q$1006:U1006),$Q$1006:$U$1006,0)), HYPERLINK("#",""), HYPERLINK(CONCATENATE("#Metadata!", ADDRESS(INDEX($L$2:$L$1001,MATCH(ROWS($J$2:J471),$J$2:$J$1001,0),0), INDEX($Q$1004:$U$1004,1,MATCH(COLUMNS($Q$1006:U1006),$Q$1006:$U$1006,0)))),"Fix")))</f>
        <v xml:space="preserve"> </v>
      </c>
      <c r="J471">
        <f ca="1"/>
        <v>470</v>
      </c>
      <c r="K471">
        <v>100471</v>
      </c>
      <c r="L471">
        <v>471</v>
      </c>
      <c r="M471" t="b">
        <f t="shared" si="7"/>
        <v>1</v>
      </c>
      <c r="N471" t="b">
        <f>COUNTBLANK(Metadata!B471:F471)=COLUMNS(Metadata!B471:F471)</f>
        <v>1</v>
      </c>
      <c r="O471" t="str">
        <v/>
      </c>
      <c r="Q471" t="b">
        <f ca="1"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R471" t="b">
        <f>IF(Metadata!C471="",FALSE,TRUE)</f>
        <v>0</v>
      </c>
      <c r="S471" t="b">
        <f>OR(AND(IF(Metadata!D471="",FALSE,TRUE),EXACT(Metadata!D471,"missing: not collected")),AND(IF(Metadata!D471="",FALSE,TRUE),OR(EXACT(Metadata!D471,"t"),EXACT(Metadata!D471,"f"))))</f>
        <v>0</v>
      </c>
      <c r="T471" t="b">
        <f>AND(IF(Metadata!E471="",FALSE,TRUE),OR(EXACT(Metadata!E471,"a"),EXACT(Metadata!E471,"b")))</f>
        <v>0</v>
      </c>
      <c r="U471" t="b">
        <f>OR(AND(IF(Metadata!F471="",FALSE,TRUE),OR(EXACT(Metadata!F471,"missing: not collected"),EXACT(Metadata!F471,"missing: not provided"))),AND(IF(Metadata!F471="",FALSE,TRUE),OR(EXACT(Metadata!F471,"lo"),EXACT(Metadata!F471,"med"),EXACT(Metadata!F471,"hi"))))</f>
        <v>0</v>
      </c>
    </row>
    <row r="472" spans="1:21" x14ac:dyDescent="0.2">
      <c r="A472" s="4" t="str">
        <f ca="1">IF(B472=" "," ",HYPERLINK(CONCATENATE("#metadata!",ADDRESS(INDEX($L$2:$L$1001,MATCH(ROWS($J$2:J472),$J$2:$J$1001,0),0),1)),INDEX($O$2:$O$1001,MATCH(ROWS($J$2:J472),$J$2:$J$1001,0),0)))</f>
        <v xml:space="preserve"> </v>
      </c>
      <c r="B472" s="3" t="str">
        <f ca="1">IF(OR(INDEX($K$2:$K$1001,MATCH(ROWS($J$2:J472),$J$2:$J$1001,0),1)&gt;=100000,INDEX($Q$1005:$U$1005,1,MATCH(COLUMNS($Q$1006:Q1006),$Q$1006:$U$1006,0))&gt;=100000), " ",IF(INDEX($Q$2:$U$1001,MATCH(ROWS($J$2:J472),$J$2:$J$1001,0),MATCH(COLUMNS($Q$1006:Q1006),$Q$1006:$U$1006,0)), HYPERLINK("#",""), HYPERLINK(CONCATENATE("#Metadata!", ADDRESS(INDEX($L$2:$L$1001,MATCH(ROWS($J$2:J472),$J$2:$J$1001,0),0), INDEX($Q$1004:$U$1004,1,MATCH(COLUMNS($Q$1006:Q1006),$Q$1006:$U$1006,0)))),"Fix")))</f>
        <v xml:space="preserve"> </v>
      </c>
      <c r="C472" s="3" t="str">
        <f ca="1">IF(OR(INDEX($K$2:$K$1001,MATCH(ROWS($J$2:J472),$J$2:$J$1001,0),1)&gt;=100000,INDEX($Q$1005:$U$1005,1,MATCH(COLUMNS($Q$1006:R1006),$Q$1006:$U$1006,0))&gt;=100000), " ",IF(INDEX($Q$2:$U$1001,MATCH(ROWS($J$2:J472),$J$2:$J$1001,0),MATCH(COLUMNS($Q$1006:R1006),$Q$1006:$U$1006,0)), HYPERLINK("#",""), HYPERLINK(CONCATENATE("#Metadata!", ADDRESS(INDEX($L$2:$L$1001,MATCH(ROWS($J$2:J472),$J$2:$J$1001,0),0), INDEX($Q$1004:$U$1004,1,MATCH(COLUMNS($Q$1006:R1006),$Q$1006:$U$1006,0)))),"Fix")))</f>
        <v xml:space="preserve"> </v>
      </c>
      <c r="D472" s="3" t="str">
        <f ca="1">IF(OR(INDEX($K$2:$K$1001,MATCH(ROWS($J$2:J472),$J$2:$J$1001,0),1)&gt;=100000,INDEX($Q$1005:$U$1005,1,MATCH(COLUMNS($Q$1006:S1006),$Q$1006:$U$1006,0))&gt;=100000), " ",IF(INDEX($Q$2:$U$1001,MATCH(ROWS($J$2:J472),$J$2:$J$1001,0),MATCH(COLUMNS($Q$1006:S1006),$Q$1006:$U$1006,0)), HYPERLINK("#",""), HYPERLINK(CONCATENATE("#Metadata!", ADDRESS(INDEX($L$2:$L$1001,MATCH(ROWS($J$2:J472),$J$2:$J$1001,0),0), INDEX($Q$1004:$U$1004,1,MATCH(COLUMNS($Q$1006:S1006),$Q$1006:$U$1006,0)))),"Fix")))</f>
        <v xml:space="preserve"> </v>
      </c>
      <c r="E472" s="3" t="str">
        <f ca="1">IF(OR(INDEX($K$2:$K$1001,MATCH(ROWS($J$2:J472),$J$2:$J$1001,0),1)&gt;=100000,INDEX($Q$1005:$U$1005,1,MATCH(COLUMNS($Q$1006:T1006),$Q$1006:$U$1006,0))&gt;=100000), " ",IF(INDEX($Q$2:$U$1001,MATCH(ROWS($J$2:J472),$J$2:$J$1001,0),MATCH(COLUMNS($Q$1006:T1006),$Q$1006:$U$1006,0)), HYPERLINK("#",""), HYPERLINK(CONCATENATE("#Metadata!", ADDRESS(INDEX($L$2:$L$1001,MATCH(ROWS($J$2:J472),$J$2:$J$1001,0),0), INDEX($Q$1004:$U$1004,1,MATCH(COLUMNS($Q$1006:T1006),$Q$1006:$U$1006,0)))),"Fix")))</f>
        <v xml:space="preserve"> </v>
      </c>
      <c r="F472" s="3" t="str">
        <f ca="1">IF(OR(INDEX($K$2:$K$1001,MATCH(ROWS($J$2:J472),$J$2:$J$1001,0),1)&gt;=100000,INDEX($Q$1005:$U$1005,1,MATCH(COLUMNS($Q$1006:U1006),$Q$1006:$U$1006,0))&gt;=100000), " ",IF(INDEX($Q$2:$U$1001,MATCH(ROWS($J$2:J472),$J$2:$J$1001,0),MATCH(COLUMNS($Q$1006:U1006),$Q$1006:$U$1006,0)), HYPERLINK("#",""), HYPERLINK(CONCATENATE("#Metadata!", ADDRESS(INDEX($L$2:$L$1001,MATCH(ROWS($J$2:J472),$J$2:$J$1001,0),0), INDEX($Q$1004:$U$1004,1,MATCH(COLUMNS($Q$1006:U1006),$Q$1006:$U$1006,0)))),"Fix")))</f>
        <v xml:space="preserve"> </v>
      </c>
      <c r="J472">
        <f ca="1"/>
        <v>471</v>
      </c>
      <c r="K472">
        <v>100472</v>
      </c>
      <c r="L472">
        <v>472</v>
      </c>
      <c r="M472" t="b">
        <f t="shared" si="7"/>
        <v>1</v>
      </c>
      <c r="N472" t="b">
        <f>COUNTBLANK(Metadata!B472:F472)=COLUMNS(Metadata!B472:F472)</f>
        <v>1</v>
      </c>
      <c r="O472" t="str">
        <v/>
      </c>
      <c r="Q472" t="b">
        <f ca="1"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R472" t="b">
        <f>IF(Metadata!C472="",FALSE,TRUE)</f>
        <v>0</v>
      </c>
      <c r="S472" t="b">
        <f>OR(AND(IF(Metadata!D472="",FALSE,TRUE),EXACT(Metadata!D472,"missing: not collected")),AND(IF(Metadata!D472="",FALSE,TRUE),OR(EXACT(Metadata!D472,"t"),EXACT(Metadata!D472,"f"))))</f>
        <v>0</v>
      </c>
      <c r="T472" t="b">
        <f>AND(IF(Metadata!E472="",FALSE,TRUE),OR(EXACT(Metadata!E472,"a"),EXACT(Metadata!E472,"b")))</f>
        <v>0</v>
      </c>
      <c r="U472" t="b">
        <f>OR(AND(IF(Metadata!F472="",FALSE,TRUE),OR(EXACT(Metadata!F472,"missing: not collected"),EXACT(Metadata!F472,"missing: not provided"))),AND(IF(Metadata!F472="",FALSE,TRUE),OR(EXACT(Metadata!F472,"lo"),EXACT(Metadata!F472,"med"),EXACT(Metadata!F472,"hi"))))</f>
        <v>0</v>
      </c>
    </row>
    <row r="473" spans="1:21" x14ac:dyDescent="0.2">
      <c r="A473" s="4" t="str">
        <f ca="1">IF(B473=" "," ",HYPERLINK(CONCATENATE("#metadata!",ADDRESS(INDEX($L$2:$L$1001,MATCH(ROWS($J$2:J473),$J$2:$J$1001,0),0),1)),INDEX($O$2:$O$1001,MATCH(ROWS($J$2:J473),$J$2:$J$1001,0),0)))</f>
        <v xml:space="preserve"> </v>
      </c>
      <c r="B473" s="3" t="str">
        <f ca="1">IF(OR(INDEX($K$2:$K$1001,MATCH(ROWS($J$2:J473),$J$2:$J$1001,0),1)&gt;=100000,INDEX($Q$1005:$U$1005,1,MATCH(COLUMNS($Q$1006:Q1006),$Q$1006:$U$1006,0))&gt;=100000), " ",IF(INDEX($Q$2:$U$1001,MATCH(ROWS($J$2:J473),$J$2:$J$1001,0),MATCH(COLUMNS($Q$1006:Q1006),$Q$1006:$U$1006,0)), HYPERLINK("#",""), HYPERLINK(CONCATENATE("#Metadata!", ADDRESS(INDEX($L$2:$L$1001,MATCH(ROWS($J$2:J473),$J$2:$J$1001,0),0), INDEX($Q$1004:$U$1004,1,MATCH(COLUMNS($Q$1006:Q1006),$Q$1006:$U$1006,0)))),"Fix")))</f>
        <v xml:space="preserve"> </v>
      </c>
      <c r="C473" s="3" t="str">
        <f ca="1">IF(OR(INDEX($K$2:$K$1001,MATCH(ROWS($J$2:J473),$J$2:$J$1001,0),1)&gt;=100000,INDEX($Q$1005:$U$1005,1,MATCH(COLUMNS($Q$1006:R1006),$Q$1006:$U$1006,0))&gt;=100000), " ",IF(INDEX($Q$2:$U$1001,MATCH(ROWS($J$2:J473),$J$2:$J$1001,0),MATCH(COLUMNS($Q$1006:R1006),$Q$1006:$U$1006,0)), HYPERLINK("#",""), HYPERLINK(CONCATENATE("#Metadata!", ADDRESS(INDEX($L$2:$L$1001,MATCH(ROWS($J$2:J473),$J$2:$J$1001,0),0), INDEX($Q$1004:$U$1004,1,MATCH(COLUMNS($Q$1006:R1006),$Q$1006:$U$1006,0)))),"Fix")))</f>
        <v xml:space="preserve"> </v>
      </c>
      <c r="D473" s="3" t="str">
        <f ca="1">IF(OR(INDEX($K$2:$K$1001,MATCH(ROWS($J$2:J473),$J$2:$J$1001,0),1)&gt;=100000,INDEX($Q$1005:$U$1005,1,MATCH(COLUMNS($Q$1006:S1006),$Q$1006:$U$1006,0))&gt;=100000), " ",IF(INDEX($Q$2:$U$1001,MATCH(ROWS($J$2:J473),$J$2:$J$1001,0),MATCH(COLUMNS($Q$1006:S1006),$Q$1006:$U$1006,0)), HYPERLINK("#",""), HYPERLINK(CONCATENATE("#Metadata!", ADDRESS(INDEX($L$2:$L$1001,MATCH(ROWS($J$2:J473),$J$2:$J$1001,0),0), INDEX($Q$1004:$U$1004,1,MATCH(COLUMNS($Q$1006:S1006),$Q$1006:$U$1006,0)))),"Fix")))</f>
        <v xml:space="preserve"> </v>
      </c>
      <c r="E473" s="3" t="str">
        <f ca="1">IF(OR(INDEX($K$2:$K$1001,MATCH(ROWS($J$2:J473),$J$2:$J$1001,0),1)&gt;=100000,INDEX($Q$1005:$U$1005,1,MATCH(COLUMNS($Q$1006:T1006),$Q$1006:$U$1006,0))&gt;=100000), " ",IF(INDEX($Q$2:$U$1001,MATCH(ROWS($J$2:J473),$J$2:$J$1001,0),MATCH(COLUMNS($Q$1006:T1006),$Q$1006:$U$1006,0)), HYPERLINK("#",""), HYPERLINK(CONCATENATE("#Metadata!", ADDRESS(INDEX($L$2:$L$1001,MATCH(ROWS($J$2:J473),$J$2:$J$1001,0),0), INDEX($Q$1004:$U$1004,1,MATCH(COLUMNS($Q$1006:T1006),$Q$1006:$U$1006,0)))),"Fix")))</f>
        <v xml:space="preserve"> </v>
      </c>
      <c r="F473" s="3" t="str">
        <f ca="1">IF(OR(INDEX($K$2:$K$1001,MATCH(ROWS($J$2:J473),$J$2:$J$1001,0),1)&gt;=100000,INDEX($Q$1005:$U$1005,1,MATCH(COLUMNS($Q$1006:U1006),$Q$1006:$U$1006,0))&gt;=100000), " ",IF(INDEX($Q$2:$U$1001,MATCH(ROWS($J$2:J473),$J$2:$J$1001,0),MATCH(COLUMNS($Q$1006:U1006),$Q$1006:$U$1006,0)), HYPERLINK("#",""), HYPERLINK(CONCATENATE("#Metadata!", ADDRESS(INDEX($L$2:$L$1001,MATCH(ROWS($J$2:J473),$J$2:$J$1001,0),0), INDEX($Q$1004:$U$1004,1,MATCH(COLUMNS($Q$1006:U1006),$Q$1006:$U$1006,0)))),"Fix")))</f>
        <v xml:space="preserve"> </v>
      </c>
      <c r="J473">
        <f ca="1"/>
        <v>472</v>
      </c>
      <c r="K473">
        <v>100473</v>
      </c>
      <c r="L473">
        <v>473</v>
      </c>
      <c r="M473" t="b">
        <f t="shared" si="7"/>
        <v>1</v>
      </c>
      <c r="N473" t="b">
        <f>COUNTBLANK(Metadata!B473:F473)=COLUMNS(Metadata!B473:F473)</f>
        <v>1</v>
      </c>
      <c r="O473" t="str">
        <v/>
      </c>
      <c r="Q473" t="b">
        <f ca="1"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R473" t="b">
        <f>IF(Metadata!C473="",FALSE,TRUE)</f>
        <v>0</v>
      </c>
      <c r="S473" t="b">
        <f>OR(AND(IF(Metadata!D473="",FALSE,TRUE),EXACT(Metadata!D473,"missing: not collected")),AND(IF(Metadata!D473="",FALSE,TRUE),OR(EXACT(Metadata!D473,"t"),EXACT(Metadata!D473,"f"))))</f>
        <v>0</v>
      </c>
      <c r="T473" t="b">
        <f>AND(IF(Metadata!E473="",FALSE,TRUE),OR(EXACT(Metadata!E473,"a"),EXACT(Metadata!E473,"b")))</f>
        <v>0</v>
      </c>
      <c r="U473" t="b">
        <f>OR(AND(IF(Metadata!F473="",FALSE,TRUE),OR(EXACT(Metadata!F473,"missing: not collected"),EXACT(Metadata!F473,"missing: not provided"))),AND(IF(Metadata!F473="",FALSE,TRUE),OR(EXACT(Metadata!F473,"lo"),EXACT(Metadata!F473,"med"),EXACT(Metadata!F473,"hi"))))</f>
        <v>0</v>
      </c>
    </row>
    <row r="474" spans="1:21" x14ac:dyDescent="0.2">
      <c r="A474" s="4" t="str">
        <f ca="1">IF(B474=" "," ",HYPERLINK(CONCATENATE("#metadata!",ADDRESS(INDEX($L$2:$L$1001,MATCH(ROWS($J$2:J474),$J$2:$J$1001,0),0),1)),INDEX($O$2:$O$1001,MATCH(ROWS($J$2:J474),$J$2:$J$1001,0),0)))</f>
        <v xml:space="preserve"> </v>
      </c>
      <c r="B474" s="3" t="str">
        <f ca="1">IF(OR(INDEX($K$2:$K$1001,MATCH(ROWS($J$2:J474),$J$2:$J$1001,0),1)&gt;=100000,INDEX($Q$1005:$U$1005,1,MATCH(COLUMNS($Q$1006:Q1006),$Q$1006:$U$1006,0))&gt;=100000), " ",IF(INDEX($Q$2:$U$1001,MATCH(ROWS($J$2:J474),$J$2:$J$1001,0),MATCH(COLUMNS($Q$1006:Q1006),$Q$1006:$U$1006,0)), HYPERLINK("#",""), HYPERLINK(CONCATENATE("#Metadata!", ADDRESS(INDEX($L$2:$L$1001,MATCH(ROWS($J$2:J474),$J$2:$J$1001,0),0), INDEX($Q$1004:$U$1004,1,MATCH(COLUMNS($Q$1006:Q1006),$Q$1006:$U$1006,0)))),"Fix")))</f>
        <v xml:space="preserve"> </v>
      </c>
      <c r="C474" s="3" t="str">
        <f ca="1">IF(OR(INDEX($K$2:$K$1001,MATCH(ROWS($J$2:J474),$J$2:$J$1001,0),1)&gt;=100000,INDEX($Q$1005:$U$1005,1,MATCH(COLUMNS($Q$1006:R1006),$Q$1006:$U$1006,0))&gt;=100000), " ",IF(INDEX($Q$2:$U$1001,MATCH(ROWS($J$2:J474),$J$2:$J$1001,0),MATCH(COLUMNS($Q$1006:R1006),$Q$1006:$U$1006,0)), HYPERLINK("#",""), HYPERLINK(CONCATENATE("#Metadata!", ADDRESS(INDEX($L$2:$L$1001,MATCH(ROWS($J$2:J474),$J$2:$J$1001,0),0), INDEX($Q$1004:$U$1004,1,MATCH(COLUMNS($Q$1006:R1006),$Q$1006:$U$1006,0)))),"Fix")))</f>
        <v xml:space="preserve"> </v>
      </c>
      <c r="D474" s="3" t="str">
        <f ca="1">IF(OR(INDEX($K$2:$K$1001,MATCH(ROWS($J$2:J474),$J$2:$J$1001,0),1)&gt;=100000,INDEX($Q$1005:$U$1005,1,MATCH(COLUMNS($Q$1006:S1006),$Q$1006:$U$1006,0))&gt;=100000), " ",IF(INDEX($Q$2:$U$1001,MATCH(ROWS($J$2:J474),$J$2:$J$1001,0),MATCH(COLUMNS($Q$1006:S1006),$Q$1006:$U$1006,0)), HYPERLINK("#",""), HYPERLINK(CONCATENATE("#Metadata!", ADDRESS(INDEX($L$2:$L$1001,MATCH(ROWS($J$2:J474),$J$2:$J$1001,0),0), INDEX($Q$1004:$U$1004,1,MATCH(COLUMNS($Q$1006:S1006),$Q$1006:$U$1006,0)))),"Fix")))</f>
        <v xml:space="preserve"> </v>
      </c>
      <c r="E474" s="3" t="str">
        <f ca="1">IF(OR(INDEX($K$2:$K$1001,MATCH(ROWS($J$2:J474),$J$2:$J$1001,0),1)&gt;=100000,INDEX($Q$1005:$U$1005,1,MATCH(COLUMNS($Q$1006:T1006),$Q$1006:$U$1006,0))&gt;=100000), " ",IF(INDEX($Q$2:$U$1001,MATCH(ROWS($J$2:J474),$J$2:$J$1001,0),MATCH(COLUMNS($Q$1006:T1006),$Q$1006:$U$1006,0)), HYPERLINK("#",""), HYPERLINK(CONCATENATE("#Metadata!", ADDRESS(INDEX($L$2:$L$1001,MATCH(ROWS($J$2:J474),$J$2:$J$1001,0),0), INDEX($Q$1004:$U$1004,1,MATCH(COLUMNS($Q$1006:T1006),$Q$1006:$U$1006,0)))),"Fix")))</f>
        <v xml:space="preserve"> </v>
      </c>
      <c r="F474" s="3" t="str">
        <f ca="1">IF(OR(INDEX($K$2:$K$1001,MATCH(ROWS($J$2:J474),$J$2:$J$1001,0),1)&gt;=100000,INDEX($Q$1005:$U$1005,1,MATCH(COLUMNS($Q$1006:U1006),$Q$1006:$U$1006,0))&gt;=100000), " ",IF(INDEX($Q$2:$U$1001,MATCH(ROWS($J$2:J474),$J$2:$J$1001,0),MATCH(COLUMNS($Q$1006:U1006),$Q$1006:$U$1006,0)), HYPERLINK("#",""), HYPERLINK(CONCATENATE("#Metadata!", ADDRESS(INDEX($L$2:$L$1001,MATCH(ROWS($J$2:J474),$J$2:$J$1001,0),0), INDEX($Q$1004:$U$1004,1,MATCH(COLUMNS($Q$1006:U1006),$Q$1006:$U$1006,0)))),"Fix")))</f>
        <v xml:space="preserve"> </v>
      </c>
      <c r="J474">
        <f ca="1"/>
        <v>473</v>
      </c>
      <c r="K474">
        <v>100474</v>
      </c>
      <c r="L474">
        <v>474</v>
      </c>
      <c r="M474" t="b">
        <f t="shared" si="7"/>
        <v>1</v>
      </c>
      <c r="N474" t="b">
        <f>COUNTBLANK(Metadata!B474:F474)=COLUMNS(Metadata!B474:F474)</f>
        <v>1</v>
      </c>
      <c r="O474" t="str">
        <v/>
      </c>
      <c r="Q474" t="b">
        <f ca="1"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R474" t="b">
        <f>IF(Metadata!C474="",FALSE,TRUE)</f>
        <v>0</v>
      </c>
      <c r="S474" t="b">
        <f>OR(AND(IF(Metadata!D474="",FALSE,TRUE),EXACT(Metadata!D474,"missing: not collected")),AND(IF(Metadata!D474="",FALSE,TRUE),OR(EXACT(Metadata!D474,"t"),EXACT(Metadata!D474,"f"))))</f>
        <v>0</v>
      </c>
      <c r="T474" t="b">
        <f>AND(IF(Metadata!E474="",FALSE,TRUE),OR(EXACT(Metadata!E474,"a"),EXACT(Metadata!E474,"b")))</f>
        <v>0</v>
      </c>
      <c r="U474" t="b">
        <f>OR(AND(IF(Metadata!F474="",FALSE,TRUE),OR(EXACT(Metadata!F474,"missing: not collected"),EXACT(Metadata!F474,"missing: not provided"))),AND(IF(Metadata!F474="",FALSE,TRUE),OR(EXACT(Metadata!F474,"lo"),EXACT(Metadata!F474,"med"),EXACT(Metadata!F474,"hi"))))</f>
        <v>0</v>
      </c>
    </row>
    <row r="475" spans="1:21" x14ac:dyDescent="0.2">
      <c r="A475" s="4" t="str">
        <f ca="1">IF(B475=" "," ",HYPERLINK(CONCATENATE("#metadata!",ADDRESS(INDEX($L$2:$L$1001,MATCH(ROWS($J$2:J475),$J$2:$J$1001,0),0),1)),INDEX($O$2:$O$1001,MATCH(ROWS($J$2:J475),$J$2:$J$1001,0),0)))</f>
        <v xml:space="preserve"> </v>
      </c>
      <c r="B475" s="3" t="str">
        <f ca="1">IF(OR(INDEX($K$2:$K$1001,MATCH(ROWS($J$2:J475),$J$2:$J$1001,0),1)&gt;=100000,INDEX($Q$1005:$U$1005,1,MATCH(COLUMNS($Q$1006:Q1006),$Q$1006:$U$1006,0))&gt;=100000), " ",IF(INDEX($Q$2:$U$1001,MATCH(ROWS($J$2:J475),$J$2:$J$1001,0),MATCH(COLUMNS($Q$1006:Q1006),$Q$1006:$U$1006,0)), HYPERLINK("#",""), HYPERLINK(CONCATENATE("#Metadata!", ADDRESS(INDEX($L$2:$L$1001,MATCH(ROWS($J$2:J475),$J$2:$J$1001,0),0), INDEX($Q$1004:$U$1004,1,MATCH(COLUMNS($Q$1006:Q1006),$Q$1006:$U$1006,0)))),"Fix")))</f>
        <v xml:space="preserve"> </v>
      </c>
      <c r="C475" s="3" t="str">
        <f ca="1">IF(OR(INDEX($K$2:$K$1001,MATCH(ROWS($J$2:J475),$J$2:$J$1001,0),1)&gt;=100000,INDEX($Q$1005:$U$1005,1,MATCH(COLUMNS($Q$1006:R1006),$Q$1006:$U$1006,0))&gt;=100000), " ",IF(INDEX($Q$2:$U$1001,MATCH(ROWS($J$2:J475),$J$2:$J$1001,0),MATCH(COLUMNS($Q$1006:R1006),$Q$1006:$U$1006,0)), HYPERLINK("#",""), HYPERLINK(CONCATENATE("#Metadata!", ADDRESS(INDEX($L$2:$L$1001,MATCH(ROWS($J$2:J475),$J$2:$J$1001,0),0), INDEX($Q$1004:$U$1004,1,MATCH(COLUMNS($Q$1006:R1006),$Q$1006:$U$1006,0)))),"Fix")))</f>
        <v xml:space="preserve"> </v>
      </c>
      <c r="D475" s="3" t="str">
        <f ca="1">IF(OR(INDEX($K$2:$K$1001,MATCH(ROWS($J$2:J475),$J$2:$J$1001,0),1)&gt;=100000,INDEX($Q$1005:$U$1005,1,MATCH(COLUMNS($Q$1006:S1006),$Q$1006:$U$1006,0))&gt;=100000), " ",IF(INDEX($Q$2:$U$1001,MATCH(ROWS($J$2:J475),$J$2:$J$1001,0),MATCH(COLUMNS($Q$1006:S1006),$Q$1006:$U$1006,0)), HYPERLINK("#",""), HYPERLINK(CONCATENATE("#Metadata!", ADDRESS(INDEX($L$2:$L$1001,MATCH(ROWS($J$2:J475),$J$2:$J$1001,0),0), INDEX($Q$1004:$U$1004,1,MATCH(COLUMNS($Q$1006:S1006),$Q$1006:$U$1006,0)))),"Fix")))</f>
        <v xml:space="preserve"> </v>
      </c>
      <c r="E475" s="3" t="str">
        <f ca="1">IF(OR(INDEX($K$2:$K$1001,MATCH(ROWS($J$2:J475),$J$2:$J$1001,0),1)&gt;=100000,INDEX($Q$1005:$U$1005,1,MATCH(COLUMNS($Q$1006:T1006),$Q$1006:$U$1006,0))&gt;=100000), " ",IF(INDEX($Q$2:$U$1001,MATCH(ROWS($J$2:J475),$J$2:$J$1001,0),MATCH(COLUMNS($Q$1006:T1006),$Q$1006:$U$1006,0)), HYPERLINK("#",""), HYPERLINK(CONCATENATE("#Metadata!", ADDRESS(INDEX($L$2:$L$1001,MATCH(ROWS($J$2:J475),$J$2:$J$1001,0),0), INDEX($Q$1004:$U$1004,1,MATCH(COLUMNS($Q$1006:T1006),$Q$1006:$U$1006,0)))),"Fix")))</f>
        <v xml:space="preserve"> </v>
      </c>
      <c r="F475" s="3" t="str">
        <f ca="1">IF(OR(INDEX($K$2:$K$1001,MATCH(ROWS($J$2:J475),$J$2:$J$1001,0),1)&gt;=100000,INDEX($Q$1005:$U$1005,1,MATCH(COLUMNS($Q$1006:U1006),$Q$1006:$U$1006,0))&gt;=100000), " ",IF(INDEX($Q$2:$U$1001,MATCH(ROWS($J$2:J475),$J$2:$J$1001,0),MATCH(COLUMNS($Q$1006:U1006),$Q$1006:$U$1006,0)), HYPERLINK("#",""), HYPERLINK(CONCATENATE("#Metadata!", ADDRESS(INDEX($L$2:$L$1001,MATCH(ROWS($J$2:J475),$J$2:$J$1001,0),0), INDEX($Q$1004:$U$1004,1,MATCH(COLUMNS($Q$1006:U1006),$Q$1006:$U$1006,0)))),"Fix")))</f>
        <v xml:space="preserve"> </v>
      </c>
      <c r="J475">
        <f ca="1"/>
        <v>474</v>
      </c>
      <c r="K475">
        <v>100475</v>
      </c>
      <c r="L475">
        <v>475</v>
      </c>
      <c r="M475" t="b">
        <f t="shared" si="7"/>
        <v>1</v>
      </c>
      <c r="N475" t="b">
        <f>COUNTBLANK(Metadata!B475:F475)=COLUMNS(Metadata!B475:F475)</f>
        <v>1</v>
      </c>
      <c r="O475" t="str">
        <v/>
      </c>
      <c r="Q475" t="b">
        <f ca="1"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R475" t="b">
        <f>IF(Metadata!C475="",FALSE,TRUE)</f>
        <v>0</v>
      </c>
      <c r="S475" t="b">
        <f>OR(AND(IF(Metadata!D475="",FALSE,TRUE),EXACT(Metadata!D475,"missing: not collected")),AND(IF(Metadata!D475="",FALSE,TRUE),OR(EXACT(Metadata!D475,"t"),EXACT(Metadata!D475,"f"))))</f>
        <v>0</v>
      </c>
      <c r="T475" t="b">
        <f>AND(IF(Metadata!E475="",FALSE,TRUE),OR(EXACT(Metadata!E475,"a"),EXACT(Metadata!E475,"b")))</f>
        <v>0</v>
      </c>
      <c r="U475" t="b">
        <f>OR(AND(IF(Metadata!F475="",FALSE,TRUE),OR(EXACT(Metadata!F475,"missing: not collected"),EXACT(Metadata!F475,"missing: not provided"))),AND(IF(Metadata!F475="",FALSE,TRUE),OR(EXACT(Metadata!F475,"lo"),EXACT(Metadata!F475,"med"),EXACT(Metadata!F475,"hi"))))</f>
        <v>0</v>
      </c>
    </row>
    <row r="476" spans="1:21" x14ac:dyDescent="0.2">
      <c r="A476" s="4" t="str">
        <f ca="1">IF(B476=" "," ",HYPERLINK(CONCATENATE("#metadata!",ADDRESS(INDEX($L$2:$L$1001,MATCH(ROWS($J$2:J476),$J$2:$J$1001,0),0),1)),INDEX($O$2:$O$1001,MATCH(ROWS($J$2:J476),$J$2:$J$1001,0),0)))</f>
        <v xml:space="preserve"> </v>
      </c>
      <c r="B476" s="3" t="str">
        <f ca="1">IF(OR(INDEX($K$2:$K$1001,MATCH(ROWS($J$2:J476),$J$2:$J$1001,0),1)&gt;=100000,INDEX($Q$1005:$U$1005,1,MATCH(COLUMNS($Q$1006:Q1006),$Q$1006:$U$1006,0))&gt;=100000), " ",IF(INDEX($Q$2:$U$1001,MATCH(ROWS($J$2:J476),$J$2:$J$1001,0),MATCH(COLUMNS($Q$1006:Q1006),$Q$1006:$U$1006,0)), HYPERLINK("#",""), HYPERLINK(CONCATENATE("#Metadata!", ADDRESS(INDEX($L$2:$L$1001,MATCH(ROWS($J$2:J476),$J$2:$J$1001,0),0), INDEX($Q$1004:$U$1004,1,MATCH(COLUMNS($Q$1006:Q1006),$Q$1006:$U$1006,0)))),"Fix")))</f>
        <v xml:space="preserve"> </v>
      </c>
      <c r="C476" s="3" t="str">
        <f ca="1">IF(OR(INDEX($K$2:$K$1001,MATCH(ROWS($J$2:J476),$J$2:$J$1001,0),1)&gt;=100000,INDEX($Q$1005:$U$1005,1,MATCH(COLUMNS($Q$1006:R1006),$Q$1006:$U$1006,0))&gt;=100000), " ",IF(INDEX($Q$2:$U$1001,MATCH(ROWS($J$2:J476),$J$2:$J$1001,0),MATCH(COLUMNS($Q$1006:R1006),$Q$1006:$U$1006,0)), HYPERLINK("#",""), HYPERLINK(CONCATENATE("#Metadata!", ADDRESS(INDEX($L$2:$L$1001,MATCH(ROWS($J$2:J476),$J$2:$J$1001,0),0), INDEX($Q$1004:$U$1004,1,MATCH(COLUMNS($Q$1006:R1006),$Q$1006:$U$1006,0)))),"Fix")))</f>
        <v xml:space="preserve"> </v>
      </c>
      <c r="D476" s="3" t="str">
        <f ca="1">IF(OR(INDEX($K$2:$K$1001,MATCH(ROWS($J$2:J476),$J$2:$J$1001,0),1)&gt;=100000,INDEX($Q$1005:$U$1005,1,MATCH(COLUMNS($Q$1006:S1006),$Q$1006:$U$1006,0))&gt;=100000), " ",IF(INDEX($Q$2:$U$1001,MATCH(ROWS($J$2:J476),$J$2:$J$1001,0),MATCH(COLUMNS($Q$1006:S1006),$Q$1006:$U$1006,0)), HYPERLINK("#",""), HYPERLINK(CONCATENATE("#Metadata!", ADDRESS(INDEX($L$2:$L$1001,MATCH(ROWS($J$2:J476),$J$2:$J$1001,0),0), INDEX($Q$1004:$U$1004,1,MATCH(COLUMNS($Q$1006:S1006),$Q$1006:$U$1006,0)))),"Fix")))</f>
        <v xml:space="preserve"> </v>
      </c>
      <c r="E476" s="3" t="str">
        <f ca="1">IF(OR(INDEX($K$2:$K$1001,MATCH(ROWS($J$2:J476),$J$2:$J$1001,0),1)&gt;=100000,INDEX($Q$1005:$U$1005,1,MATCH(COLUMNS($Q$1006:T1006),$Q$1006:$U$1006,0))&gt;=100000), " ",IF(INDEX($Q$2:$U$1001,MATCH(ROWS($J$2:J476),$J$2:$J$1001,0),MATCH(COLUMNS($Q$1006:T1006),$Q$1006:$U$1006,0)), HYPERLINK("#",""), HYPERLINK(CONCATENATE("#Metadata!", ADDRESS(INDEX($L$2:$L$1001,MATCH(ROWS($J$2:J476),$J$2:$J$1001,0),0), INDEX($Q$1004:$U$1004,1,MATCH(COLUMNS($Q$1006:T1006),$Q$1006:$U$1006,0)))),"Fix")))</f>
        <v xml:space="preserve"> </v>
      </c>
      <c r="F476" s="3" t="str">
        <f ca="1">IF(OR(INDEX($K$2:$K$1001,MATCH(ROWS($J$2:J476),$J$2:$J$1001,0),1)&gt;=100000,INDEX($Q$1005:$U$1005,1,MATCH(COLUMNS($Q$1006:U1006),$Q$1006:$U$1006,0))&gt;=100000), " ",IF(INDEX($Q$2:$U$1001,MATCH(ROWS($J$2:J476),$J$2:$J$1001,0),MATCH(COLUMNS($Q$1006:U1006),$Q$1006:$U$1006,0)), HYPERLINK("#",""), HYPERLINK(CONCATENATE("#Metadata!", ADDRESS(INDEX($L$2:$L$1001,MATCH(ROWS($J$2:J476),$J$2:$J$1001,0),0), INDEX($Q$1004:$U$1004,1,MATCH(COLUMNS($Q$1006:U1006),$Q$1006:$U$1006,0)))),"Fix")))</f>
        <v xml:space="preserve"> </v>
      </c>
      <c r="J476">
        <f ca="1"/>
        <v>475</v>
      </c>
      <c r="K476">
        <v>100476</v>
      </c>
      <c r="L476">
        <v>476</v>
      </c>
      <c r="M476" t="b">
        <f t="shared" si="7"/>
        <v>1</v>
      </c>
      <c r="N476" t="b">
        <f>COUNTBLANK(Metadata!B476:F476)=COLUMNS(Metadata!B476:F476)</f>
        <v>1</v>
      </c>
      <c r="O476" t="str">
        <v/>
      </c>
      <c r="Q476" t="b">
        <f ca="1"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R476" t="b">
        <f>IF(Metadata!C476="",FALSE,TRUE)</f>
        <v>0</v>
      </c>
      <c r="S476" t="b">
        <f>OR(AND(IF(Metadata!D476="",FALSE,TRUE),EXACT(Metadata!D476,"missing: not collected")),AND(IF(Metadata!D476="",FALSE,TRUE),OR(EXACT(Metadata!D476,"t"),EXACT(Metadata!D476,"f"))))</f>
        <v>0</v>
      </c>
      <c r="T476" t="b">
        <f>AND(IF(Metadata!E476="",FALSE,TRUE),OR(EXACT(Metadata!E476,"a"),EXACT(Metadata!E476,"b")))</f>
        <v>0</v>
      </c>
      <c r="U476" t="b">
        <f>OR(AND(IF(Metadata!F476="",FALSE,TRUE),OR(EXACT(Metadata!F476,"missing: not collected"),EXACT(Metadata!F476,"missing: not provided"))),AND(IF(Metadata!F476="",FALSE,TRUE),OR(EXACT(Metadata!F476,"lo"),EXACT(Metadata!F476,"med"),EXACT(Metadata!F476,"hi"))))</f>
        <v>0</v>
      </c>
    </row>
    <row r="477" spans="1:21" x14ac:dyDescent="0.2">
      <c r="A477" s="4" t="str">
        <f ca="1">IF(B477=" "," ",HYPERLINK(CONCATENATE("#metadata!",ADDRESS(INDEX($L$2:$L$1001,MATCH(ROWS($J$2:J477),$J$2:$J$1001,0),0),1)),INDEX($O$2:$O$1001,MATCH(ROWS($J$2:J477),$J$2:$J$1001,0),0)))</f>
        <v xml:space="preserve"> </v>
      </c>
      <c r="B477" s="3" t="str">
        <f ca="1">IF(OR(INDEX($K$2:$K$1001,MATCH(ROWS($J$2:J477),$J$2:$J$1001,0),1)&gt;=100000,INDEX($Q$1005:$U$1005,1,MATCH(COLUMNS($Q$1006:Q1006),$Q$1006:$U$1006,0))&gt;=100000), " ",IF(INDEX($Q$2:$U$1001,MATCH(ROWS($J$2:J477),$J$2:$J$1001,0),MATCH(COLUMNS($Q$1006:Q1006),$Q$1006:$U$1006,0)), HYPERLINK("#",""), HYPERLINK(CONCATENATE("#Metadata!", ADDRESS(INDEX($L$2:$L$1001,MATCH(ROWS($J$2:J477),$J$2:$J$1001,0),0), INDEX($Q$1004:$U$1004,1,MATCH(COLUMNS($Q$1006:Q1006),$Q$1006:$U$1006,0)))),"Fix")))</f>
        <v xml:space="preserve"> </v>
      </c>
      <c r="C477" s="3" t="str">
        <f ca="1">IF(OR(INDEX($K$2:$K$1001,MATCH(ROWS($J$2:J477),$J$2:$J$1001,0),1)&gt;=100000,INDEX($Q$1005:$U$1005,1,MATCH(COLUMNS($Q$1006:R1006),$Q$1006:$U$1006,0))&gt;=100000), " ",IF(INDEX($Q$2:$U$1001,MATCH(ROWS($J$2:J477),$J$2:$J$1001,0),MATCH(COLUMNS($Q$1006:R1006),$Q$1006:$U$1006,0)), HYPERLINK("#",""), HYPERLINK(CONCATENATE("#Metadata!", ADDRESS(INDEX($L$2:$L$1001,MATCH(ROWS($J$2:J477),$J$2:$J$1001,0),0), INDEX($Q$1004:$U$1004,1,MATCH(COLUMNS($Q$1006:R1006),$Q$1006:$U$1006,0)))),"Fix")))</f>
        <v xml:space="preserve"> </v>
      </c>
      <c r="D477" s="3" t="str">
        <f ca="1">IF(OR(INDEX($K$2:$K$1001,MATCH(ROWS($J$2:J477),$J$2:$J$1001,0),1)&gt;=100000,INDEX($Q$1005:$U$1005,1,MATCH(COLUMNS($Q$1006:S1006),$Q$1006:$U$1006,0))&gt;=100000), " ",IF(INDEX($Q$2:$U$1001,MATCH(ROWS($J$2:J477),$J$2:$J$1001,0),MATCH(COLUMNS($Q$1006:S1006),$Q$1006:$U$1006,0)), HYPERLINK("#",""), HYPERLINK(CONCATENATE("#Metadata!", ADDRESS(INDEX($L$2:$L$1001,MATCH(ROWS($J$2:J477),$J$2:$J$1001,0),0), INDEX($Q$1004:$U$1004,1,MATCH(COLUMNS($Q$1006:S1006),$Q$1006:$U$1006,0)))),"Fix")))</f>
        <v xml:space="preserve"> </v>
      </c>
      <c r="E477" s="3" t="str">
        <f ca="1">IF(OR(INDEX($K$2:$K$1001,MATCH(ROWS($J$2:J477),$J$2:$J$1001,0),1)&gt;=100000,INDEX($Q$1005:$U$1005,1,MATCH(COLUMNS($Q$1006:T1006),$Q$1006:$U$1006,0))&gt;=100000), " ",IF(INDEX($Q$2:$U$1001,MATCH(ROWS($J$2:J477),$J$2:$J$1001,0),MATCH(COLUMNS($Q$1006:T1006),$Q$1006:$U$1006,0)), HYPERLINK("#",""), HYPERLINK(CONCATENATE("#Metadata!", ADDRESS(INDEX($L$2:$L$1001,MATCH(ROWS($J$2:J477),$J$2:$J$1001,0),0), INDEX($Q$1004:$U$1004,1,MATCH(COLUMNS($Q$1006:T1006),$Q$1006:$U$1006,0)))),"Fix")))</f>
        <v xml:space="preserve"> </v>
      </c>
      <c r="F477" s="3" t="str">
        <f ca="1">IF(OR(INDEX($K$2:$K$1001,MATCH(ROWS($J$2:J477),$J$2:$J$1001,0),1)&gt;=100000,INDEX($Q$1005:$U$1005,1,MATCH(COLUMNS($Q$1006:U1006),$Q$1006:$U$1006,0))&gt;=100000), " ",IF(INDEX($Q$2:$U$1001,MATCH(ROWS($J$2:J477),$J$2:$J$1001,0),MATCH(COLUMNS($Q$1006:U1006),$Q$1006:$U$1006,0)), HYPERLINK("#",""), HYPERLINK(CONCATENATE("#Metadata!", ADDRESS(INDEX($L$2:$L$1001,MATCH(ROWS($J$2:J477),$J$2:$J$1001,0),0), INDEX($Q$1004:$U$1004,1,MATCH(COLUMNS($Q$1006:U1006),$Q$1006:$U$1006,0)))),"Fix")))</f>
        <v xml:space="preserve"> </v>
      </c>
      <c r="J477">
        <f ca="1"/>
        <v>476</v>
      </c>
      <c r="K477">
        <v>100477</v>
      </c>
      <c r="L477">
        <v>477</v>
      </c>
      <c r="M477" t="b">
        <f t="shared" si="7"/>
        <v>1</v>
      </c>
      <c r="N477" t="b">
        <f>COUNTBLANK(Metadata!B477:F477)=COLUMNS(Metadata!B477:F477)</f>
        <v>1</v>
      </c>
      <c r="O477" t="str">
        <v/>
      </c>
      <c r="Q477" t="b">
        <f ca="1"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R477" t="b">
        <f>IF(Metadata!C477="",FALSE,TRUE)</f>
        <v>0</v>
      </c>
      <c r="S477" t="b">
        <f>OR(AND(IF(Metadata!D477="",FALSE,TRUE),EXACT(Metadata!D477,"missing: not collected")),AND(IF(Metadata!D477="",FALSE,TRUE),OR(EXACT(Metadata!D477,"t"),EXACT(Metadata!D477,"f"))))</f>
        <v>0</v>
      </c>
      <c r="T477" t="b">
        <f>AND(IF(Metadata!E477="",FALSE,TRUE),OR(EXACT(Metadata!E477,"a"),EXACT(Metadata!E477,"b")))</f>
        <v>0</v>
      </c>
      <c r="U477" t="b">
        <f>OR(AND(IF(Metadata!F477="",FALSE,TRUE),OR(EXACT(Metadata!F477,"missing: not collected"),EXACT(Metadata!F477,"missing: not provided"))),AND(IF(Metadata!F477="",FALSE,TRUE),OR(EXACT(Metadata!F477,"lo"),EXACT(Metadata!F477,"med"),EXACT(Metadata!F477,"hi"))))</f>
        <v>0</v>
      </c>
    </row>
    <row r="478" spans="1:21" x14ac:dyDescent="0.2">
      <c r="A478" s="4" t="str">
        <f ca="1">IF(B478=" "," ",HYPERLINK(CONCATENATE("#metadata!",ADDRESS(INDEX($L$2:$L$1001,MATCH(ROWS($J$2:J478),$J$2:$J$1001,0),0),1)),INDEX($O$2:$O$1001,MATCH(ROWS($J$2:J478),$J$2:$J$1001,0),0)))</f>
        <v xml:space="preserve"> </v>
      </c>
      <c r="B478" s="3" t="str">
        <f ca="1">IF(OR(INDEX($K$2:$K$1001,MATCH(ROWS($J$2:J478),$J$2:$J$1001,0),1)&gt;=100000,INDEX($Q$1005:$U$1005,1,MATCH(COLUMNS($Q$1006:Q1006),$Q$1006:$U$1006,0))&gt;=100000), " ",IF(INDEX($Q$2:$U$1001,MATCH(ROWS($J$2:J478),$J$2:$J$1001,0),MATCH(COLUMNS($Q$1006:Q1006),$Q$1006:$U$1006,0)), HYPERLINK("#",""), HYPERLINK(CONCATENATE("#Metadata!", ADDRESS(INDEX($L$2:$L$1001,MATCH(ROWS($J$2:J478),$J$2:$J$1001,0),0), INDEX($Q$1004:$U$1004,1,MATCH(COLUMNS($Q$1006:Q1006),$Q$1006:$U$1006,0)))),"Fix")))</f>
        <v xml:space="preserve"> </v>
      </c>
      <c r="C478" s="3" t="str">
        <f ca="1">IF(OR(INDEX($K$2:$K$1001,MATCH(ROWS($J$2:J478),$J$2:$J$1001,0),1)&gt;=100000,INDEX($Q$1005:$U$1005,1,MATCH(COLUMNS($Q$1006:R1006),$Q$1006:$U$1006,0))&gt;=100000), " ",IF(INDEX($Q$2:$U$1001,MATCH(ROWS($J$2:J478),$J$2:$J$1001,0),MATCH(COLUMNS($Q$1006:R1006),$Q$1006:$U$1006,0)), HYPERLINK("#",""), HYPERLINK(CONCATENATE("#Metadata!", ADDRESS(INDEX($L$2:$L$1001,MATCH(ROWS($J$2:J478),$J$2:$J$1001,0),0), INDEX($Q$1004:$U$1004,1,MATCH(COLUMNS($Q$1006:R1006),$Q$1006:$U$1006,0)))),"Fix")))</f>
        <v xml:space="preserve"> </v>
      </c>
      <c r="D478" s="3" t="str">
        <f ca="1">IF(OR(INDEX($K$2:$K$1001,MATCH(ROWS($J$2:J478),$J$2:$J$1001,0),1)&gt;=100000,INDEX($Q$1005:$U$1005,1,MATCH(COLUMNS($Q$1006:S1006),$Q$1006:$U$1006,0))&gt;=100000), " ",IF(INDEX($Q$2:$U$1001,MATCH(ROWS($J$2:J478),$J$2:$J$1001,0),MATCH(COLUMNS($Q$1006:S1006),$Q$1006:$U$1006,0)), HYPERLINK("#",""), HYPERLINK(CONCATENATE("#Metadata!", ADDRESS(INDEX($L$2:$L$1001,MATCH(ROWS($J$2:J478),$J$2:$J$1001,0),0), INDEX($Q$1004:$U$1004,1,MATCH(COLUMNS($Q$1006:S1006),$Q$1006:$U$1006,0)))),"Fix")))</f>
        <v xml:space="preserve"> </v>
      </c>
      <c r="E478" s="3" t="str">
        <f ca="1">IF(OR(INDEX($K$2:$K$1001,MATCH(ROWS($J$2:J478),$J$2:$J$1001,0),1)&gt;=100000,INDEX($Q$1005:$U$1005,1,MATCH(COLUMNS($Q$1006:T1006),$Q$1006:$U$1006,0))&gt;=100000), " ",IF(INDEX($Q$2:$U$1001,MATCH(ROWS($J$2:J478),$J$2:$J$1001,0),MATCH(COLUMNS($Q$1006:T1006),$Q$1006:$U$1006,0)), HYPERLINK("#",""), HYPERLINK(CONCATENATE("#Metadata!", ADDRESS(INDEX($L$2:$L$1001,MATCH(ROWS($J$2:J478),$J$2:$J$1001,0),0), INDEX($Q$1004:$U$1004,1,MATCH(COLUMNS($Q$1006:T1006),$Q$1006:$U$1006,0)))),"Fix")))</f>
        <v xml:space="preserve"> </v>
      </c>
      <c r="F478" s="3" t="str">
        <f ca="1">IF(OR(INDEX($K$2:$K$1001,MATCH(ROWS($J$2:J478),$J$2:$J$1001,0),1)&gt;=100000,INDEX($Q$1005:$U$1005,1,MATCH(COLUMNS($Q$1006:U1006),$Q$1006:$U$1006,0))&gt;=100000), " ",IF(INDEX($Q$2:$U$1001,MATCH(ROWS($J$2:J478),$J$2:$J$1001,0),MATCH(COLUMNS($Q$1006:U1006),$Q$1006:$U$1006,0)), HYPERLINK("#",""), HYPERLINK(CONCATENATE("#Metadata!", ADDRESS(INDEX($L$2:$L$1001,MATCH(ROWS($J$2:J478),$J$2:$J$1001,0),0), INDEX($Q$1004:$U$1004,1,MATCH(COLUMNS($Q$1006:U1006),$Q$1006:$U$1006,0)))),"Fix")))</f>
        <v xml:space="preserve"> </v>
      </c>
      <c r="J478">
        <f ca="1"/>
        <v>477</v>
      </c>
      <c r="K478">
        <v>100478</v>
      </c>
      <c r="L478">
        <v>478</v>
      </c>
      <c r="M478" t="b">
        <f t="shared" si="7"/>
        <v>1</v>
      </c>
      <c r="N478" t="b">
        <f>COUNTBLANK(Metadata!B478:F478)=COLUMNS(Metadata!B478:F478)</f>
        <v>1</v>
      </c>
      <c r="O478" t="str">
        <v/>
      </c>
      <c r="Q478" t="b">
        <f ca="1"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R478" t="b">
        <f>IF(Metadata!C478="",FALSE,TRUE)</f>
        <v>0</v>
      </c>
      <c r="S478" t="b">
        <f>OR(AND(IF(Metadata!D478="",FALSE,TRUE),EXACT(Metadata!D478,"missing: not collected")),AND(IF(Metadata!D478="",FALSE,TRUE),OR(EXACT(Metadata!D478,"t"),EXACT(Metadata!D478,"f"))))</f>
        <v>0</v>
      </c>
      <c r="T478" t="b">
        <f>AND(IF(Metadata!E478="",FALSE,TRUE),OR(EXACT(Metadata!E478,"a"),EXACT(Metadata!E478,"b")))</f>
        <v>0</v>
      </c>
      <c r="U478" t="b">
        <f>OR(AND(IF(Metadata!F478="",FALSE,TRUE),OR(EXACT(Metadata!F478,"missing: not collected"),EXACT(Metadata!F478,"missing: not provided"))),AND(IF(Metadata!F478="",FALSE,TRUE),OR(EXACT(Metadata!F478,"lo"),EXACT(Metadata!F478,"med"),EXACT(Metadata!F478,"hi"))))</f>
        <v>0</v>
      </c>
    </row>
    <row r="479" spans="1:21" x14ac:dyDescent="0.2">
      <c r="A479" s="4" t="str">
        <f ca="1">IF(B479=" "," ",HYPERLINK(CONCATENATE("#metadata!",ADDRESS(INDEX($L$2:$L$1001,MATCH(ROWS($J$2:J479),$J$2:$J$1001,0),0),1)),INDEX($O$2:$O$1001,MATCH(ROWS($J$2:J479),$J$2:$J$1001,0),0)))</f>
        <v xml:space="preserve"> </v>
      </c>
      <c r="B479" s="3" t="str">
        <f ca="1">IF(OR(INDEX($K$2:$K$1001,MATCH(ROWS($J$2:J479),$J$2:$J$1001,0),1)&gt;=100000,INDEX($Q$1005:$U$1005,1,MATCH(COLUMNS($Q$1006:Q1006),$Q$1006:$U$1006,0))&gt;=100000), " ",IF(INDEX($Q$2:$U$1001,MATCH(ROWS($J$2:J479),$J$2:$J$1001,0),MATCH(COLUMNS($Q$1006:Q1006),$Q$1006:$U$1006,0)), HYPERLINK("#",""), HYPERLINK(CONCATENATE("#Metadata!", ADDRESS(INDEX($L$2:$L$1001,MATCH(ROWS($J$2:J479),$J$2:$J$1001,0),0), INDEX($Q$1004:$U$1004,1,MATCH(COLUMNS($Q$1006:Q1006),$Q$1006:$U$1006,0)))),"Fix")))</f>
        <v xml:space="preserve"> </v>
      </c>
      <c r="C479" s="3" t="str">
        <f ca="1">IF(OR(INDEX($K$2:$K$1001,MATCH(ROWS($J$2:J479),$J$2:$J$1001,0),1)&gt;=100000,INDEX($Q$1005:$U$1005,1,MATCH(COLUMNS($Q$1006:R1006),$Q$1006:$U$1006,0))&gt;=100000), " ",IF(INDEX($Q$2:$U$1001,MATCH(ROWS($J$2:J479),$J$2:$J$1001,0),MATCH(COLUMNS($Q$1006:R1006),$Q$1006:$U$1006,0)), HYPERLINK("#",""), HYPERLINK(CONCATENATE("#Metadata!", ADDRESS(INDEX($L$2:$L$1001,MATCH(ROWS($J$2:J479),$J$2:$J$1001,0),0), INDEX($Q$1004:$U$1004,1,MATCH(COLUMNS($Q$1006:R1006),$Q$1006:$U$1006,0)))),"Fix")))</f>
        <v xml:space="preserve"> </v>
      </c>
      <c r="D479" s="3" t="str">
        <f ca="1">IF(OR(INDEX($K$2:$K$1001,MATCH(ROWS($J$2:J479),$J$2:$J$1001,0),1)&gt;=100000,INDEX($Q$1005:$U$1005,1,MATCH(COLUMNS($Q$1006:S1006),$Q$1006:$U$1006,0))&gt;=100000), " ",IF(INDEX($Q$2:$U$1001,MATCH(ROWS($J$2:J479),$J$2:$J$1001,0),MATCH(COLUMNS($Q$1006:S1006),$Q$1006:$U$1006,0)), HYPERLINK("#",""), HYPERLINK(CONCATENATE("#Metadata!", ADDRESS(INDEX($L$2:$L$1001,MATCH(ROWS($J$2:J479),$J$2:$J$1001,0),0), INDEX($Q$1004:$U$1004,1,MATCH(COLUMNS($Q$1006:S1006),$Q$1006:$U$1006,0)))),"Fix")))</f>
        <v xml:space="preserve"> </v>
      </c>
      <c r="E479" s="3" t="str">
        <f ca="1">IF(OR(INDEX($K$2:$K$1001,MATCH(ROWS($J$2:J479),$J$2:$J$1001,0),1)&gt;=100000,INDEX($Q$1005:$U$1005,1,MATCH(COLUMNS($Q$1006:T1006),$Q$1006:$U$1006,0))&gt;=100000), " ",IF(INDEX($Q$2:$U$1001,MATCH(ROWS($J$2:J479),$J$2:$J$1001,0),MATCH(COLUMNS($Q$1006:T1006),$Q$1006:$U$1006,0)), HYPERLINK("#",""), HYPERLINK(CONCATENATE("#Metadata!", ADDRESS(INDEX($L$2:$L$1001,MATCH(ROWS($J$2:J479),$J$2:$J$1001,0),0), INDEX($Q$1004:$U$1004,1,MATCH(COLUMNS($Q$1006:T1006),$Q$1006:$U$1006,0)))),"Fix")))</f>
        <v xml:space="preserve"> </v>
      </c>
      <c r="F479" s="3" t="str">
        <f ca="1">IF(OR(INDEX($K$2:$K$1001,MATCH(ROWS($J$2:J479),$J$2:$J$1001,0),1)&gt;=100000,INDEX($Q$1005:$U$1005,1,MATCH(COLUMNS($Q$1006:U1006),$Q$1006:$U$1006,0))&gt;=100000), " ",IF(INDEX($Q$2:$U$1001,MATCH(ROWS($J$2:J479),$J$2:$J$1001,0),MATCH(COLUMNS($Q$1006:U1006),$Q$1006:$U$1006,0)), HYPERLINK("#",""), HYPERLINK(CONCATENATE("#Metadata!", ADDRESS(INDEX($L$2:$L$1001,MATCH(ROWS($J$2:J479),$J$2:$J$1001,0),0), INDEX($Q$1004:$U$1004,1,MATCH(COLUMNS($Q$1006:U1006),$Q$1006:$U$1006,0)))),"Fix")))</f>
        <v xml:space="preserve"> </v>
      </c>
      <c r="J479">
        <f ca="1"/>
        <v>478</v>
      </c>
      <c r="K479">
        <v>100479</v>
      </c>
      <c r="L479">
        <v>479</v>
      </c>
      <c r="M479" t="b">
        <f t="shared" si="7"/>
        <v>1</v>
      </c>
      <c r="N479" t="b">
        <f>COUNTBLANK(Metadata!B479:F479)=COLUMNS(Metadata!B479:F479)</f>
        <v>1</v>
      </c>
      <c r="O479" t="str">
        <v/>
      </c>
      <c r="Q479" t="b">
        <f ca="1"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R479" t="b">
        <f>IF(Metadata!C479="",FALSE,TRUE)</f>
        <v>0</v>
      </c>
      <c r="S479" t="b">
        <f>OR(AND(IF(Metadata!D479="",FALSE,TRUE),EXACT(Metadata!D479,"missing: not collected")),AND(IF(Metadata!D479="",FALSE,TRUE),OR(EXACT(Metadata!D479,"t"),EXACT(Metadata!D479,"f"))))</f>
        <v>0</v>
      </c>
      <c r="T479" t="b">
        <f>AND(IF(Metadata!E479="",FALSE,TRUE),OR(EXACT(Metadata!E479,"a"),EXACT(Metadata!E479,"b")))</f>
        <v>0</v>
      </c>
      <c r="U479" t="b">
        <f>OR(AND(IF(Metadata!F479="",FALSE,TRUE),OR(EXACT(Metadata!F479,"missing: not collected"),EXACT(Metadata!F479,"missing: not provided"))),AND(IF(Metadata!F479="",FALSE,TRUE),OR(EXACT(Metadata!F479,"lo"),EXACT(Metadata!F479,"med"),EXACT(Metadata!F479,"hi"))))</f>
        <v>0</v>
      </c>
    </row>
    <row r="480" spans="1:21" x14ac:dyDescent="0.2">
      <c r="A480" s="4" t="str">
        <f ca="1">IF(B480=" "," ",HYPERLINK(CONCATENATE("#metadata!",ADDRESS(INDEX($L$2:$L$1001,MATCH(ROWS($J$2:J480),$J$2:$J$1001,0),0),1)),INDEX($O$2:$O$1001,MATCH(ROWS($J$2:J480),$J$2:$J$1001,0),0)))</f>
        <v xml:space="preserve"> </v>
      </c>
      <c r="B480" s="3" t="str">
        <f ca="1">IF(OR(INDEX($K$2:$K$1001,MATCH(ROWS($J$2:J480),$J$2:$J$1001,0),1)&gt;=100000,INDEX($Q$1005:$U$1005,1,MATCH(COLUMNS($Q$1006:Q1006),$Q$1006:$U$1006,0))&gt;=100000), " ",IF(INDEX($Q$2:$U$1001,MATCH(ROWS($J$2:J480),$J$2:$J$1001,0),MATCH(COLUMNS($Q$1006:Q1006),$Q$1006:$U$1006,0)), HYPERLINK("#",""), HYPERLINK(CONCATENATE("#Metadata!", ADDRESS(INDEX($L$2:$L$1001,MATCH(ROWS($J$2:J480),$J$2:$J$1001,0),0), INDEX($Q$1004:$U$1004,1,MATCH(COLUMNS($Q$1006:Q1006),$Q$1006:$U$1006,0)))),"Fix")))</f>
        <v xml:space="preserve"> </v>
      </c>
      <c r="C480" s="3" t="str">
        <f ca="1">IF(OR(INDEX($K$2:$K$1001,MATCH(ROWS($J$2:J480),$J$2:$J$1001,0),1)&gt;=100000,INDEX($Q$1005:$U$1005,1,MATCH(COLUMNS($Q$1006:R1006),$Q$1006:$U$1006,0))&gt;=100000), " ",IF(INDEX($Q$2:$U$1001,MATCH(ROWS($J$2:J480),$J$2:$J$1001,0),MATCH(COLUMNS($Q$1006:R1006),$Q$1006:$U$1006,0)), HYPERLINK("#",""), HYPERLINK(CONCATENATE("#Metadata!", ADDRESS(INDEX($L$2:$L$1001,MATCH(ROWS($J$2:J480),$J$2:$J$1001,0),0), INDEX($Q$1004:$U$1004,1,MATCH(COLUMNS($Q$1006:R1006),$Q$1006:$U$1006,0)))),"Fix")))</f>
        <v xml:space="preserve"> </v>
      </c>
      <c r="D480" s="3" t="str">
        <f ca="1">IF(OR(INDEX($K$2:$K$1001,MATCH(ROWS($J$2:J480),$J$2:$J$1001,0),1)&gt;=100000,INDEX($Q$1005:$U$1005,1,MATCH(COLUMNS($Q$1006:S1006),$Q$1006:$U$1006,0))&gt;=100000), " ",IF(INDEX($Q$2:$U$1001,MATCH(ROWS($J$2:J480),$J$2:$J$1001,0),MATCH(COLUMNS($Q$1006:S1006),$Q$1006:$U$1006,0)), HYPERLINK("#",""), HYPERLINK(CONCATENATE("#Metadata!", ADDRESS(INDEX($L$2:$L$1001,MATCH(ROWS($J$2:J480),$J$2:$J$1001,0),0), INDEX($Q$1004:$U$1004,1,MATCH(COLUMNS($Q$1006:S1006),$Q$1006:$U$1006,0)))),"Fix")))</f>
        <v xml:space="preserve"> </v>
      </c>
      <c r="E480" s="3" t="str">
        <f ca="1">IF(OR(INDEX($K$2:$K$1001,MATCH(ROWS($J$2:J480),$J$2:$J$1001,0),1)&gt;=100000,INDEX($Q$1005:$U$1005,1,MATCH(COLUMNS($Q$1006:T1006),$Q$1006:$U$1006,0))&gt;=100000), " ",IF(INDEX($Q$2:$U$1001,MATCH(ROWS($J$2:J480),$J$2:$J$1001,0),MATCH(COLUMNS($Q$1006:T1006),$Q$1006:$U$1006,0)), HYPERLINK("#",""), HYPERLINK(CONCATENATE("#Metadata!", ADDRESS(INDEX($L$2:$L$1001,MATCH(ROWS($J$2:J480),$J$2:$J$1001,0),0), INDEX($Q$1004:$U$1004,1,MATCH(COLUMNS($Q$1006:T1006),$Q$1006:$U$1006,0)))),"Fix")))</f>
        <v xml:space="preserve"> </v>
      </c>
      <c r="F480" s="3" t="str">
        <f ca="1">IF(OR(INDEX($K$2:$K$1001,MATCH(ROWS($J$2:J480),$J$2:$J$1001,0),1)&gt;=100000,INDEX($Q$1005:$U$1005,1,MATCH(COLUMNS($Q$1006:U1006),$Q$1006:$U$1006,0))&gt;=100000), " ",IF(INDEX($Q$2:$U$1001,MATCH(ROWS($J$2:J480),$J$2:$J$1001,0),MATCH(COLUMNS($Q$1006:U1006),$Q$1006:$U$1006,0)), HYPERLINK("#",""), HYPERLINK(CONCATENATE("#Metadata!", ADDRESS(INDEX($L$2:$L$1001,MATCH(ROWS($J$2:J480),$J$2:$J$1001,0),0), INDEX($Q$1004:$U$1004,1,MATCH(COLUMNS($Q$1006:U1006),$Q$1006:$U$1006,0)))),"Fix")))</f>
        <v xml:space="preserve"> </v>
      </c>
      <c r="J480">
        <f ca="1"/>
        <v>479</v>
      </c>
      <c r="K480">
        <v>100480</v>
      </c>
      <c r="L480">
        <v>480</v>
      </c>
      <c r="M480" t="b">
        <f t="shared" si="7"/>
        <v>1</v>
      </c>
      <c r="N480" t="b">
        <f>COUNTBLANK(Metadata!B480:F480)=COLUMNS(Metadata!B480:F480)</f>
        <v>1</v>
      </c>
      <c r="O480" t="str">
        <v/>
      </c>
      <c r="Q480" t="b">
        <f ca="1"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R480" t="b">
        <f>IF(Metadata!C480="",FALSE,TRUE)</f>
        <v>0</v>
      </c>
      <c r="S480" t="b">
        <f>OR(AND(IF(Metadata!D480="",FALSE,TRUE),EXACT(Metadata!D480,"missing: not collected")),AND(IF(Metadata!D480="",FALSE,TRUE),OR(EXACT(Metadata!D480,"t"),EXACT(Metadata!D480,"f"))))</f>
        <v>0</v>
      </c>
      <c r="T480" t="b">
        <f>AND(IF(Metadata!E480="",FALSE,TRUE),OR(EXACT(Metadata!E480,"a"),EXACT(Metadata!E480,"b")))</f>
        <v>0</v>
      </c>
      <c r="U480" t="b">
        <f>OR(AND(IF(Metadata!F480="",FALSE,TRUE),OR(EXACT(Metadata!F480,"missing: not collected"),EXACT(Metadata!F480,"missing: not provided"))),AND(IF(Metadata!F480="",FALSE,TRUE),OR(EXACT(Metadata!F480,"lo"),EXACT(Metadata!F480,"med"),EXACT(Metadata!F480,"hi"))))</f>
        <v>0</v>
      </c>
    </row>
    <row r="481" spans="1:21" x14ac:dyDescent="0.2">
      <c r="A481" s="4" t="str">
        <f ca="1">IF(B481=" "," ",HYPERLINK(CONCATENATE("#metadata!",ADDRESS(INDEX($L$2:$L$1001,MATCH(ROWS($J$2:J481),$J$2:$J$1001,0),0),1)),INDEX($O$2:$O$1001,MATCH(ROWS($J$2:J481),$J$2:$J$1001,0),0)))</f>
        <v xml:space="preserve"> </v>
      </c>
      <c r="B481" s="3" t="str">
        <f ca="1">IF(OR(INDEX($K$2:$K$1001,MATCH(ROWS($J$2:J481),$J$2:$J$1001,0),1)&gt;=100000,INDEX($Q$1005:$U$1005,1,MATCH(COLUMNS($Q$1006:Q1006),$Q$1006:$U$1006,0))&gt;=100000), " ",IF(INDEX($Q$2:$U$1001,MATCH(ROWS($J$2:J481),$J$2:$J$1001,0),MATCH(COLUMNS($Q$1006:Q1006),$Q$1006:$U$1006,0)), HYPERLINK("#",""), HYPERLINK(CONCATENATE("#Metadata!", ADDRESS(INDEX($L$2:$L$1001,MATCH(ROWS($J$2:J481),$J$2:$J$1001,0),0), INDEX($Q$1004:$U$1004,1,MATCH(COLUMNS($Q$1006:Q1006),$Q$1006:$U$1006,0)))),"Fix")))</f>
        <v xml:space="preserve"> </v>
      </c>
      <c r="C481" s="3" t="str">
        <f ca="1">IF(OR(INDEX($K$2:$K$1001,MATCH(ROWS($J$2:J481),$J$2:$J$1001,0),1)&gt;=100000,INDEX($Q$1005:$U$1005,1,MATCH(COLUMNS($Q$1006:R1006),$Q$1006:$U$1006,0))&gt;=100000), " ",IF(INDEX($Q$2:$U$1001,MATCH(ROWS($J$2:J481),$J$2:$J$1001,0),MATCH(COLUMNS($Q$1006:R1006),$Q$1006:$U$1006,0)), HYPERLINK("#",""), HYPERLINK(CONCATENATE("#Metadata!", ADDRESS(INDEX($L$2:$L$1001,MATCH(ROWS($J$2:J481),$J$2:$J$1001,0),0), INDEX($Q$1004:$U$1004,1,MATCH(COLUMNS($Q$1006:R1006),$Q$1006:$U$1006,0)))),"Fix")))</f>
        <v xml:space="preserve"> </v>
      </c>
      <c r="D481" s="3" t="str">
        <f ca="1">IF(OR(INDEX($K$2:$K$1001,MATCH(ROWS($J$2:J481),$J$2:$J$1001,0),1)&gt;=100000,INDEX($Q$1005:$U$1005,1,MATCH(COLUMNS($Q$1006:S1006),$Q$1006:$U$1006,0))&gt;=100000), " ",IF(INDEX($Q$2:$U$1001,MATCH(ROWS($J$2:J481),$J$2:$J$1001,0),MATCH(COLUMNS($Q$1006:S1006),$Q$1006:$U$1006,0)), HYPERLINK("#",""), HYPERLINK(CONCATENATE("#Metadata!", ADDRESS(INDEX($L$2:$L$1001,MATCH(ROWS($J$2:J481),$J$2:$J$1001,0),0), INDEX($Q$1004:$U$1004,1,MATCH(COLUMNS($Q$1006:S1006),$Q$1006:$U$1006,0)))),"Fix")))</f>
        <v xml:space="preserve"> </v>
      </c>
      <c r="E481" s="3" t="str">
        <f ca="1">IF(OR(INDEX($K$2:$K$1001,MATCH(ROWS($J$2:J481),$J$2:$J$1001,0),1)&gt;=100000,INDEX($Q$1005:$U$1005,1,MATCH(COLUMNS($Q$1006:T1006),$Q$1006:$U$1006,0))&gt;=100000), " ",IF(INDEX($Q$2:$U$1001,MATCH(ROWS($J$2:J481),$J$2:$J$1001,0),MATCH(COLUMNS($Q$1006:T1006),$Q$1006:$U$1006,0)), HYPERLINK("#",""), HYPERLINK(CONCATENATE("#Metadata!", ADDRESS(INDEX($L$2:$L$1001,MATCH(ROWS($J$2:J481),$J$2:$J$1001,0),0), INDEX($Q$1004:$U$1004,1,MATCH(COLUMNS($Q$1006:T1006),$Q$1006:$U$1006,0)))),"Fix")))</f>
        <v xml:space="preserve"> </v>
      </c>
      <c r="F481" s="3" t="str">
        <f ca="1">IF(OR(INDEX($K$2:$K$1001,MATCH(ROWS($J$2:J481),$J$2:$J$1001,0),1)&gt;=100000,INDEX($Q$1005:$U$1005,1,MATCH(COLUMNS($Q$1006:U1006),$Q$1006:$U$1006,0))&gt;=100000), " ",IF(INDEX($Q$2:$U$1001,MATCH(ROWS($J$2:J481),$J$2:$J$1001,0),MATCH(COLUMNS($Q$1006:U1006),$Q$1006:$U$1006,0)), HYPERLINK("#",""), HYPERLINK(CONCATENATE("#Metadata!", ADDRESS(INDEX($L$2:$L$1001,MATCH(ROWS($J$2:J481),$J$2:$J$1001,0),0), INDEX($Q$1004:$U$1004,1,MATCH(COLUMNS($Q$1006:U1006),$Q$1006:$U$1006,0)))),"Fix")))</f>
        <v xml:space="preserve"> </v>
      </c>
      <c r="J481">
        <f ca="1"/>
        <v>480</v>
      </c>
      <c r="K481">
        <v>100481</v>
      </c>
      <c r="L481">
        <v>481</v>
      </c>
      <c r="M481" t="b">
        <f t="shared" si="7"/>
        <v>1</v>
      </c>
      <c r="N481" t="b">
        <f>COUNTBLANK(Metadata!B481:F481)=COLUMNS(Metadata!B481:F481)</f>
        <v>1</v>
      </c>
      <c r="O481" t="str">
        <v/>
      </c>
      <c r="Q481" t="b">
        <f ca="1"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R481" t="b">
        <f>IF(Metadata!C481="",FALSE,TRUE)</f>
        <v>0</v>
      </c>
      <c r="S481" t="b">
        <f>OR(AND(IF(Metadata!D481="",FALSE,TRUE),EXACT(Metadata!D481,"missing: not collected")),AND(IF(Metadata!D481="",FALSE,TRUE),OR(EXACT(Metadata!D481,"t"),EXACT(Metadata!D481,"f"))))</f>
        <v>0</v>
      </c>
      <c r="T481" t="b">
        <f>AND(IF(Metadata!E481="",FALSE,TRUE),OR(EXACT(Metadata!E481,"a"),EXACT(Metadata!E481,"b")))</f>
        <v>0</v>
      </c>
      <c r="U481" t="b">
        <f>OR(AND(IF(Metadata!F481="",FALSE,TRUE),OR(EXACT(Metadata!F481,"missing: not collected"),EXACT(Metadata!F481,"missing: not provided"))),AND(IF(Metadata!F481="",FALSE,TRUE),OR(EXACT(Metadata!F481,"lo"),EXACT(Metadata!F481,"med"),EXACT(Metadata!F481,"hi"))))</f>
        <v>0</v>
      </c>
    </row>
    <row r="482" spans="1:21" x14ac:dyDescent="0.2">
      <c r="A482" s="4" t="str">
        <f ca="1">IF(B482=" "," ",HYPERLINK(CONCATENATE("#metadata!",ADDRESS(INDEX($L$2:$L$1001,MATCH(ROWS($J$2:J482),$J$2:$J$1001,0),0),1)),INDEX($O$2:$O$1001,MATCH(ROWS($J$2:J482),$J$2:$J$1001,0),0)))</f>
        <v xml:space="preserve"> </v>
      </c>
      <c r="B482" s="3" t="str">
        <f ca="1">IF(OR(INDEX($K$2:$K$1001,MATCH(ROWS($J$2:J482),$J$2:$J$1001,0),1)&gt;=100000,INDEX($Q$1005:$U$1005,1,MATCH(COLUMNS($Q$1006:Q1006),$Q$1006:$U$1006,0))&gt;=100000), " ",IF(INDEX($Q$2:$U$1001,MATCH(ROWS($J$2:J482),$J$2:$J$1001,0),MATCH(COLUMNS($Q$1006:Q1006),$Q$1006:$U$1006,0)), HYPERLINK("#",""), HYPERLINK(CONCATENATE("#Metadata!", ADDRESS(INDEX($L$2:$L$1001,MATCH(ROWS($J$2:J482),$J$2:$J$1001,0),0), INDEX($Q$1004:$U$1004,1,MATCH(COLUMNS($Q$1006:Q1006),$Q$1006:$U$1006,0)))),"Fix")))</f>
        <v xml:space="preserve"> </v>
      </c>
      <c r="C482" s="3" t="str">
        <f ca="1">IF(OR(INDEX($K$2:$K$1001,MATCH(ROWS($J$2:J482),$J$2:$J$1001,0),1)&gt;=100000,INDEX($Q$1005:$U$1005,1,MATCH(COLUMNS($Q$1006:R1006),$Q$1006:$U$1006,0))&gt;=100000), " ",IF(INDEX($Q$2:$U$1001,MATCH(ROWS($J$2:J482),$J$2:$J$1001,0),MATCH(COLUMNS($Q$1006:R1006),$Q$1006:$U$1006,0)), HYPERLINK("#",""), HYPERLINK(CONCATENATE("#Metadata!", ADDRESS(INDEX($L$2:$L$1001,MATCH(ROWS($J$2:J482),$J$2:$J$1001,0),0), INDEX($Q$1004:$U$1004,1,MATCH(COLUMNS($Q$1006:R1006),$Q$1006:$U$1006,0)))),"Fix")))</f>
        <v xml:space="preserve"> </v>
      </c>
      <c r="D482" s="3" t="str">
        <f ca="1">IF(OR(INDEX($K$2:$K$1001,MATCH(ROWS($J$2:J482),$J$2:$J$1001,0),1)&gt;=100000,INDEX($Q$1005:$U$1005,1,MATCH(COLUMNS($Q$1006:S1006),$Q$1006:$U$1006,0))&gt;=100000), " ",IF(INDEX($Q$2:$U$1001,MATCH(ROWS($J$2:J482),$J$2:$J$1001,0),MATCH(COLUMNS($Q$1006:S1006),$Q$1006:$U$1006,0)), HYPERLINK("#",""), HYPERLINK(CONCATENATE("#Metadata!", ADDRESS(INDEX($L$2:$L$1001,MATCH(ROWS($J$2:J482),$J$2:$J$1001,0),0), INDEX($Q$1004:$U$1004,1,MATCH(COLUMNS($Q$1006:S1006),$Q$1006:$U$1006,0)))),"Fix")))</f>
        <v xml:space="preserve"> </v>
      </c>
      <c r="E482" s="3" t="str">
        <f ca="1">IF(OR(INDEX($K$2:$K$1001,MATCH(ROWS($J$2:J482),$J$2:$J$1001,0),1)&gt;=100000,INDEX($Q$1005:$U$1005,1,MATCH(COLUMNS($Q$1006:T1006),$Q$1006:$U$1006,0))&gt;=100000), " ",IF(INDEX($Q$2:$U$1001,MATCH(ROWS($J$2:J482),$J$2:$J$1001,0),MATCH(COLUMNS($Q$1006:T1006),$Q$1006:$U$1006,0)), HYPERLINK("#",""), HYPERLINK(CONCATENATE("#Metadata!", ADDRESS(INDEX($L$2:$L$1001,MATCH(ROWS($J$2:J482),$J$2:$J$1001,0),0), INDEX($Q$1004:$U$1004,1,MATCH(COLUMNS($Q$1006:T1006),$Q$1006:$U$1006,0)))),"Fix")))</f>
        <v xml:space="preserve"> </v>
      </c>
      <c r="F482" s="3" t="str">
        <f ca="1">IF(OR(INDEX($K$2:$K$1001,MATCH(ROWS($J$2:J482),$J$2:$J$1001,0),1)&gt;=100000,INDEX($Q$1005:$U$1005,1,MATCH(COLUMNS($Q$1006:U1006),$Q$1006:$U$1006,0))&gt;=100000), " ",IF(INDEX($Q$2:$U$1001,MATCH(ROWS($J$2:J482),$J$2:$J$1001,0),MATCH(COLUMNS($Q$1006:U1006),$Q$1006:$U$1006,0)), HYPERLINK("#",""), HYPERLINK(CONCATENATE("#Metadata!", ADDRESS(INDEX($L$2:$L$1001,MATCH(ROWS($J$2:J482),$J$2:$J$1001,0),0), INDEX($Q$1004:$U$1004,1,MATCH(COLUMNS($Q$1006:U1006),$Q$1006:$U$1006,0)))),"Fix")))</f>
        <v xml:space="preserve"> </v>
      </c>
      <c r="J482">
        <f ca="1"/>
        <v>481</v>
      </c>
      <c r="K482">
        <v>100482</v>
      </c>
      <c r="L482">
        <v>482</v>
      </c>
      <c r="M482" t="b">
        <f t="shared" si="7"/>
        <v>1</v>
      </c>
      <c r="N482" t="b">
        <f>COUNTBLANK(Metadata!B482:F482)=COLUMNS(Metadata!B482:F482)</f>
        <v>1</v>
      </c>
      <c r="O482" t="str">
        <v/>
      </c>
      <c r="Q482" t="b">
        <f ca="1"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R482" t="b">
        <f>IF(Metadata!C482="",FALSE,TRUE)</f>
        <v>0</v>
      </c>
      <c r="S482" t="b">
        <f>OR(AND(IF(Metadata!D482="",FALSE,TRUE),EXACT(Metadata!D482,"missing: not collected")),AND(IF(Metadata!D482="",FALSE,TRUE),OR(EXACT(Metadata!D482,"t"),EXACT(Metadata!D482,"f"))))</f>
        <v>0</v>
      </c>
      <c r="T482" t="b">
        <f>AND(IF(Metadata!E482="",FALSE,TRUE),OR(EXACT(Metadata!E482,"a"),EXACT(Metadata!E482,"b")))</f>
        <v>0</v>
      </c>
      <c r="U482" t="b">
        <f>OR(AND(IF(Metadata!F482="",FALSE,TRUE),OR(EXACT(Metadata!F482,"missing: not collected"),EXACT(Metadata!F482,"missing: not provided"))),AND(IF(Metadata!F482="",FALSE,TRUE),OR(EXACT(Metadata!F482,"lo"),EXACT(Metadata!F482,"med"),EXACT(Metadata!F482,"hi"))))</f>
        <v>0</v>
      </c>
    </row>
    <row r="483" spans="1:21" x14ac:dyDescent="0.2">
      <c r="A483" s="4" t="str">
        <f ca="1">IF(B483=" "," ",HYPERLINK(CONCATENATE("#metadata!",ADDRESS(INDEX($L$2:$L$1001,MATCH(ROWS($J$2:J483),$J$2:$J$1001,0),0),1)),INDEX($O$2:$O$1001,MATCH(ROWS($J$2:J483),$J$2:$J$1001,0),0)))</f>
        <v xml:space="preserve"> </v>
      </c>
      <c r="B483" s="3" t="str">
        <f ca="1">IF(OR(INDEX($K$2:$K$1001,MATCH(ROWS($J$2:J483),$J$2:$J$1001,0),1)&gt;=100000,INDEX($Q$1005:$U$1005,1,MATCH(COLUMNS($Q$1006:Q1006),$Q$1006:$U$1006,0))&gt;=100000), " ",IF(INDEX($Q$2:$U$1001,MATCH(ROWS($J$2:J483),$J$2:$J$1001,0),MATCH(COLUMNS($Q$1006:Q1006),$Q$1006:$U$1006,0)), HYPERLINK("#",""), HYPERLINK(CONCATENATE("#Metadata!", ADDRESS(INDEX($L$2:$L$1001,MATCH(ROWS($J$2:J483),$J$2:$J$1001,0),0), INDEX($Q$1004:$U$1004,1,MATCH(COLUMNS($Q$1006:Q1006),$Q$1006:$U$1006,0)))),"Fix")))</f>
        <v xml:space="preserve"> </v>
      </c>
      <c r="C483" s="3" t="str">
        <f ca="1">IF(OR(INDEX($K$2:$K$1001,MATCH(ROWS($J$2:J483),$J$2:$J$1001,0),1)&gt;=100000,INDEX($Q$1005:$U$1005,1,MATCH(COLUMNS($Q$1006:R1006),$Q$1006:$U$1006,0))&gt;=100000), " ",IF(INDEX($Q$2:$U$1001,MATCH(ROWS($J$2:J483),$J$2:$J$1001,0),MATCH(COLUMNS($Q$1006:R1006),$Q$1006:$U$1006,0)), HYPERLINK("#",""), HYPERLINK(CONCATENATE("#Metadata!", ADDRESS(INDEX($L$2:$L$1001,MATCH(ROWS($J$2:J483),$J$2:$J$1001,0),0), INDEX($Q$1004:$U$1004,1,MATCH(COLUMNS($Q$1006:R1006),$Q$1006:$U$1006,0)))),"Fix")))</f>
        <v xml:space="preserve"> </v>
      </c>
      <c r="D483" s="3" t="str">
        <f ca="1">IF(OR(INDEX($K$2:$K$1001,MATCH(ROWS($J$2:J483),$J$2:$J$1001,0),1)&gt;=100000,INDEX($Q$1005:$U$1005,1,MATCH(COLUMNS($Q$1006:S1006),$Q$1006:$U$1006,0))&gt;=100000), " ",IF(INDEX($Q$2:$U$1001,MATCH(ROWS($J$2:J483),$J$2:$J$1001,0),MATCH(COLUMNS($Q$1006:S1006),$Q$1006:$U$1006,0)), HYPERLINK("#",""), HYPERLINK(CONCATENATE("#Metadata!", ADDRESS(INDEX($L$2:$L$1001,MATCH(ROWS($J$2:J483),$J$2:$J$1001,0),0), INDEX($Q$1004:$U$1004,1,MATCH(COLUMNS($Q$1006:S1006),$Q$1006:$U$1006,0)))),"Fix")))</f>
        <v xml:space="preserve"> </v>
      </c>
      <c r="E483" s="3" t="str">
        <f ca="1">IF(OR(INDEX($K$2:$K$1001,MATCH(ROWS($J$2:J483),$J$2:$J$1001,0),1)&gt;=100000,INDEX($Q$1005:$U$1005,1,MATCH(COLUMNS($Q$1006:T1006),$Q$1006:$U$1006,0))&gt;=100000), " ",IF(INDEX($Q$2:$U$1001,MATCH(ROWS($J$2:J483),$J$2:$J$1001,0),MATCH(COLUMNS($Q$1006:T1006),$Q$1006:$U$1006,0)), HYPERLINK("#",""), HYPERLINK(CONCATENATE("#Metadata!", ADDRESS(INDEX($L$2:$L$1001,MATCH(ROWS($J$2:J483),$J$2:$J$1001,0),0), INDEX($Q$1004:$U$1004,1,MATCH(COLUMNS($Q$1006:T1006),$Q$1006:$U$1006,0)))),"Fix")))</f>
        <v xml:space="preserve"> </v>
      </c>
      <c r="F483" s="3" t="str">
        <f ca="1">IF(OR(INDEX($K$2:$K$1001,MATCH(ROWS($J$2:J483),$J$2:$J$1001,0),1)&gt;=100000,INDEX($Q$1005:$U$1005,1,MATCH(COLUMNS($Q$1006:U1006),$Q$1006:$U$1006,0))&gt;=100000), " ",IF(INDEX($Q$2:$U$1001,MATCH(ROWS($J$2:J483),$J$2:$J$1001,0),MATCH(COLUMNS($Q$1006:U1006),$Q$1006:$U$1006,0)), HYPERLINK("#",""), HYPERLINK(CONCATENATE("#Metadata!", ADDRESS(INDEX($L$2:$L$1001,MATCH(ROWS($J$2:J483),$J$2:$J$1001,0),0), INDEX($Q$1004:$U$1004,1,MATCH(COLUMNS($Q$1006:U1006),$Q$1006:$U$1006,0)))),"Fix")))</f>
        <v xml:space="preserve"> </v>
      </c>
      <c r="J483">
        <f ca="1"/>
        <v>482</v>
      </c>
      <c r="K483">
        <v>100483</v>
      </c>
      <c r="L483">
        <v>483</v>
      </c>
      <c r="M483" t="b">
        <f t="shared" si="7"/>
        <v>1</v>
      </c>
      <c r="N483" t="b">
        <f>COUNTBLANK(Metadata!B483:F483)=COLUMNS(Metadata!B483:F483)</f>
        <v>1</v>
      </c>
      <c r="O483" t="str">
        <v/>
      </c>
      <c r="Q483" t="b">
        <f ca="1"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R483" t="b">
        <f>IF(Metadata!C483="",FALSE,TRUE)</f>
        <v>0</v>
      </c>
      <c r="S483" t="b">
        <f>OR(AND(IF(Metadata!D483="",FALSE,TRUE),EXACT(Metadata!D483,"missing: not collected")),AND(IF(Metadata!D483="",FALSE,TRUE),OR(EXACT(Metadata!D483,"t"),EXACT(Metadata!D483,"f"))))</f>
        <v>0</v>
      </c>
      <c r="T483" t="b">
        <f>AND(IF(Metadata!E483="",FALSE,TRUE),OR(EXACT(Metadata!E483,"a"),EXACT(Metadata!E483,"b")))</f>
        <v>0</v>
      </c>
      <c r="U483" t="b">
        <f>OR(AND(IF(Metadata!F483="",FALSE,TRUE),OR(EXACT(Metadata!F483,"missing: not collected"),EXACT(Metadata!F483,"missing: not provided"))),AND(IF(Metadata!F483="",FALSE,TRUE),OR(EXACT(Metadata!F483,"lo"),EXACT(Metadata!F483,"med"),EXACT(Metadata!F483,"hi"))))</f>
        <v>0</v>
      </c>
    </row>
    <row r="484" spans="1:21" x14ac:dyDescent="0.2">
      <c r="A484" s="4" t="str">
        <f ca="1">IF(B484=" "," ",HYPERLINK(CONCATENATE("#metadata!",ADDRESS(INDEX($L$2:$L$1001,MATCH(ROWS($J$2:J484),$J$2:$J$1001,0),0),1)),INDEX($O$2:$O$1001,MATCH(ROWS($J$2:J484),$J$2:$J$1001,0),0)))</f>
        <v xml:space="preserve"> </v>
      </c>
      <c r="B484" s="3" t="str">
        <f ca="1">IF(OR(INDEX($K$2:$K$1001,MATCH(ROWS($J$2:J484),$J$2:$J$1001,0),1)&gt;=100000,INDEX($Q$1005:$U$1005,1,MATCH(COLUMNS($Q$1006:Q1006),$Q$1006:$U$1006,0))&gt;=100000), " ",IF(INDEX($Q$2:$U$1001,MATCH(ROWS($J$2:J484),$J$2:$J$1001,0),MATCH(COLUMNS($Q$1006:Q1006),$Q$1006:$U$1006,0)), HYPERLINK("#",""), HYPERLINK(CONCATENATE("#Metadata!", ADDRESS(INDEX($L$2:$L$1001,MATCH(ROWS($J$2:J484),$J$2:$J$1001,0),0), INDEX($Q$1004:$U$1004,1,MATCH(COLUMNS($Q$1006:Q1006),$Q$1006:$U$1006,0)))),"Fix")))</f>
        <v xml:space="preserve"> </v>
      </c>
      <c r="C484" s="3" t="str">
        <f ca="1">IF(OR(INDEX($K$2:$K$1001,MATCH(ROWS($J$2:J484),$J$2:$J$1001,0),1)&gt;=100000,INDEX($Q$1005:$U$1005,1,MATCH(COLUMNS($Q$1006:R1006),$Q$1006:$U$1006,0))&gt;=100000), " ",IF(INDEX($Q$2:$U$1001,MATCH(ROWS($J$2:J484),$J$2:$J$1001,0),MATCH(COLUMNS($Q$1006:R1006),$Q$1006:$U$1006,0)), HYPERLINK("#",""), HYPERLINK(CONCATENATE("#Metadata!", ADDRESS(INDEX($L$2:$L$1001,MATCH(ROWS($J$2:J484),$J$2:$J$1001,0),0), INDEX($Q$1004:$U$1004,1,MATCH(COLUMNS($Q$1006:R1006),$Q$1006:$U$1006,0)))),"Fix")))</f>
        <v xml:space="preserve"> </v>
      </c>
      <c r="D484" s="3" t="str">
        <f ca="1">IF(OR(INDEX($K$2:$K$1001,MATCH(ROWS($J$2:J484),$J$2:$J$1001,0),1)&gt;=100000,INDEX($Q$1005:$U$1005,1,MATCH(COLUMNS($Q$1006:S1006),$Q$1006:$U$1006,0))&gt;=100000), " ",IF(INDEX($Q$2:$U$1001,MATCH(ROWS($J$2:J484),$J$2:$J$1001,0),MATCH(COLUMNS($Q$1006:S1006),$Q$1006:$U$1006,0)), HYPERLINK("#",""), HYPERLINK(CONCATENATE("#Metadata!", ADDRESS(INDEX($L$2:$L$1001,MATCH(ROWS($J$2:J484),$J$2:$J$1001,0),0), INDEX($Q$1004:$U$1004,1,MATCH(COLUMNS($Q$1006:S1006),$Q$1006:$U$1006,0)))),"Fix")))</f>
        <v xml:space="preserve"> </v>
      </c>
      <c r="E484" s="3" t="str">
        <f ca="1">IF(OR(INDEX($K$2:$K$1001,MATCH(ROWS($J$2:J484),$J$2:$J$1001,0),1)&gt;=100000,INDEX($Q$1005:$U$1005,1,MATCH(COLUMNS($Q$1006:T1006),$Q$1006:$U$1006,0))&gt;=100000), " ",IF(INDEX($Q$2:$U$1001,MATCH(ROWS($J$2:J484),$J$2:$J$1001,0),MATCH(COLUMNS($Q$1006:T1006),$Q$1006:$U$1006,0)), HYPERLINK("#",""), HYPERLINK(CONCATENATE("#Metadata!", ADDRESS(INDEX($L$2:$L$1001,MATCH(ROWS($J$2:J484),$J$2:$J$1001,0),0), INDEX($Q$1004:$U$1004,1,MATCH(COLUMNS($Q$1006:T1006),$Q$1006:$U$1006,0)))),"Fix")))</f>
        <v xml:space="preserve"> </v>
      </c>
      <c r="F484" s="3" t="str">
        <f ca="1">IF(OR(INDEX($K$2:$K$1001,MATCH(ROWS($J$2:J484),$J$2:$J$1001,0),1)&gt;=100000,INDEX($Q$1005:$U$1005,1,MATCH(COLUMNS($Q$1006:U1006),$Q$1006:$U$1006,0))&gt;=100000), " ",IF(INDEX($Q$2:$U$1001,MATCH(ROWS($J$2:J484),$J$2:$J$1001,0),MATCH(COLUMNS($Q$1006:U1006),$Q$1006:$U$1006,0)), HYPERLINK("#",""), HYPERLINK(CONCATENATE("#Metadata!", ADDRESS(INDEX($L$2:$L$1001,MATCH(ROWS($J$2:J484),$J$2:$J$1001,0),0), INDEX($Q$1004:$U$1004,1,MATCH(COLUMNS($Q$1006:U1006),$Q$1006:$U$1006,0)))),"Fix")))</f>
        <v xml:space="preserve"> </v>
      </c>
      <c r="J484">
        <f ca="1"/>
        <v>483</v>
      </c>
      <c r="K484">
        <v>100484</v>
      </c>
      <c r="L484">
        <v>484</v>
      </c>
      <c r="M484" t="b">
        <f t="shared" si="7"/>
        <v>1</v>
      </c>
      <c r="N484" t="b">
        <f>COUNTBLANK(Metadata!B484:F484)=COLUMNS(Metadata!B484:F484)</f>
        <v>1</v>
      </c>
      <c r="O484" t="str">
        <v/>
      </c>
      <c r="Q484" t="b">
        <f ca="1"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R484" t="b">
        <f>IF(Metadata!C484="",FALSE,TRUE)</f>
        <v>0</v>
      </c>
      <c r="S484" t="b">
        <f>OR(AND(IF(Metadata!D484="",FALSE,TRUE),EXACT(Metadata!D484,"missing: not collected")),AND(IF(Metadata!D484="",FALSE,TRUE),OR(EXACT(Metadata!D484,"t"),EXACT(Metadata!D484,"f"))))</f>
        <v>0</v>
      </c>
      <c r="T484" t="b">
        <f>AND(IF(Metadata!E484="",FALSE,TRUE),OR(EXACT(Metadata!E484,"a"),EXACT(Metadata!E484,"b")))</f>
        <v>0</v>
      </c>
      <c r="U484" t="b">
        <f>OR(AND(IF(Metadata!F484="",FALSE,TRUE),OR(EXACT(Metadata!F484,"missing: not collected"),EXACT(Metadata!F484,"missing: not provided"))),AND(IF(Metadata!F484="",FALSE,TRUE),OR(EXACT(Metadata!F484,"lo"),EXACT(Metadata!F484,"med"),EXACT(Metadata!F484,"hi"))))</f>
        <v>0</v>
      </c>
    </row>
    <row r="485" spans="1:21" x14ac:dyDescent="0.2">
      <c r="A485" s="4" t="str">
        <f ca="1">IF(B485=" "," ",HYPERLINK(CONCATENATE("#metadata!",ADDRESS(INDEX($L$2:$L$1001,MATCH(ROWS($J$2:J485),$J$2:$J$1001,0),0),1)),INDEX($O$2:$O$1001,MATCH(ROWS($J$2:J485),$J$2:$J$1001,0),0)))</f>
        <v xml:space="preserve"> </v>
      </c>
      <c r="B485" s="3" t="str">
        <f ca="1">IF(OR(INDEX($K$2:$K$1001,MATCH(ROWS($J$2:J485),$J$2:$J$1001,0),1)&gt;=100000,INDEX($Q$1005:$U$1005,1,MATCH(COLUMNS($Q$1006:Q1006),$Q$1006:$U$1006,0))&gt;=100000), " ",IF(INDEX($Q$2:$U$1001,MATCH(ROWS($J$2:J485),$J$2:$J$1001,0),MATCH(COLUMNS($Q$1006:Q1006),$Q$1006:$U$1006,0)), HYPERLINK("#",""), HYPERLINK(CONCATENATE("#Metadata!", ADDRESS(INDEX($L$2:$L$1001,MATCH(ROWS($J$2:J485),$J$2:$J$1001,0),0), INDEX($Q$1004:$U$1004,1,MATCH(COLUMNS($Q$1006:Q1006),$Q$1006:$U$1006,0)))),"Fix")))</f>
        <v xml:space="preserve"> </v>
      </c>
      <c r="C485" s="3" t="str">
        <f ca="1">IF(OR(INDEX($K$2:$K$1001,MATCH(ROWS($J$2:J485),$J$2:$J$1001,0),1)&gt;=100000,INDEX($Q$1005:$U$1005,1,MATCH(COLUMNS($Q$1006:R1006),$Q$1006:$U$1006,0))&gt;=100000), " ",IF(INDEX($Q$2:$U$1001,MATCH(ROWS($J$2:J485),$J$2:$J$1001,0),MATCH(COLUMNS($Q$1006:R1006),$Q$1006:$U$1006,0)), HYPERLINK("#",""), HYPERLINK(CONCATENATE("#Metadata!", ADDRESS(INDEX($L$2:$L$1001,MATCH(ROWS($J$2:J485),$J$2:$J$1001,0),0), INDEX($Q$1004:$U$1004,1,MATCH(COLUMNS($Q$1006:R1006),$Q$1006:$U$1006,0)))),"Fix")))</f>
        <v xml:space="preserve"> </v>
      </c>
      <c r="D485" s="3" t="str">
        <f ca="1">IF(OR(INDEX($K$2:$K$1001,MATCH(ROWS($J$2:J485),$J$2:$J$1001,0),1)&gt;=100000,INDEX($Q$1005:$U$1005,1,MATCH(COLUMNS($Q$1006:S1006),$Q$1006:$U$1006,0))&gt;=100000), " ",IF(INDEX($Q$2:$U$1001,MATCH(ROWS($J$2:J485),$J$2:$J$1001,0),MATCH(COLUMNS($Q$1006:S1006),$Q$1006:$U$1006,0)), HYPERLINK("#",""), HYPERLINK(CONCATENATE("#Metadata!", ADDRESS(INDEX($L$2:$L$1001,MATCH(ROWS($J$2:J485),$J$2:$J$1001,0),0), INDEX($Q$1004:$U$1004,1,MATCH(COLUMNS($Q$1006:S1006),$Q$1006:$U$1006,0)))),"Fix")))</f>
        <v xml:space="preserve"> </v>
      </c>
      <c r="E485" s="3" t="str">
        <f ca="1">IF(OR(INDEX($K$2:$K$1001,MATCH(ROWS($J$2:J485),$J$2:$J$1001,0),1)&gt;=100000,INDEX($Q$1005:$U$1005,1,MATCH(COLUMNS($Q$1006:T1006),$Q$1006:$U$1006,0))&gt;=100000), " ",IF(INDEX($Q$2:$U$1001,MATCH(ROWS($J$2:J485),$J$2:$J$1001,0),MATCH(COLUMNS($Q$1006:T1006),$Q$1006:$U$1006,0)), HYPERLINK("#",""), HYPERLINK(CONCATENATE("#Metadata!", ADDRESS(INDEX($L$2:$L$1001,MATCH(ROWS($J$2:J485),$J$2:$J$1001,0),0), INDEX($Q$1004:$U$1004,1,MATCH(COLUMNS($Q$1006:T1006),$Q$1006:$U$1006,0)))),"Fix")))</f>
        <v xml:space="preserve"> </v>
      </c>
      <c r="F485" s="3" t="str">
        <f ca="1">IF(OR(INDEX($K$2:$K$1001,MATCH(ROWS($J$2:J485),$J$2:$J$1001,0),1)&gt;=100000,INDEX($Q$1005:$U$1005,1,MATCH(COLUMNS($Q$1006:U1006),$Q$1006:$U$1006,0))&gt;=100000), " ",IF(INDEX($Q$2:$U$1001,MATCH(ROWS($J$2:J485),$J$2:$J$1001,0),MATCH(COLUMNS($Q$1006:U1006),$Q$1006:$U$1006,0)), HYPERLINK("#",""), HYPERLINK(CONCATENATE("#Metadata!", ADDRESS(INDEX($L$2:$L$1001,MATCH(ROWS($J$2:J485),$J$2:$J$1001,0),0), INDEX($Q$1004:$U$1004,1,MATCH(COLUMNS($Q$1006:U1006),$Q$1006:$U$1006,0)))),"Fix")))</f>
        <v xml:space="preserve"> </v>
      </c>
      <c r="J485">
        <f ca="1"/>
        <v>484</v>
      </c>
      <c r="K485">
        <v>100485</v>
      </c>
      <c r="L485">
        <v>485</v>
      </c>
      <c r="M485" t="b">
        <f t="shared" si="7"/>
        <v>1</v>
      </c>
      <c r="N485" t="b">
        <f>COUNTBLANK(Metadata!B485:F485)=COLUMNS(Metadata!B485:F485)</f>
        <v>1</v>
      </c>
      <c r="O485" t="str">
        <v/>
      </c>
      <c r="Q485" t="b">
        <f ca="1"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R485" t="b">
        <f>IF(Metadata!C485="",FALSE,TRUE)</f>
        <v>0</v>
      </c>
      <c r="S485" t="b">
        <f>OR(AND(IF(Metadata!D485="",FALSE,TRUE),EXACT(Metadata!D485,"missing: not collected")),AND(IF(Metadata!D485="",FALSE,TRUE),OR(EXACT(Metadata!D485,"t"),EXACT(Metadata!D485,"f"))))</f>
        <v>0</v>
      </c>
      <c r="T485" t="b">
        <f>AND(IF(Metadata!E485="",FALSE,TRUE),OR(EXACT(Metadata!E485,"a"),EXACT(Metadata!E485,"b")))</f>
        <v>0</v>
      </c>
      <c r="U485" t="b">
        <f>OR(AND(IF(Metadata!F485="",FALSE,TRUE),OR(EXACT(Metadata!F485,"missing: not collected"),EXACT(Metadata!F485,"missing: not provided"))),AND(IF(Metadata!F485="",FALSE,TRUE),OR(EXACT(Metadata!F485,"lo"),EXACT(Metadata!F485,"med"),EXACT(Metadata!F485,"hi"))))</f>
        <v>0</v>
      </c>
    </row>
    <row r="486" spans="1:21" x14ac:dyDescent="0.2">
      <c r="A486" s="4" t="str">
        <f ca="1">IF(B486=" "," ",HYPERLINK(CONCATENATE("#metadata!",ADDRESS(INDEX($L$2:$L$1001,MATCH(ROWS($J$2:J486),$J$2:$J$1001,0),0),1)),INDEX($O$2:$O$1001,MATCH(ROWS($J$2:J486),$J$2:$J$1001,0),0)))</f>
        <v xml:space="preserve"> </v>
      </c>
      <c r="B486" s="3" t="str">
        <f ca="1">IF(OR(INDEX($K$2:$K$1001,MATCH(ROWS($J$2:J486),$J$2:$J$1001,0),1)&gt;=100000,INDEX($Q$1005:$U$1005,1,MATCH(COLUMNS($Q$1006:Q1006),$Q$1006:$U$1006,0))&gt;=100000), " ",IF(INDEX($Q$2:$U$1001,MATCH(ROWS($J$2:J486),$J$2:$J$1001,0),MATCH(COLUMNS($Q$1006:Q1006),$Q$1006:$U$1006,0)), HYPERLINK("#",""), HYPERLINK(CONCATENATE("#Metadata!", ADDRESS(INDEX($L$2:$L$1001,MATCH(ROWS($J$2:J486),$J$2:$J$1001,0),0), INDEX($Q$1004:$U$1004,1,MATCH(COLUMNS($Q$1006:Q1006),$Q$1006:$U$1006,0)))),"Fix")))</f>
        <v xml:space="preserve"> </v>
      </c>
      <c r="C486" s="3" t="str">
        <f ca="1">IF(OR(INDEX($K$2:$K$1001,MATCH(ROWS($J$2:J486),$J$2:$J$1001,0),1)&gt;=100000,INDEX($Q$1005:$U$1005,1,MATCH(COLUMNS($Q$1006:R1006),$Q$1006:$U$1006,0))&gt;=100000), " ",IF(INDEX($Q$2:$U$1001,MATCH(ROWS($J$2:J486),$J$2:$J$1001,0),MATCH(COLUMNS($Q$1006:R1006),$Q$1006:$U$1006,0)), HYPERLINK("#",""), HYPERLINK(CONCATENATE("#Metadata!", ADDRESS(INDEX($L$2:$L$1001,MATCH(ROWS($J$2:J486),$J$2:$J$1001,0),0), INDEX($Q$1004:$U$1004,1,MATCH(COLUMNS($Q$1006:R1006),$Q$1006:$U$1006,0)))),"Fix")))</f>
        <v xml:space="preserve"> </v>
      </c>
      <c r="D486" s="3" t="str">
        <f ca="1">IF(OR(INDEX($K$2:$K$1001,MATCH(ROWS($J$2:J486),$J$2:$J$1001,0),1)&gt;=100000,INDEX($Q$1005:$U$1005,1,MATCH(COLUMNS($Q$1006:S1006),$Q$1006:$U$1006,0))&gt;=100000), " ",IF(INDEX($Q$2:$U$1001,MATCH(ROWS($J$2:J486),$J$2:$J$1001,0),MATCH(COLUMNS($Q$1006:S1006),$Q$1006:$U$1006,0)), HYPERLINK("#",""), HYPERLINK(CONCATENATE("#Metadata!", ADDRESS(INDEX($L$2:$L$1001,MATCH(ROWS($J$2:J486),$J$2:$J$1001,0),0), INDEX($Q$1004:$U$1004,1,MATCH(COLUMNS($Q$1006:S1006),$Q$1006:$U$1006,0)))),"Fix")))</f>
        <v xml:space="preserve"> </v>
      </c>
      <c r="E486" s="3" t="str">
        <f ca="1">IF(OR(INDEX($K$2:$K$1001,MATCH(ROWS($J$2:J486),$J$2:$J$1001,0),1)&gt;=100000,INDEX($Q$1005:$U$1005,1,MATCH(COLUMNS($Q$1006:T1006),$Q$1006:$U$1006,0))&gt;=100000), " ",IF(INDEX($Q$2:$U$1001,MATCH(ROWS($J$2:J486),$J$2:$J$1001,0),MATCH(COLUMNS($Q$1006:T1006),$Q$1006:$U$1006,0)), HYPERLINK("#",""), HYPERLINK(CONCATENATE("#Metadata!", ADDRESS(INDEX($L$2:$L$1001,MATCH(ROWS($J$2:J486),$J$2:$J$1001,0),0), INDEX($Q$1004:$U$1004,1,MATCH(COLUMNS($Q$1006:T1006),$Q$1006:$U$1006,0)))),"Fix")))</f>
        <v xml:space="preserve"> </v>
      </c>
      <c r="F486" s="3" t="str">
        <f ca="1">IF(OR(INDEX($K$2:$K$1001,MATCH(ROWS($J$2:J486),$J$2:$J$1001,0),1)&gt;=100000,INDEX($Q$1005:$U$1005,1,MATCH(COLUMNS($Q$1006:U1006),$Q$1006:$U$1006,0))&gt;=100000), " ",IF(INDEX($Q$2:$U$1001,MATCH(ROWS($J$2:J486),$J$2:$J$1001,0),MATCH(COLUMNS($Q$1006:U1006),$Q$1006:$U$1006,0)), HYPERLINK("#",""), HYPERLINK(CONCATENATE("#Metadata!", ADDRESS(INDEX($L$2:$L$1001,MATCH(ROWS($J$2:J486),$J$2:$J$1001,0),0), INDEX($Q$1004:$U$1004,1,MATCH(COLUMNS($Q$1006:U1006),$Q$1006:$U$1006,0)))),"Fix")))</f>
        <v xml:space="preserve"> </v>
      </c>
      <c r="J486">
        <f ca="1"/>
        <v>485</v>
      </c>
      <c r="K486">
        <v>100486</v>
      </c>
      <c r="L486">
        <v>486</v>
      </c>
      <c r="M486" t="b">
        <f t="shared" si="7"/>
        <v>1</v>
      </c>
      <c r="N486" t="b">
        <f>COUNTBLANK(Metadata!B486:F486)=COLUMNS(Metadata!B486:F486)</f>
        <v>1</v>
      </c>
      <c r="O486" t="str">
        <v/>
      </c>
      <c r="Q486" t="b">
        <f ca="1"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R486" t="b">
        <f>IF(Metadata!C486="",FALSE,TRUE)</f>
        <v>0</v>
      </c>
      <c r="S486" t="b">
        <f>OR(AND(IF(Metadata!D486="",FALSE,TRUE),EXACT(Metadata!D486,"missing: not collected")),AND(IF(Metadata!D486="",FALSE,TRUE),OR(EXACT(Metadata!D486,"t"),EXACT(Metadata!D486,"f"))))</f>
        <v>0</v>
      </c>
      <c r="T486" t="b">
        <f>AND(IF(Metadata!E486="",FALSE,TRUE),OR(EXACT(Metadata!E486,"a"),EXACT(Metadata!E486,"b")))</f>
        <v>0</v>
      </c>
      <c r="U486" t="b">
        <f>OR(AND(IF(Metadata!F486="",FALSE,TRUE),OR(EXACT(Metadata!F486,"missing: not collected"),EXACT(Metadata!F486,"missing: not provided"))),AND(IF(Metadata!F486="",FALSE,TRUE),OR(EXACT(Metadata!F486,"lo"),EXACT(Metadata!F486,"med"),EXACT(Metadata!F486,"hi"))))</f>
        <v>0</v>
      </c>
    </row>
    <row r="487" spans="1:21" x14ac:dyDescent="0.2">
      <c r="A487" s="4" t="str">
        <f ca="1">IF(B487=" "," ",HYPERLINK(CONCATENATE("#metadata!",ADDRESS(INDEX($L$2:$L$1001,MATCH(ROWS($J$2:J487),$J$2:$J$1001,0),0),1)),INDEX($O$2:$O$1001,MATCH(ROWS($J$2:J487),$J$2:$J$1001,0),0)))</f>
        <v xml:space="preserve"> </v>
      </c>
      <c r="B487" s="3" t="str">
        <f ca="1">IF(OR(INDEX($K$2:$K$1001,MATCH(ROWS($J$2:J487),$J$2:$J$1001,0),1)&gt;=100000,INDEX($Q$1005:$U$1005,1,MATCH(COLUMNS($Q$1006:Q1006),$Q$1006:$U$1006,0))&gt;=100000), " ",IF(INDEX($Q$2:$U$1001,MATCH(ROWS($J$2:J487),$J$2:$J$1001,0),MATCH(COLUMNS($Q$1006:Q1006),$Q$1006:$U$1006,0)), HYPERLINK("#",""), HYPERLINK(CONCATENATE("#Metadata!", ADDRESS(INDEX($L$2:$L$1001,MATCH(ROWS($J$2:J487),$J$2:$J$1001,0),0), INDEX($Q$1004:$U$1004,1,MATCH(COLUMNS($Q$1006:Q1006),$Q$1006:$U$1006,0)))),"Fix")))</f>
        <v xml:space="preserve"> </v>
      </c>
      <c r="C487" s="3" t="str">
        <f ca="1">IF(OR(INDEX($K$2:$K$1001,MATCH(ROWS($J$2:J487),$J$2:$J$1001,0),1)&gt;=100000,INDEX($Q$1005:$U$1005,1,MATCH(COLUMNS($Q$1006:R1006),$Q$1006:$U$1006,0))&gt;=100000), " ",IF(INDEX($Q$2:$U$1001,MATCH(ROWS($J$2:J487),$J$2:$J$1001,0),MATCH(COLUMNS($Q$1006:R1006),$Q$1006:$U$1006,0)), HYPERLINK("#",""), HYPERLINK(CONCATENATE("#Metadata!", ADDRESS(INDEX($L$2:$L$1001,MATCH(ROWS($J$2:J487),$J$2:$J$1001,0),0), INDEX($Q$1004:$U$1004,1,MATCH(COLUMNS($Q$1006:R1006),$Q$1006:$U$1006,0)))),"Fix")))</f>
        <v xml:space="preserve"> </v>
      </c>
      <c r="D487" s="3" t="str">
        <f ca="1">IF(OR(INDEX($K$2:$K$1001,MATCH(ROWS($J$2:J487),$J$2:$J$1001,0),1)&gt;=100000,INDEX($Q$1005:$U$1005,1,MATCH(COLUMNS($Q$1006:S1006),$Q$1006:$U$1006,0))&gt;=100000), " ",IF(INDEX($Q$2:$U$1001,MATCH(ROWS($J$2:J487),$J$2:$J$1001,0),MATCH(COLUMNS($Q$1006:S1006),$Q$1006:$U$1006,0)), HYPERLINK("#",""), HYPERLINK(CONCATENATE("#Metadata!", ADDRESS(INDEX($L$2:$L$1001,MATCH(ROWS($J$2:J487),$J$2:$J$1001,0),0), INDEX($Q$1004:$U$1004,1,MATCH(COLUMNS($Q$1006:S1006),$Q$1006:$U$1006,0)))),"Fix")))</f>
        <v xml:space="preserve"> </v>
      </c>
      <c r="E487" s="3" t="str">
        <f ca="1">IF(OR(INDEX($K$2:$K$1001,MATCH(ROWS($J$2:J487),$J$2:$J$1001,0),1)&gt;=100000,INDEX($Q$1005:$U$1005,1,MATCH(COLUMNS($Q$1006:T1006),$Q$1006:$U$1006,0))&gt;=100000), " ",IF(INDEX($Q$2:$U$1001,MATCH(ROWS($J$2:J487),$J$2:$J$1001,0),MATCH(COLUMNS($Q$1006:T1006),$Q$1006:$U$1006,0)), HYPERLINK("#",""), HYPERLINK(CONCATENATE("#Metadata!", ADDRESS(INDEX($L$2:$L$1001,MATCH(ROWS($J$2:J487),$J$2:$J$1001,0),0), INDEX($Q$1004:$U$1004,1,MATCH(COLUMNS($Q$1006:T1006),$Q$1006:$U$1006,0)))),"Fix")))</f>
        <v xml:space="preserve"> </v>
      </c>
      <c r="F487" s="3" t="str">
        <f ca="1">IF(OR(INDEX($K$2:$K$1001,MATCH(ROWS($J$2:J487),$J$2:$J$1001,0),1)&gt;=100000,INDEX($Q$1005:$U$1005,1,MATCH(COLUMNS($Q$1006:U1006),$Q$1006:$U$1006,0))&gt;=100000), " ",IF(INDEX($Q$2:$U$1001,MATCH(ROWS($J$2:J487),$J$2:$J$1001,0),MATCH(COLUMNS($Q$1006:U1006),$Q$1006:$U$1006,0)), HYPERLINK("#",""), HYPERLINK(CONCATENATE("#Metadata!", ADDRESS(INDEX($L$2:$L$1001,MATCH(ROWS($J$2:J487),$J$2:$J$1001,0),0), INDEX($Q$1004:$U$1004,1,MATCH(COLUMNS($Q$1006:U1006),$Q$1006:$U$1006,0)))),"Fix")))</f>
        <v xml:space="preserve"> </v>
      </c>
      <c r="J487">
        <f ca="1"/>
        <v>486</v>
      </c>
      <c r="K487">
        <v>100487</v>
      </c>
      <c r="L487">
        <v>487</v>
      </c>
      <c r="M487" t="b">
        <f t="shared" si="7"/>
        <v>1</v>
      </c>
      <c r="N487" t="b">
        <f>COUNTBLANK(Metadata!B487:F487)=COLUMNS(Metadata!B487:F487)</f>
        <v>1</v>
      </c>
      <c r="O487" t="str">
        <v/>
      </c>
      <c r="Q487" t="b">
        <f ca="1"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R487" t="b">
        <f>IF(Metadata!C487="",FALSE,TRUE)</f>
        <v>0</v>
      </c>
      <c r="S487" t="b">
        <f>OR(AND(IF(Metadata!D487="",FALSE,TRUE),EXACT(Metadata!D487,"missing: not collected")),AND(IF(Metadata!D487="",FALSE,TRUE),OR(EXACT(Metadata!D487,"t"),EXACT(Metadata!D487,"f"))))</f>
        <v>0</v>
      </c>
      <c r="T487" t="b">
        <f>AND(IF(Metadata!E487="",FALSE,TRUE),OR(EXACT(Metadata!E487,"a"),EXACT(Metadata!E487,"b")))</f>
        <v>0</v>
      </c>
      <c r="U487" t="b">
        <f>OR(AND(IF(Metadata!F487="",FALSE,TRUE),OR(EXACT(Metadata!F487,"missing: not collected"),EXACT(Metadata!F487,"missing: not provided"))),AND(IF(Metadata!F487="",FALSE,TRUE),OR(EXACT(Metadata!F487,"lo"),EXACT(Metadata!F487,"med"),EXACT(Metadata!F487,"hi"))))</f>
        <v>0</v>
      </c>
    </row>
    <row r="488" spans="1:21" x14ac:dyDescent="0.2">
      <c r="A488" s="4" t="str">
        <f ca="1">IF(B488=" "," ",HYPERLINK(CONCATENATE("#metadata!",ADDRESS(INDEX($L$2:$L$1001,MATCH(ROWS($J$2:J488),$J$2:$J$1001,0),0),1)),INDEX($O$2:$O$1001,MATCH(ROWS($J$2:J488),$J$2:$J$1001,0),0)))</f>
        <v xml:space="preserve"> </v>
      </c>
      <c r="B488" s="3" t="str">
        <f ca="1">IF(OR(INDEX($K$2:$K$1001,MATCH(ROWS($J$2:J488),$J$2:$J$1001,0),1)&gt;=100000,INDEX($Q$1005:$U$1005,1,MATCH(COLUMNS($Q$1006:Q1006),$Q$1006:$U$1006,0))&gt;=100000), " ",IF(INDEX($Q$2:$U$1001,MATCH(ROWS($J$2:J488),$J$2:$J$1001,0),MATCH(COLUMNS($Q$1006:Q1006),$Q$1006:$U$1006,0)), HYPERLINK("#",""), HYPERLINK(CONCATENATE("#Metadata!", ADDRESS(INDEX($L$2:$L$1001,MATCH(ROWS($J$2:J488),$J$2:$J$1001,0),0), INDEX($Q$1004:$U$1004,1,MATCH(COLUMNS($Q$1006:Q1006),$Q$1006:$U$1006,0)))),"Fix")))</f>
        <v xml:space="preserve"> </v>
      </c>
      <c r="C488" s="3" t="str">
        <f ca="1">IF(OR(INDEX($K$2:$K$1001,MATCH(ROWS($J$2:J488),$J$2:$J$1001,0),1)&gt;=100000,INDEX($Q$1005:$U$1005,1,MATCH(COLUMNS($Q$1006:R1006),$Q$1006:$U$1006,0))&gt;=100000), " ",IF(INDEX($Q$2:$U$1001,MATCH(ROWS($J$2:J488),$J$2:$J$1001,0),MATCH(COLUMNS($Q$1006:R1006),$Q$1006:$U$1006,0)), HYPERLINK("#",""), HYPERLINK(CONCATENATE("#Metadata!", ADDRESS(INDEX($L$2:$L$1001,MATCH(ROWS($J$2:J488),$J$2:$J$1001,0),0), INDEX($Q$1004:$U$1004,1,MATCH(COLUMNS($Q$1006:R1006),$Q$1006:$U$1006,0)))),"Fix")))</f>
        <v xml:space="preserve"> </v>
      </c>
      <c r="D488" s="3" t="str">
        <f ca="1">IF(OR(INDEX($K$2:$K$1001,MATCH(ROWS($J$2:J488),$J$2:$J$1001,0),1)&gt;=100000,INDEX($Q$1005:$U$1005,1,MATCH(COLUMNS($Q$1006:S1006),$Q$1006:$U$1006,0))&gt;=100000), " ",IF(INDEX($Q$2:$U$1001,MATCH(ROWS($J$2:J488),$J$2:$J$1001,0),MATCH(COLUMNS($Q$1006:S1006),$Q$1006:$U$1006,0)), HYPERLINK("#",""), HYPERLINK(CONCATENATE("#Metadata!", ADDRESS(INDEX($L$2:$L$1001,MATCH(ROWS($J$2:J488),$J$2:$J$1001,0),0), INDEX($Q$1004:$U$1004,1,MATCH(COLUMNS($Q$1006:S1006),$Q$1006:$U$1006,0)))),"Fix")))</f>
        <v xml:space="preserve"> </v>
      </c>
      <c r="E488" s="3" t="str">
        <f ca="1">IF(OR(INDEX($K$2:$K$1001,MATCH(ROWS($J$2:J488),$J$2:$J$1001,0),1)&gt;=100000,INDEX($Q$1005:$U$1005,1,MATCH(COLUMNS($Q$1006:T1006),$Q$1006:$U$1006,0))&gt;=100000), " ",IF(INDEX($Q$2:$U$1001,MATCH(ROWS($J$2:J488),$J$2:$J$1001,0),MATCH(COLUMNS($Q$1006:T1006),$Q$1006:$U$1006,0)), HYPERLINK("#",""), HYPERLINK(CONCATENATE("#Metadata!", ADDRESS(INDEX($L$2:$L$1001,MATCH(ROWS($J$2:J488),$J$2:$J$1001,0),0), INDEX($Q$1004:$U$1004,1,MATCH(COLUMNS($Q$1006:T1006),$Q$1006:$U$1006,0)))),"Fix")))</f>
        <v xml:space="preserve"> </v>
      </c>
      <c r="F488" s="3" t="str">
        <f ca="1">IF(OR(INDEX($K$2:$K$1001,MATCH(ROWS($J$2:J488),$J$2:$J$1001,0),1)&gt;=100000,INDEX($Q$1005:$U$1005,1,MATCH(COLUMNS($Q$1006:U1006),$Q$1006:$U$1006,0))&gt;=100000), " ",IF(INDEX($Q$2:$U$1001,MATCH(ROWS($J$2:J488),$J$2:$J$1001,0),MATCH(COLUMNS($Q$1006:U1006),$Q$1006:$U$1006,0)), HYPERLINK("#",""), HYPERLINK(CONCATENATE("#Metadata!", ADDRESS(INDEX($L$2:$L$1001,MATCH(ROWS($J$2:J488),$J$2:$J$1001,0),0), INDEX($Q$1004:$U$1004,1,MATCH(COLUMNS($Q$1006:U1006),$Q$1006:$U$1006,0)))),"Fix")))</f>
        <v xml:space="preserve"> </v>
      </c>
      <c r="J488">
        <f ca="1"/>
        <v>487</v>
      </c>
      <c r="K488">
        <v>100488</v>
      </c>
      <c r="L488">
        <v>488</v>
      </c>
      <c r="M488" t="b">
        <f t="shared" si="7"/>
        <v>1</v>
      </c>
      <c r="N488" t="b">
        <f>COUNTBLANK(Metadata!B488:F488)=COLUMNS(Metadata!B488:F488)</f>
        <v>1</v>
      </c>
      <c r="O488" t="str">
        <v/>
      </c>
      <c r="Q488" t="b">
        <f ca="1"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R488" t="b">
        <f>IF(Metadata!C488="",FALSE,TRUE)</f>
        <v>0</v>
      </c>
      <c r="S488" t="b">
        <f>OR(AND(IF(Metadata!D488="",FALSE,TRUE),EXACT(Metadata!D488,"missing: not collected")),AND(IF(Metadata!D488="",FALSE,TRUE),OR(EXACT(Metadata!D488,"t"),EXACT(Metadata!D488,"f"))))</f>
        <v>0</v>
      </c>
      <c r="T488" t="b">
        <f>AND(IF(Metadata!E488="",FALSE,TRUE),OR(EXACT(Metadata!E488,"a"),EXACT(Metadata!E488,"b")))</f>
        <v>0</v>
      </c>
      <c r="U488" t="b">
        <f>OR(AND(IF(Metadata!F488="",FALSE,TRUE),OR(EXACT(Metadata!F488,"missing: not collected"),EXACT(Metadata!F488,"missing: not provided"))),AND(IF(Metadata!F488="",FALSE,TRUE),OR(EXACT(Metadata!F488,"lo"),EXACT(Metadata!F488,"med"),EXACT(Metadata!F488,"hi"))))</f>
        <v>0</v>
      </c>
    </row>
    <row r="489" spans="1:21" x14ac:dyDescent="0.2">
      <c r="A489" s="4" t="str">
        <f ca="1">IF(B489=" "," ",HYPERLINK(CONCATENATE("#metadata!",ADDRESS(INDEX($L$2:$L$1001,MATCH(ROWS($J$2:J489),$J$2:$J$1001,0),0),1)),INDEX($O$2:$O$1001,MATCH(ROWS($J$2:J489),$J$2:$J$1001,0),0)))</f>
        <v xml:space="preserve"> </v>
      </c>
      <c r="B489" s="3" t="str">
        <f ca="1">IF(OR(INDEX($K$2:$K$1001,MATCH(ROWS($J$2:J489),$J$2:$J$1001,0),1)&gt;=100000,INDEX($Q$1005:$U$1005,1,MATCH(COLUMNS($Q$1006:Q1006),$Q$1006:$U$1006,0))&gt;=100000), " ",IF(INDEX($Q$2:$U$1001,MATCH(ROWS($J$2:J489),$J$2:$J$1001,0),MATCH(COLUMNS($Q$1006:Q1006),$Q$1006:$U$1006,0)), HYPERLINK("#",""), HYPERLINK(CONCATENATE("#Metadata!", ADDRESS(INDEX($L$2:$L$1001,MATCH(ROWS($J$2:J489),$J$2:$J$1001,0),0), INDEX($Q$1004:$U$1004,1,MATCH(COLUMNS($Q$1006:Q1006),$Q$1006:$U$1006,0)))),"Fix")))</f>
        <v xml:space="preserve"> </v>
      </c>
      <c r="C489" s="3" t="str">
        <f ca="1">IF(OR(INDEX($K$2:$K$1001,MATCH(ROWS($J$2:J489),$J$2:$J$1001,0),1)&gt;=100000,INDEX($Q$1005:$U$1005,1,MATCH(COLUMNS($Q$1006:R1006),$Q$1006:$U$1006,0))&gt;=100000), " ",IF(INDEX($Q$2:$U$1001,MATCH(ROWS($J$2:J489),$J$2:$J$1001,0),MATCH(COLUMNS($Q$1006:R1006),$Q$1006:$U$1006,0)), HYPERLINK("#",""), HYPERLINK(CONCATENATE("#Metadata!", ADDRESS(INDEX($L$2:$L$1001,MATCH(ROWS($J$2:J489),$J$2:$J$1001,0),0), INDEX($Q$1004:$U$1004,1,MATCH(COLUMNS($Q$1006:R1006),$Q$1006:$U$1006,0)))),"Fix")))</f>
        <v xml:space="preserve"> </v>
      </c>
      <c r="D489" s="3" t="str">
        <f ca="1">IF(OR(INDEX($K$2:$K$1001,MATCH(ROWS($J$2:J489),$J$2:$J$1001,0),1)&gt;=100000,INDEX($Q$1005:$U$1005,1,MATCH(COLUMNS($Q$1006:S1006),$Q$1006:$U$1006,0))&gt;=100000), " ",IF(INDEX($Q$2:$U$1001,MATCH(ROWS($J$2:J489),$J$2:$J$1001,0),MATCH(COLUMNS($Q$1006:S1006),$Q$1006:$U$1006,0)), HYPERLINK("#",""), HYPERLINK(CONCATENATE("#Metadata!", ADDRESS(INDEX($L$2:$L$1001,MATCH(ROWS($J$2:J489),$J$2:$J$1001,0),0), INDEX($Q$1004:$U$1004,1,MATCH(COLUMNS($Q$1006:S1006),$Q$1006:$U$1006,0)))),"Fix")))</f>
        <v xml:space="preserve"> </v>
      </c>
      <c r="E489" s="3" t="str">
        <f ca="1">IF(OR(INDEX($K$2:$K$1001,MATCH(ROWS($J$2:J489),$J$2:$J$1001,0),1)&gt;=100000,INDEX($Q$1005:$U$1005,1,MATCH(COLUMNS($Q$1006:T1006),$Q$1006:$U$1006,0))&gt;=100000), " ",IF(INDEX($Q$2:$U$1001,MATCH(ROWS($J$2:J489),$J$2:$J$1001,0),MATCH(COLUMNS($Q$1006:T1006),$Q$1006:$U$1006,0)), HYPERLINK("#",""), HYPERLINK(CONCATENATE("#Metadata!", ADDRESS(INDEX($L$2:$L$1001,MATCH(ROWS($J$2:J489),$J$2:$J$1001,0),0), INDEX($Q$1004:$U$1004,1,MATCH(COLUMNS($Q$1006:T1006),$Q$1006:$U$1006,0)))),"Fix")))</f>
        <v xml:space="preserve"> </v>
      </c>
      <c r="F489" s="3" t="str">
        <f ca="1">IF(OR(INDEX($K$2:$K$1001,MATCH(ROWS($J$2:J489),$J$2:$J$1001,0),1)&gt;=100000,INDEX($Q$1005:$U$1005,1,MATCH(COLUMNS($Q$1006:U1006),$Q$1006:$U$1006,0))&gt;=100000), " ",IF(INDEX($Q$2:$U$1001,MATCH(ROWS($J$2:J489),$J$2:$J$1001,0),MATCH(COLUMNS($Q$1006:U1006),$Q$1006:$U$1006,0)), HYPERLINK("#",""), HYPERLINK(CONCATENATE("#Metadata!", ADDRESS(INDEX($L$2:$L$1001,MATCH(ROWS($J$2:J489),$J$2:$J$1001,0),0), INDEX($Q$1004:$U$1004,1,MATCH(COLUMNS($Q$1006:U1006),$Q$1006:$U$1006,0)))),"Fix")))</f>
        <v xml:space="preserve"> </v>
      </c>
      <c r="J489">
        <f ca="1"/>
        <v>488</v>
      </c>
      <c r="K489">
        <v>100489</v>
      </c>
      <c r="L489">
        <v>489</v>
      </c>
      <c r="M489" t="b">
        <f t="shared" si="7"/>
        <v>1</v>
      </c>
      <c r="N489" t="b">
        <f>COUNTBLANK(Metadata!B489:F489)=COLUMNS(Metadata!B489:F489)</f>
        <v>1</v>
      </c>
      <c r="O489" t="str">
        <v/>
      </c>
      <c r="Q489" t="b">
        <f ca="1"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R489" t="b">
        <f>IF(Metadata!C489="",FALSE,TRUE)</f>
        <v>0</v>
      </c>
      <c r="S489" t="b">
        <f>OR(AND(IF(Metadata!D489="",FALSE,TRUE),EXACT(Metadata!D489,"missing: not collected")),AND(IF(Metadata!D489="",FALSE,TRUE),OR(EXACT(Metadata!D489,"t"),EXACT(Metadata!D489,"f"))))</f>
        <v>0</v>
      </c>
      <c r="T489" t="b">
        <f>AND(IF(Metadata!E489="",FALSE,TRUE),OR(EXACT(Metadata!E489,"a"),EXACT(Metadata!E489,"b")))</f>
        <v>0</v>
      </c>
      <c r="U489" t="b">
        <f>OR(AND(IF(Metadata!F489="",FALSE,TRUE),OR(EXACT(Metadata!F489,"missing: not collected"),EXACT(Metadata!F489,"missing: not provided"))),AND(IF(Metadata!F489="",FALSE,TRUE),OR(EXACT(Metadata!F489,"lo"),EXACT(Metadata!F489,"med"),EXACT(Metadata!F489,"hi"))))</f>
        <v>0</v>
      </c>
    </row>
    <row r="490" spans="1:21" x14ac:dyDescent="0.2">
      <c r="A490" s="4" t="str">
        <f ca="1">IF(B490=" "," ",HYPERLINK(CONCATENATE("#metadata!",ADDRESS(INDEX($L$2:$L$1001,MATCH(ROWS($J$2:J490),$J$2:$J$1001,0),0),1)),INDEX($O$2:$O$1001,MATCH(ROWS($J$2:J490),$J$2:$J$1001,0),0)))</f>
        <v xml:space="preserve"> </v>
      </c>
      <c r="B490" s="3" t="str">
        <f ca="1">IF(OR(INDEX($K$2:$K$1001,MATCH(ROWS($J$2:J490),$J$2:$J$1001,0),1)&gt;=100000,INDEX($Q$1005:$U$1005,1,MATCH(COLUMNS($Q$1006:Q1006),$Q$1006:$U$1006,0))&gt;=100000), " ",IF(INDEX($Q$2:$U$1001,MATCH(ROWS($J$2:J490),$J$2:$J$1001,0),MATCH(COLUMNS($Q$1006:Q1006),$Q$1006:$U$1006,0)), HYPERLINK("#",""), HYPERLINK(CONCATENATE("#Metadata!", ADDRESS(INDEX($L$2:$L$1001,MATCH(ROWS($J$2:J490),$J$2:$J$1001,0),0), INDEX($Q$1004:$U$1004,1,MATCH(COLUMNS($Q$1006:Q1006),$Q$1006:$U$1006,0)))),"Fix")))</f>
        <v xml:space="preserve"> </v>
      </c>
      <c r="C490" s="3" t="str">
        <f ca="1">IF(OR(INDEX($K$2:$K$1001,MATCH(ROWS($J$2:J490),$J$2:$J$1001,0),1)&gt;=100000,INDEX($Q$1005:$U$1005,1,MATCH(COLUMNS($Q$1006:R1006),$Q$1006:$U$1006,0))&gt;=100000), " ",IF(INDEX($Q$2:$U$1001,MATCH(ROWS($J$2:J490),$J$2:$J$1001,0),MATCH(COLUMNS($Q$1006:R1006),$Q$1006:$U$1006,0)), HYPERLINK("#",""), HYPERLINK(CONCATENATE("#Metadata!", ADDRESS(INDEX($L$2:$L$1001,MATCH(ROWS($J$2:J490),$J$2:$J$1001,0),0), INDEX($Q$1004:$U$1004,1,MATCH(COLUMNS($Q$1006:R1006),$Q$1006:$U$1006,0)))),"Fix")))</f>
        <v xml:space="preserve"> </v>
      </c>
      <c r="D490" s="3" t="str">
        <f ca="1">IF(OR(INDEX($K$2:$K$1001,MATCH(ROWS($J$2:J490),$J$2:$J$1001,0),1)&gt;=100000,INDEX($Q$1005:$U$1005,1,MATCH(COLUMNS($Q$1006:S1006),$Q$1006:$U$1006,0))&gt;=100000), " ",IF(INDEX($Q$2:$U$1001,MATCH(ROWS($J$2:J490),$J$2:$J$1001,0),MATCH(COLUMNS($Q$1006:S1006),$Q$1006:$U$1006,0)), HYPERLINK("#",""), HYPERLINK(CONCATENATE("#Metadata!", ADDRESS(INDEX($L$2:$L$1001,MATCH(ROWS($J$2:J490),$J$2:$J$1001,0),0), INDEX($Q$1004:$U$1004,1,MATCH(COLUMNS($Q$1006:S1006),$Q$1006:$U$1006,0)))),"Fix")))</f>
        <v xml:space="preserve"> </v>
      </c>
      <c r="E490" s="3" t="str">
        <f ca="1">IF(OR(INDEX($K$2:$K$1001,MATCH(ROWS($J$2:J490),$J$2:$J$1001,0),1)&gt;=100000,INDEX($Q$1005:$U$1005,1,MATCH(COLUMNS($Q$1006:T1006),$Q$1006:$U$1006,0))&gt;=100000), " ",IF(INDEX($Q$2:$U$1001,MATCH(ROWS($J$2:J490),$J$2:$J$1001,0),MATCH(COLUMNS($Q$1006:T1006),$Q$1006:$U$1006,0)), HYPERLINK("#",""), HYPERLINK(CONCATENATE("#Metadata!", ADDRESS(INDEX($L$2:$L$1001,MATCH(ROWS($J$2:J490),$J$2:$J$1001,0),0), INDEX($Q$1004:$U$1004,1,MATCH(COLUMNS($Q$1006:T1006),$Q$1006:$U$1006,0)))),"Fix")))</f>
        <v xml:space="preserve"> </v>
      </c>
      <c r="F490" s="3" t="str">
        <f ca="1">IF(OR(INDEX($K$2:$K$1001,MATCH(ROWS($J$2:J490),$J$2:$J$1001,0),1)&gt;=100000,INDEX($Q$1005:$U$1005,1,MATCH(COLUMNS($Q$1006:U1006),$Q$1006:$U$1006,0))&gt;=100000), " ",IF(INDEX($Q$2:$U$1001,MATCH(ROWS($J$2:J490),$J$2:$J$1001,0),MATCH(COLUMNS($Q$1006:U1006),$Q$1006:$U$1006,0)), HYPERLINK("#",""), HYPERLINK(CONCATENATE("#Metadata!", ADDRESS(INDEX($L$2:$L$1001,MATCH(ROWS($J$2:J490),$J$2:$J$1001,0),0), INDEX($Q$1004:$U$1004,1,MATCH(COLUMNS($Q$1006:U1006),$Q$1006:$U$1006,0)))),"Fix")))</f>
        <v xml:space="preserve"> </v>
      </c>
      <c r="J490">
        <f ca="1"/>
        <v>489</v>
      </c>
      <c r="K490">
        <v>100490</v>
      </c>
      <c r="L490">
        <v>490</v>
      </c>
      <c r="M490" t="b">
        <f t="shared" si="7"/>
        <v>1</v>
      </c>
      <c r="N490" t="b">
        <f>COUNTBLANK(Metadata!B490:F490)=COLUMNS(Metadata!B490:F490)</f>
        <v>1</v>
      </c>
      <c r="O490" t="str">
        <v/>
      </c>
      <c r="Q490" t="b">
        <f ca="1"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R490" t="b">
        <f>IF(Metadata!C490="",FALSE,TRUE)</f>
        <v>0</v>
      </c>
      <c r="S490" t="b">
        <f>OR(AND(IF(Metadata!D490="",FALSE,TRUE),EXACT(Metadata!D490,"missing: not collected")),AND(IF(Metadata!D490="",FALSE,TRUE),OR(EXACT(Metadata!D490,"t"),EXACT(Metadata!D490,"f"))))</f>
        <v>0</v>
      </c>
      <c r="T490" t="b">
        <f>AND(IF(Metadata!E490="",FALSE,TRUE),OR(EXACT(Metadata!E490,"a"),EXACT(Metadata!E490,"b")))</f>
        <v>0</v>
      </c>
      <c r="U490" t="b">
        <f>OR(AND(IF(Metadata!F490="",FALSE,TRUE),OR(EXACT(Metadata!F490,"missing: not collected"),EXACT(Metadata!F490,"missing: not provided"))),AND(IF(Metadata!F490="",FALSE,TRUE),OR(EXACT(Metadata!F490,"lo"),EXACT(Metadata!F490,"med"),EXACT(Metadata!F490,"hi"))))</f>
        <v>0</v>
      </c>
    </row>
    <row r="491" spans="1:21" x14ac:dyDescent="0.2">
      <c r="A491" s="4" t="str">
        <f ca="1">IF(B491=" "," ",HYPERLINK(CONCATENATE("#metadata!",ADDRESS(INDEX($L$2:$L$1001,MATCH(ROWS($J$2:J491),$J$2:$J$1001,0),0),1)),INDEX($O$2:$O$1001,MATCH(ROWS($J$2:J491),$J$2:$J$1001,0),0)))</f>
        <v xml:space="preserve"> </v>
      </c>
      <c r="B491" s="3" t="str">
        <f ca="1">IF(OR(INDEX($K$2:$K$1001,MATCH(ROWS($J$2:J491),$J$2:$J$1001,0),1)&gt;=100000,INDEX($Q$1005:$U$1005,1,MATCH(COLUMNS($Q$1006:Q1006),$Q$1006:$U$1006,0))&gt;=100000), " ",IF(INDEX($Q$2:$U$1001,MATCH(ROWS($J$2:J491),$J$2:$J$1001,0),MATCH(COLUMNS($Q$1006:Q1006),$Q$1006:$U$1006,0)), HYPERLINK("#",""), HYPERLINK(CONCATENATE("#Metadata!", ADDRESS(INDEX($L$2:$L$1001,MATCH(ROWS($J$2:J491),$J$2:$J$1001,0),0), INDEX($Q$1004:$U$1004,1,MATCH(COLUMNS($Q$1006:Q1006),$Q$1006:$U$1006,0)))),"Fix")))</f>
        <v xml:space="preserve"> </v>
      </c>
      <c r="C491" s="3" t="str">
        <f ca="1">IF(OR(INDEX($K$2:$K$1001,MATCH(ROWS($J$2:J491),$J$2:$J$1001,0),1)&gt;=100000,INDEX($Q$1005:$U$1005,1,MATCH(COLUMNS($Q$1006:R1006),$Q$1006:$U$1006,0))&gt;=100000), " ",IF(INDEX($Q$2:$U$1001,MATCH(ROWS($J$2:J491),$J$2:$J$1001,0),MATCH(COLUMNS($Q$1006:R1006),$Q$1006:$U$1006,0)), HYPERLINK("#",""), HYPERLINK(CONCATENATE("#Metadata!", ADDRESS(INDEX($L$2:$L$1001,MATCH(ROWS($J$2:J491),$J$2:$J$1001,0),0), INDEX($Q$1004:$U$1004,1,MATCH(COLUMNS($Q$1006:R1006),$Q$1006:$U$1006,0)))),"Fix")))</f>
        <v xml:space="preserve"> </v>
      </c>
      <c r="D491" s="3" t="str">
        <f ca="1">IF(OR(INDEX($K$2:$K$1001,MATCH(ROWS($J$2:J491),$J$2:$J$1001,0),1)&gt;=100000,INDEX($Q$1005:$U$1005,1,MATCH(COLUMNS($Q$1006:S1006),$Q$1006:$U$1006,0))&gt;=100000), " ",IF(INDEX($Q$2:$U$1001,MATCH(ROWS($J$2:J491),$J$2:$J$1001,0),MATCH(COLUMNS($Q$1006:S1006),$Q$1006:$U$1006,0)), HYPERLINK("#",""), HYPERLINK(CONCATENATE("#Metadata!", ADDRESS(INDEX($L$2:$L$1001,MATCH(ROWS($J$2:J491),$J$2:$J$1001,0),0), INDEX($Q$1004:$U$1004,1,MATCH(COLUMNS($Q$1006:S1006),$Q$1006:$U$1006,0)))),"Fix")))</f>
        <v xml:space="preserve"> </v>
      </c>
      <c r="E491" s="3" t="str">
        <f ca="1">IF(OR(INDEX($K$2:$K$1001,MATCH(ROWS($J$2:J491),$J$2:$J$1001,0),1)&gt;=100000,INDEX($Q$1005:$U$1005,1,MATCH(COLUMNS($Q$1006:T1006),$Q$1006:$U$1006,0))&gt;=100000), " ",IF(INDEX($Q$2:$U$1001,MATCH(ROWS($J$2:J491),$J$2:$J$1001,0),MATCH(COLUMNS($Q$1006:T1006),$Q$1006:$U$1006,0)), HYPERLINK("#",""), HYPERLINK(CONCATENATE("#Metadata!", ADDRESS(INDEX($L$2:$L$1001,MATCH(ROWS($J$2:J491),$J$2:$J$1001,0),0), INDEX($Q$1004:$U$1004,1,MATCH(COLUMNS($Q$1006:T1006),$Q$1006:$U$1006,0)))),"Fix")))</f>
        <v xml:space="preserve"> </v>
      </c>
      <c r="F491" s="3" t="str">
        <f ca="1">IF(OR(INDEX($K$2:$K$1001,MATCH(ROWS($J$2:J491),$J$2:$J$1001,0),1)&gt;=100000,INDEX($Q$1005:$U$1005,1,MATCH(COLUMNS($Q$1006:U1006),$Q$1006:$U$1006,0))&gt;=100000), " ",IF(INDEX($Q$2:$U$1001,MATCH(ROWS($J$2:J491),$J$2:$J$1001,0),MATCH(COLUMNS($Q$1006:U1006),$Q$1006:$U$1006,0)), HYPERLINK("#",""), HYPERLINK(CONCATENATE("#Metadata!", ADDRESS(INDEX($L$2:$L$1001,MATCH(ROWS($J$2:J491),$J$2:$J$1001,0),0), INDEX($Q$1004:$U$1004,1,MATCH(COLUMNS($Q$1006:U1006),$Q$1006:$U$1006,0)))),"Fix")))</f>
        <v xml:space="preserve"> </v>
      </c>
      <c r="J491">
        <f ca="1"/>
        <v>490</v>
      </c>
      <c r="K491">
        <v>100491</v>
      </c>
      <c r="L491">
        <v>491</v>
      </c>
      <c r="M491" t="b">
        <f t="shared" si="7"/>
        <v>1</v>
      </c>
      <c r="N491" t="b">
        <f>COUNTBLANK(Metadata!B491:F491)=COLUMNS(Metadata!B491:F491)</f>
        <v>1</v>
      </c>
      <c r="O491" t="str">
        <v/>
      </c>
      <c r="Q491" t="b">
        <f ca="1"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R491" t="b">
        <f>IF(Metadata!C491="",FALSE,TRUE)</f>
        <v>0</v>
      </c>
      <c r="S491" t="b">
        <f>OR(AND(IF(Metadata!D491="",FALSE,TRUE),EXACT(Metadata!D491,"missing: not collected")),AND(IF(Metadata!D491="",FALSE,TRUE),OR(EXACT(Metadata!D491,"t"),EXACT(Metadata!D491,"f"))))</f>
        <v>0</v>
      </c>
      <c r="T491" t="b">
        <f>AND(IF(Metadata!E491="",FALSE,TRUE),OR(EXACT(Metadata!E491,"a"),EXACT(Metadata!E491,"b")))</f>
        <v>0</v>
      </c>
      <c r="U491" t="b">
        <f>OR(AND(IF(Metadata!F491="",FALSE,TRUE),OR(EXACT(Metadata!F491,"missing: not collected"),EXACT(Metadata!F491,"missing: not provided"))),AND(IF(Metadata!F491="",FALSE,TRUE),OR(EXACT(Metadata!F491,"lo"),EXACT(Metadata!F491,"med"),EXACT(Metadata!F491,"hi"))))</f>
        <v>0</v>
      </c>
    </row>
    <row r="492" spans="1:21" x14ac:dyDescent="0.2">
      <c r="A492" s="4" t="str">
        <f ca="1">IF(B492=" "," ",HYPERLINK(CONCATENATE("#metadata!",ADDRESS(INDEX($L$2:$L$1001,MATCH(ROWS($J$2:J492),$J$2:$J$1001,0),0),1)),INDEX($O$2:$O$1001,MATCH(ROWS($J$2:J492),$J$2:$J$1001,0),0)))</f>
        <v xml:space="preserve"> </v>
      </c>
      <c r="B492" s="3" t="str">
        <f ca="1">IF(OR(INDEX($K$2:$K$1001,MATCH(ROWS($J$2:J492),$J$2:$J$1001,0),1)&gt;=100000,INDEX($Q$1005:$U$1005,1,MATCH(COLUMNS($Q$1006:Q1006),$Q$1006:$U$1006,0))&gt;=100000), " ",IF(INDEX($Q$2:$U$1001,MATCH(ROWS($J$2:J492),$J$2:$J$1001,0),MATCH(COLUMNS($Q$1006:Q1006),$Q$1006:$U$1006,0)), HYPERLINK("#",""), HYPERLINK(CONCATENATE("#Metadata!", ADDRESS(INDEX($L$2:$L$1001,MATCH(ROWS($J$2:J492),$J$2:$J$1001,0),0), INDEX($Q$1004:$U$1004,1,MATCH(COLUMNS($Q$1006:Q1006),$Q$1006:$U$1006,0)))),"Fix")))</f>
        <v xml:space="preserve"> </v>
      </c>
      <c r="C492" s="3" t="str">
        <f ca="1">IF(OR(INDEX($K$2:$K$1001,MATCH(ROWS($J$2:J492),$J$2:$J$1001,0),1)&gt;=100000,INDEX($Q$1005:$U$1005,1,MATCH(COLUMNS($Q$1006:R1006),$Q$1006:$U$1006,0))&gt;=100000), " ",IF(INDEX($Q$2:$U$1001,MATCH(ROWS($J$2:J492),$J$2:$J$1001,0),MATCH(COLUMNS($Q$1006:R1006),$Q$1006:$U$1006,0)), HYPERLINK("#",""), HYPERLINK(CONCATENATE("#Metadata!", ADDRESS(INDEX($L$2:$L$1001,MATCH(ROWS($J$2:J492),$J$2:$J$1001,0),0), INDEX($Q$1004:$U$1004,1,MATCH(COLUMNS($Q$1006:R1006),$Q$1006:$U$1006,0)))),"Fix")))</f>
        <v xml:space="preserve"> </v>
      </c>
      <c r="D492" s="3" t="str">
        <f ca="1">IF(OR(INDEX($K$2:$K$1001,MATCH(ROWS($J$2:J492),$J$2:$J$1001,0),1)&gt;=100000,INDEX($Q$1005:$U$1005,1,MATCH(COLUMNS($Q$1006:S1006),$Q$1006:$U$1006,0))&gt;=100000), " ",IF(INDEX($Q$2:$U$1001,MATCH(ROWS($J$2:J492),$J$2:$J$1001,0),MATCH(COLUMNS($Q$1006:S1006),$Q$1006:$U$1006,0)), HYPERLINK("#",""), HYPERLINK(CONCATENATE("#Metadata!", ADDRESS(INDEX($L$2:$L$1001,MATCH(ROWS($J$2:J492),$J$2:$J$1001,0),0), INDEX($Q$1004:$U$1004,1,MATCH(COLUMNS($Q$1006:S1006),$Q$1006:$U$1006,0)))),"Fix")))</f>
        <v xml:space="preserve"> </v>
      </c>
      <c r="E492" s="3" t="str">
        <f ca="1">IF(OR(INDEX($K$2:$K$1001,MATCH(ROWS($J$2:J492),$J$2:$J$1001,0),1)&gt;=100000,INDEX($Q$1005:$U$1005,1,MATCH(COLUMNS($Q$1006:T1006),$Q$1006:$U$1006,0))&gt;=100000), " ",IF(INDEX($Q$2:$U$1001,MATCH(ROWS($J$2:J492),$J$2:$J$1001,0),MATCH(COLUMNS($Q$1006:T1006),$Q$1006:$U$1006,0)), HYPERLINK("#",""), HYPERLINK(CONCATENATE("#Metadata!", ADDRESS(INDEX($L$2:$L$1001,MATCH(ROWS($J$2:J492),$J$2:$J$1001,0),0), INDEX($Q$1004:$U$1004,1,MATCH(COLUMNS($Q$1006:T1006),$Q$1006:$U$1006,0)))),"Fix")))</f>
        <v xml:space="preserve"> </v>
      </c>
      <c r="F492" s="3" t="str">
        <f ca="1">IF(OR(INDEX($K$2:$K$1001,MATCH(ROWS($J$2:J492),$J$2:$J$1001,0),1)&gt;=100000,INDEX($Q$1005:$U$1005,1,MATCH(COLUMNS($Q$1006:U1006),$Q$1006:$U$1006,0))&gt;=100000), " ",IF(INDEX($Q$2:$U$1001,MATCH(ROWS($J$2:J492),$J$2:$J$1001,0),MATCH(COLUMNS($Q$1006:U1006),$Q$1006:$U$1006,0)), HYPERLINK("#",""), HYPERLINK(CONCATENATE("#Metadata!", ADDRESS(INDEX($L$2:$L$1001,MATCH(ROWS($J$2:J492),$J$2:$J$1001,0),0), INDEX($Q$1004:$U$1004,1,MATCH(COLUMNS($Q$1006:U1006),$Q$1006:$U$1006,0)))),"Fix")))</f>
        <v xml:space="preserve"> </v>
      </c>
      <c r="J492">
        <f ca="1"/>
        <v>491</v>
      </c>
      <c r="K492">
        <v>100492</v>
      </c>
      <c r="L492">
        <v>492</v>
      </c>
      <c r="M492" t="b">
        <f t="shared" si="7"/>
        <v>1</v>
      </c>
      <c r="N492" t="b">
        <f>COUNTBLANK(Metadata!B492:F492)=COLUMNS(Metadata!B492:F492)</f>
        <v>1</v>
      </c>
      <c r="O492" t="str">
        <v/>
      </c>
      <c r="Q492" t="b">
        <f ca="1"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R492" t="b">
        <f>IF(Metadata!C492="",FALSE,TRUE)</f>
        <v>0</v>
      </c>
      <c r="S492" t="b">
        <f>OR(AND(IF(Metadata!D492="",FALSE,TRUE),EXACT(Metadata!D492,"missing: not collected")),AND(IF(Metadata!D492="",FALSE,TRUE),OR(EXACT(Metadata!D492,"t"),EXACT(Metadata!D492,"f"))))</f>
        <v>0</v>
      </c>
      <c r="T492" t="b">
        <f>AND(IF(Metadata!E492="",FALSE,TRUE),OR(EXACT(Metadata!E492,"a"),EXACT(Metadata!E492,"b")))</f>
        <v>0</v>
      </c>
      <c r="U492" t="b">
        <f>OR(AND(IF(Metadata!F492="",FALSE,TRUE),OR(EXACT(Metadata!F492,"missing: not collected"),EXACT(Metadata!F492,"missing: not provided"))),AND(IF(Metadata!F492="",FALSE,TRUE),OR(EXACT(Metadata!F492,"lo"),EXACT(Metadata!F492,"med"),EXACT(Metadata!F492,"hi"))))</f>
        <v>0</v>
      </c>
    </row>
    <row r="493" spans="1:21" x14ac:dyDescent="0.2">
      <c r="A493" s="4" t="str">
        <f ca="1">IF(B493=" "," ",HYPERLINK(CONCATENATE("#metadata!",ADDRESS(INDEX($L$2:$L$1001,MATCH(ROWS($J$2:J493),$J$2:$J$1001,0),0),1)),INDEX($O$2:$O$1001,MATCH(ROWS($J$2:J493),$J$2:$J$1001,0),0)))</f>
        <v xml:space="preserve"> </v>
      </c>
      <c r="B493" s="3" t="str">
        <f ca="1">IF(OR(INDEX($K$2:$K$1001,MATCH(ROWS($J$2:J493),$J$2:$J$1001,0),1)&gt;=100000,INDEX($Q$1005:$U$1005,1,MATCH(COLUMNS($Q$1006:Q1006),$Q$1006:$U$1006,0))&gt;=100000), " ",IF(INDEX($Q$2:$U$1001,MATCH(ROWS($J$2:J493),$J$2:$J$1001,0),MATCH(COLUMNS($Q$1006:Q1006),$Q$1006:$U$1006,0)), HYPERLINK("#",""), HYPERLINK(CONCATENATE("#Metadata!", ADDRESS(INDEX($L$2:$L$1001,MATCH(ROWS($J$2:J493),$J$2:$J$1001,0),0), INDEX($Q$1004:$U$1004,1,MATCH(COLUMNS($Q$1006:Q1006),$Q$1006:$U$1006,0)))),"Fix")))</f>
        <v xml:space="preserve"> </v>
      </c>
      <c r="C493" s="3" t="str">
        <f ca="1">IF(OR(INDEX($K$2:$K$1001,MATCH(ROWS($J$2:J493),$J$2:$J$1001,0),1)&gt;=100000,INDEX($Q$1005:$U$1005,1,MATCH(COLUMNS($Q$1006:R1006),$Q$1006:$U$1006,0))&gt;=100000), " ",IF(INDEX($Q$2:$U$1001,MATCH(ROWS($J$2:J493),$J$2:$J$1001,0),MATCH(COLUMNS($Q$1006:R1006),$Q$1006:$U$1006,0)), HYPERLINK("#",""), HYPERLINK(CONCATENATE("#Metadata!", ADDRESS(INDEX($L$2:$L$1001,MATCH(ROWS($J$2:J493),$J$2:$J$1001,0),0), INDEX($Q$1004:$U$1004,1,MATCH(COLUMNS($Q$1006:R1006),$Q$1006:$U$1006,0)))),"Fix")))</f>
        <v xml:space="preserve"> </v>
      </c>
      <c r="D493" s="3" t="str">
        <f ca="1">IF(OR(INDEX($K$2:$K$1001,MATCH(ROWS($J$2:J493),$J$2:$J$1001,0),1)&gt;=100000,INDEX($Q$1005:$U$1005,1,MATCH(COLUMNS($Q$1006:S1006),$Q$1006:$U$1006,0))&gt;=100000), " ",IF(INDEX($Q$2:$U$1001,MATCH(ROWS($J$2:J493),$J$2:$J$1001,0),MATCH(COLUMNS($Q$1006:S1006),$Q$1006:$U$1006,0)), HYPERLINK("#",""), HYPERLINK(CONCATENATE("#Metadata!", ADDRESS(INDEX($L$2:$L$1001,MATCH(ROWS($J$2:J493),$J$2:$J$1001,0),0), INDEX($Q$1004:$U$1004,1,MATCH(COLUMNS($Q$1006:S1006),$Q$1006:$U$1006,0)))),"Fix")))</f>
        <v xml:space="preserve"> </v>
      </c>
      <c r="E493" s="3" t="str">
        <f ca="1">IF(OR(INDEX($K$2:$K$1001,MATCH(ROWS($J$2:J493),$J$2:$J$1001,0),1)&gt;=100000,INDEX($Q$1005:$U$1005,1,MATCH(COLUMNS($Q$1006:T1006),$Q$1006:$U$1006,0))&gt;=100000), " ",IF(INDEX($Q$2:$U$1001,MATCH(ROWS($J$2:J493),$J$2:$J$1001,0),MATCH(COLUMNS($Q$1006:T1006),$Q$1006:$U$1006,0)), HYPERLINK("#",""), HYPERLINK(CONCATENATE("#Metadata!", ADDRESS(INDEX($L$2:$L$1001,MATCH(ROWS($J$2:J493),$J$2:$J$1001,0),0), INDEX($Q$1004:$U$1004,1,MATCH(COLUMNS($Q$1006:T1006),$Q$1006:$U$1006,0)))),"Fix")))</f>
        <v xml:space="preserve"> </v>
      </c>
      <c r="F493" s="3" t="str">
        <f ca="1">IF(OR(INDEX($K$2:$K$1001,MATCH(ROWS($J$2:J493),$J$2:$J$1001,0),1)&gt;=100000,INDEX($Q$1005:$U$1005,1,MATCH(COLUMNS($Q$1006:U1006),$Q$1006:$U$1006,0))&gt;=100000), " ",IF(INDEX($Q$2:$U$1001,MATCH(ROWS($J$2:J493),$J$2:$J$1001,0),MATCH(COLUMNS($Q$1006:U1006),$Q$1006:$U$1006,0)), HYPERLINK("#",""), HYPERLINK(CONCATENATE("#Metadata!", ADDRESS(INDEX($L$2:$L$1001,MATCH(ROWS($J$2:J493),$J$2:$J$1001,0),0), INDEX($Q$1004:$U$1004,1,MATCH(COLUMNS($Q$1006:U1006),$Q$1006:$U$1006,0)))),"Fix")))</f>
        <v xml:space="preserve"> </v>
      </c>
      <c r="J493">
        <f ca="1"/>
        <v>492</v>
      </c>
      <c r="K493">
        <v>100493</v>
      </c>
      <c r="L493">
        <v>493</v>
      </c>
      <c r="M493" t="b">
        <f t="shared" si="7"/>
        <v>1</v>
      </c>
      <c r="N493" t="b">
        <f>COUNTBLANK(Metadata!B493:F493)=COLUMNS(Metadata!B493:F493)</f>
        <v>1</v>
      </c>
      <c r="O493" t="str">
        <v/>
      </c>
      <c r="Q493" t="b">
        <f ca="1"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R493" t="b">
        <f>IF(Metadata!C493="",FALSE,TRUE)</f>
        <v>0</v>
      </c>
      <c r="S493" t="b">
        <f>OR(AND(IF(Metadata!D493="",FALSE,TRUE),EXACT(Metadata!D493,"missing: not collected")),AND(IF(Metadata!D493="",FALSE,TRUE),OR(EXACT(Metadata!D493,"t"),EXACT(Metadata!D493,"f"))))</f>
        <v>0</v>
      </c>
      <c r="T493" t="b">
        <f>AND(IF(Metadata!E493="",FALSE,TRUE),OR(EXACT(Metadata!E493,"a"),EXACT(Metadata!E493,"b")))</f>
        <v>0</v>
      </c>
      <c r="U493" t="b">
        <f>OR(AND(IF(Metadata!F493="",FALSE,TRUE),OR(EXACT(Metadata!F493,"missing: not collected"),EXACT(Metadata!F493,"missing: not provided"))),AND(IF(Metadata!F493="",FALSE,TRUE),OR(EXACT(Metadata!F493,"lo"),EXACT(Metadata!F493,"med"),EXACT(Metadata!F493,"hi"))))</f>
        <v>0</v>
      </c>
    </row>
    <row r="494" spans="1:21" x14ac:dyDescent="0.2">
      <c r="A494" s="4" t="str">
        <f ca="1">IF(B494=" "," ",HYPERLINK(CONCATENATE("#metadata!",ADDRESS(INDEX($L$2:$L$1001,MATCH(ROWS($J$2:J494),$J$2:$J$1001,0),0),1)),INDEX($O$2:$O$1001,MATCH(ROWS($J$2:J494),$J$2:$J$1001,0),0)))</f>
        <v xml:space="preserve"> </v>
      </c>
      <c r="B494" s="3" t="str">
        <f ca="1">IF(OR(INDEX($K$2:$K$1001,MATCH(ROWS($J$2:J494),$J$2:$J$1001,0),1)&gt;=100000,INDEX($Q$1005:$U$1005,1,MATCH(COLUMNS($Q$1006:Q1006),$Q$1006:$U$1006,0))&gt;=100000), " ",IF(INDEX($Q$2:$U$1001,MATCH(ROWS($J$2:J494),$J$2:$J$1001,0),MATCH(COLUMNS($Q$1006:Q1006),$Q$1006:$U$1006,0)), HYPERLINK("#",""), HYPERLINK(CONCATENATE("#Metadata!", ADDRESS(INDEX($L$2:$L$1001,MATCH(ROWS($J$2:J494),$J$2:$J$1001,0),0), INDEX($Q$1004:$U$1004,1,MATCH(COLUMNS($Q$1006:Q1006),$Q$1006:$U$1006,0)))),"Fix")))</f>
        <v xml:space="preserve"> </v>
      </c>
      <c r="C494" s="3" t="str">
        <f ca="1">IF(OR(INDEX($K$2:$K$1001,MATCH(ROWS($J$2:J494),$J$2:$J$1001,0),1)&gt;=100000,INDEX($Q$1005:$U$1005,1,MATCH(COLUMNS($Q$1006:R1006),$Q$1006:$U$1006,0))&gt;=100000), " ",IF(INDEX($Q$2:$U$1001,MATCH(ROWS($J$2:J494),$J$2:$J$1001,0),MATCH(COLUMNS($Q$1006:R1006),$Q$1006:$U$1006,0)), HYPERLINK("#",""), HYPERLINK(CONCATENATE("#Metadata!", ADDRESS(INDEX($L$2:$L$1001,MATCH(ROWS($J$2:J494),$J$2:$J$1001,0),0), INDEX($Q$1004:$U$1004,1,MATCH(COLUMNS($Q$1006:R1006),$Q$1006:$U$1006,0)))),"Fix")))</f>
        <v xml:space="preserve"> </v>
      </c>
      <c r="D494" s="3" t="str">
        <f ca="1">IF(OR(INDEX($K$2:$K$1001,MATCH(ROWS($J$2:J494),$J$2:$J$1001,0),1)&gt;=100000,INDEX($Q$1005:$U$1005,1,MATCH(COLUMNS($Q$1006:S1006),$Q$1006:$U$1006,0))&gt;=100000), " ",IF(INDEX($Q$2:$U$1001,MATCH(ROWS($J$2:J494),$J$2:$J$1001,0),MATCH(COLUMNS($Q$1006:S1006),$Q$1006:$U$1006,0)), HYPERLINK("#",""), HYPERLINK(CONCATENATE("#Metadata!", ADDRESS(INDEX($L$2:$L$1001,MATCH(ROWS($J$2:J494),$J$2:$J$1001,0),0), INDEX($Q$1004:$U$1004,1,MATCH(COLUMNS($Q$1006:S1006),$Q$1006:$U$1006,0)))),"Fix")))</f>
        <v xml:space="preserve"> </v>
      </c>
      <c r="E494" s="3" t="str">
        <f ca="1">IF(OR(INDEX($K$2:$K$1001,MATCH(ROWS($J$2:J494),$J$2:$J$1001,0),1)&gt;=100000,INDEX($Q$1005:$U$1005,1,MATCH(COLUMNS($Q$1006:T1006),$Q$1006:$U$1006,0))&gt;=100000), " ",IF(INDEX($Q$2:$U$1001,MATCH(ROWS($J$2:J494),$J$2:$J$1001,0),MATCH(COLUMNS($Q$1006:T1006),$Q$1006:$U$1006,0)), HYPERLINK("#",""), HYPERLINK(CONCATENATE("#Metadata!", ADDRESS(INDEX($L$2:$L$1001,MATCH(ROWS($J$2:J494),$J$2:$J$1001,0),0), INDEX($Q$1004:$U$1004,1,MATCH(COLUMNS($Q$1006:T1006),$Q$1006:$U$1006,0)))),"Fix")))</f>
        <v xml:space="preserve"> </v>
      </c>
      <c r="F494" s="3" t="str">
        <f ca="1">IF(OR(INDEX($K$2:$K$1001,MATCH(ROWS($J$2:J494),$J$2:$J$1001,0),1)&gt;=100000,INDEX($Q$1005:$U$1005,1,MATCH(COLUMNS($Q$1006:U1006),$Q$1006:$U$1006,0))&gt;=100000), " ",IF(INDEX($Q$2:$U$1001,MATCH(ROWS($J$2:J494),$J$2:$J$1001,0),MATCH(COLUMNS($Q$1006:U1006),$Q$1006:$U$1006,0)), HYPERLINK("#",""), HYPERLINK(CONCATENATE("#Metadata!", ADDRESS(INDEX($L$2:$L$1001,MATCH(ROWS($J$2:J494),$J$2:$J$1001,0),0), INDEX($Q$1004:$U$1004,1,MATCH(COLUMNS($Q$1006:U1006),$Q$1006:$U$1006,0)))),"Fix")))</f>
        <v xml:space="preserve"> </v>
      </c>
      <c r="J494">
        <f ca="1"/>
        <v>493</v>
      </c>
      <c r="K494">
        <v>100494</v>
      </c>
      <c r="L494">
        <v>494</v>
      </c>
      <c r="M494" t="b">
        <f t="shared" si="7"/>
        <v>1</v>
      </c>
      <c r="N494" t="b">
        <f>COUNTBLANK(Metadata!B494:F494)=COLUMNS(Metadata!B494:F494)</f>
        <v>1</v>
      </c>
      <c r="O494" t="str">
        <v/>
      </c>
      <c r="Q494" t="b">
        <f ca="1"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R494" t="b">
        <f>IF(Metadata!C494="",FALSE,TRUE)</f>
        <v>0</v>
      </c>
      <c r="S494" t="b">
        <f>OR(AND(IF(Metadata!D494="",FALSE,TRUE),EXACT(Metadata!D494,"missing: not collected")),AND(IF(Metadata!D494="",FALSE,TRUE),OR(EXACT(Metadata!D494,"t"),EXACT(Metadata!D494,"f"))))</f>
        <v>0</v>
      </c>
      <c r="T494" t="b">
        <f>AND(IF(Metadata!E494="",FALSE,TRUE),OR(EXACT(Metadata!E494,"a"),EXACT(Metadata!E494,"b")))</f>
        <v>0</v>
      </c>
      <c r="U494" t="b">
        <f>OR(AND(IF(Metadata!F494="",FALSE,TRUE),OR(EXACT(Metadata!F494,"missing: not collected"),EXACT(Metadata!F494,"missing: not provided"))),AND(IF(Metadata!F494="",FALSE,TRUE),OR(EXACT(Metadata!F494,"lo"),EXACT(Metadata!F494,"med"),EXACT(Metadata!F494,"hi"))))</f>
        <v>0</v>
      </c>
    </row>
    <row r="495" spans="1:21" x14ac:dyDescent="0.2">
      <c r="A495" s="4" t="str">
        <f ca="1">IF(B495=" "," ",HYPERLINK(CONCATENATE("#metadata!",ADDRESS(INDEX($L$2:$L$1001,MATCH(ROWS($J$2:J495),$J$2:$J$1001,0),0),1)),INDEX($O$2:$O$1001,MATCH(ROWS($J$2:J495),$J$2:$J$1001,0),0)))</f>
        <v xml:space="preserve"> </v>
      </c>
      <c r="B495" s="3" t="str">
        <f ca="1">IF(OR(INDEX($K$2:$K$1001,MATCH(ROWS($J$2:J495),$J$2:$J$1001,0),1)&gt;=100000,INDEX($Q$1005:$U$1005,1,MATCH(COLUMNS($Q$1006:Q1006),$Q$1006:$U$1006,0))&gt;=100000), " ",IF(INDEX($Q$2:$U$1001,MATCH(ROWS($J$2:J495),$J$2:$J$1001,0),MATCH(COLUMNS($Q$1006:Q1006),$Q$1006:$U$1006,0)), HYPERLINK("#",""), HYPERLINK(CONCATENATE("#Metadata!", ADDRESS(INDEX($L$2:$L$1001,MATCH(ROWS($J$2:J495),$J$2:$J$1001,0),0), INDEX($Q$1004:$U$1004,1,MATCH(COLUMNS($Q$1006:Q1006),$Q$1006:$U$1006,0)))),"Fix")))</f>
        <v xml:space="preserve"> </v>
      </c>
      <c r="C495" s="3" t="str">
        <f ca="1">IF(OR(INDEX($K$2:$K$1001,MATCH(ROWS($J$2:J495),$J$2:$J$1001,0),1)&gt;=100000,INDEX($Q$1005:$U$1005,1,MATCH(COLUMNS($Q$1006:R1006),$Q$1006:$U$1006,0))&gt;=100000), " ",IF(INDEX($Q$2:$U$1001,MATCH(ROWS($J$2:J495),$J$2:$J$1001,0),MATCH(COLUMNS($Q$1006:R1006),$Q$1006:$U$1006,0)), HYPERLINK("#",""), HYPERLINK(CONCATENATE("#Metadata!", ADDRESS(INDEX($L$2:$L$1001,MATCH(ROWS($J$2:J495),$J$2:$J$1001,0),0), INDEX($Q$1004:$U$1004,1,MATCH(COLUMNS($Q$1006:R1006),$Q$1006:$U$1006,0)))),"Fix")))</f>
        <v xml:space="preserve"> </v>
      </c>
      <c r="D495" s="3" t="str">
        <f ca="1">IF(OR(INDEX($K$2:$K$1001,MATCH(ROWS($J$2:J495),$J$2:$J$1001,0),1)&gt;=100000,INDEX($Q$1005:$U$1005,1,MATCH(COLUMNS($Q$1006:S1006),$Q$1006:$U$1006,0))&gt;=100000), " ",IF(INDEX($Q$2:$U$1001,MATCH(ROWS($J$2:J495),$J$2:$J$1001,0),MATCH(COLUMNS($Q$1006:S1006),$Q$1006:$U$1006,0)), HYPERLINK("#",""), HYPERLINK(CONCATENATE("#Metadata!", ADDRESS(INDEX($L$2:$L$1001,MATCH(ROWS($J$2:J495),$J$2:$J$1001,0),0), INDEX($Q$1004:$U$1004,1,MATCH(COLUMNS($Q$1006:S1006),$Q$1006:$U$1006,0)))),"Fix")))</f>
        <v xml:space="preserve"> </v>
      </c>
      <c r="E495" s="3" t="str">
        <f ca="1">IF(OR(INDEX($K$2:$K$1001,MATCH(ROWS($J$2:J495),$J$2:$J$1001,0),1)&gt;=100000,INDEX($Q$1005:$U$1005,1,MATCH(COLUMNS($Q$1006:T1006),$Q$1006:$U$1006,0))&gt;=100000), " ",IF(INDEX($Q$2:$U$1001,MATCH(ROWS($J$2:J495),$J$2:$J$1001,0),MATCH(COLUMNS($Q$1006:T1006),$Q$1006:$U$1006,0)), HYPERLINK("#",""), HYPERLINK(CONCATENATE("#Metadata!", ADDRESS(INDEX($L$2:$L$1001,MATCH(ROWS($J$2:J495),$J$2:$J$1001,0),0), INDEX($Q$1004:$U$1004,1,MATCH(COLUMNS($Q$1006:T1006),$Q$1006:$U$1006,0)))),"Fix")))</f>
        <v xml:space="preserve"> </v>
      </c>
      <c r="F495" s="3" t="str">
        <f ca="1">IF(OR(INDEX($K$2:$K$1001,MATCH(ROWS($J$2:J495),$J$2:$J$1001,0),1)&gt;=100000,INDEX($Q$1005:$U$1005,1,MATCH(COLUMNS($Q$1006:U1006),$Q$1006:$U$1006,0))&gt;=100000), " ",IF(INDEX($Q$2:$U$1001,MATCH(ROWS($J$2:J495),$J$2:$J$1001,0),MATCH(COLUMNS($Q$1006:U1006),$Q$1006:$U$1006,0)), HYPERLINK("#",""), HYPERLINK(CONCATENATE("#Metadata!", ADDRESS(INDEX($L$2:$L$1001,MATCH(ROWS($J$2:J495),$J$2:$J$1001,0),0), INDEX($Q$1004:$U$1004,1,MATCH(COLUMNS($Q$1006:U1006),$Q$1006:$U$1006,0)))),"Fix")))</f>
        <v xml:space="preserve"> </v>
      </c>
      <c r="J495">
        <f ca="1"/>
        <v>494</v>
      </c>
      <c r="K495">
        <v>100495</v>
      </c>
      <c r="L495">
        <v>495</v>
      </c>
      <c r="M495" t="b">
        <f t="shared" si="7"/>
        <v>1</v>
      </c>
      <c r="N495" t="b">
        <f>COUNTBLANK(Metadata!B495:F495)=COLUMNS(Metadata!B495:F495)</f>
        <v>1</v>
      </c>
      <c r="O495" t="str">
        <v/>
      </c>
      <c r="Q495" t="b">
        <f ca="1"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R495" t="b">
        <f>IF(Metadata!C495="",FALSE,TRUE)</f>
        <v>0</v>
      </c>
      <c r="S495" t="b">
        <f>OR(AND(IF(Metadata!D495="",FALSE,TRUE),EXACT(Metadata!D495,"missing: not collected")),AND(IF(Metadata!D495="",FALSE,TRUE),OR(EXACT(Metadata!D495,"t"),EXACT(Metadata!D495,"f"))))</f>
        <v>0</v>
      </c>
      <c r="T495" t="b">
        <f>AND(IF(Metadata!E495="",FALSE,TRUE),OR(EXACT(Metadata!E495,"a"),EXACT(Metadata!E495,"b")))</f>
        <v>0</v>
      </c>
      <c r="U495" t="b">
        <f>OR(AND(IF(Metadata!F495="",FALSE,TRUE),OR(EXACT(Metadata!F495,"missing: not collected"),EXACT(Metadata!F495,"missing: not provided"))),AND(IF(Metadata!F495="",FALSE,TRUE),OR(EXACT(Metadata!F495,"lo"),EXACT(Metadata!F495,"med"),EXACT(Metadata!F495,"hi"))))</f>
        <v>0</v>
      </c>
    </row>
    <row r="496" spans="1:21" x14ac:dyDescent="0.2">
      <c r="A496" s="4" t="str">
        <f ca="1">IF(B496=" "," ",HYPERLINK(CONCATENATE("#metadata!",ADDRESS(INDEX($L$2:$L$1001,MATCH(ROWS($J$2:J496),$J$2:$J$1001,0),0),1)),INDEX($O$2:$O$1001,MATCH(ROWS($J$2:J496),$J$2:$J$1001,0),0)))</f>
        <v xml:space="preserve"> </v>
      </c>
      <c r="B496" s="3" t="str">
        <f ca="1">IF(OR(INDEX($K$2:$K$1001,MATCH(ROWS($J$2:J496),$J$2:$J$1001,0),1)&gt;=100000,INDEX($Q$1005:$U$1005,1,MATCH(COLUMNS($Q$1006:Q1006),$Q$1006:$U$1006,0))&gt;=100000), " ",IF(INDEX($Q$2:$U$1001,MATCH(ROWS($J$2:J496),$J$2:$J$1001,0),MATCH(COLUMNS($Q$1006:Q1006),$Q$1006:$U$1006,0)), HYPERLINK("#",""), HYPERLINK(CONCATENATE("#Metadata!", ADDRESS(INDEX($L$2:$L$1001,MATCH(ROWS($J$2:J496),$J$2:$J$1001,0),0), INDEX($Q$1004:$U$1004,1,MATCH(COLUMNS($Q$1006:Q1006),$Q$1006:$U$1006,0)))),"Fix")))</f>
        <v xml:space="preserve"> </v>
      </c>
      <c r="C496" s="3" t="str">
        <f ca="1">IF(OR(INDEX($K$2:$K$1001,MATCH(ROWS($J$2:J496),$J$2:$J$1001,0),1)&gt;=100000,INDEX($Q$1005:$U$1005,1,MATCH(COLUMNS($Q$1006:R1006),$Q$1006:$U$1006,0))&gt;=100000), " ",IF(INDEX($Q$2:$U$1001,MATCH(ROWS($J$2:J496),$J$2:$J$1001,0),MATCH(COLUMNS($Q$1006:R1006),$Q$1006:$U$1006,0)), HYPERLINK("#",""), HYPERLINK(CONCATENATE("#Metadata!", ADDRESS(INDEX($L$2:$L$1001,MATCH(ROWS($J$2:J496),$J$2:$J$1001,0),0), INDEX($Q$1004:$U$1004,1,MATCH(COLUMNS($Q$1006:R1006),$Q$1006:$U$1006,0)))),"Fix")))</f>
        <v xml:space="preserve"> </v>
      </c>
      <c r="D496" s="3" t="str">
        <f ca="1">IF(OR(INDEX($K$2:$K$1001,MATCH(ROWS($J$2:J496),$J$2:$J$1001,0),1)&gt;=100000,INDEX($Q$1005:$U$1005,1,MATCH(COLUMNS($Q$1006:S1006),$Q$1006:$U$1006,0))&gt;=100000), " ",IF(INDEX($Q$2:$U$1001,MATCH(ROWS($J$2:J496),$J$2:$J$1001,0),MATCH(COLUMNS($Q$1006:S1006),$Q$1006:$U$1006,0)), HYPERLINK("#",""), HYPERLINK(CONCATENATE("#Metadata!", ADDRESS(INDEX($L$2:$L$1001,MATCH(ROWS($J$2:J496),$J$2:$J$1001,0),0), INDEX($Q$1004:$U$1004,1,MATCH(COLUMNS($Q$1006:S1006),$Q$1006:$U$1006,0)))),"Fix")))</f>
        <v xml:space="preserve"> </v>
      </c>
      <c r="E496" s="3" t="str">
        <f ca="1">IF(OR(INDEX($K$2:$K$1001,MATCH(ROWS($J$2:J496),$J$2:$J$1001,0),1)&gt;=100000,INDEX($Q$1005:$U$1005,1,MATCH(COLUMNS($Q$1006:T1006),$Q$1006:$U$1006,0))&gt;=100000), " ",IF(INDEX($Q$2:$U$1001,MATCH(ROWS($J$2:J496),$J$2:$J$1001,0),MATCH(COLUMNS($Q$1006:T1006),$Q$1006:$U$1006,0)), HYPERLINK("#",""), HYPERLINK(CONCATENATE("#Metadata!", ADDRESS(INDEX($L$2:$L$1001,MATCH(ROWS($J$2:J496),$J$2:$J$1001,0),0), INDEX($Q$1004:$U$1004,1,MATCH(COLUMNS($Q$1006:T1006),$Q$1006:$U$1006,0)))),"Fix")))</f>
        <v xml:space="preserve"> </v>
      </c>
      <c r="F496" s="3" t="str">
        <f ca="1">IF(OR(INDEX($K$2:$K$1001,MATCH(ROWS($J$2:J496),$J$2:$J$1001,0),1)&gt;=100000,INDEX($Q$1005:$U$1005,1,MATCH(COLUMNS($Q$1006:U1006),$Q$1006:$U$1006,0))&gt;=100000), " ",IF(INDEX($Q$2:$U$1001,MATCH(ROWS($J$2:J496),$J$2:$J$1001,0),MATCH(COLUMNS($Q$1006:U1006),$Q$1006:$U$1006,0)), HYPERLINK("#",""), HYPERLINK(CONCATENATE("#Metadata!", ADDRESS(INDEX($L$2:$L$1001,MATCH(ROWS($J$2:J496),$J$2:$J$1001,0),0), INDEX($Q$1004:$U$1004,1,MATCH(COLUMNS($Q$1006:U1006),$Q$1006:$U$1006,0)))),"Fix")))</f>
        <v xml:space="preserve"> </v>
      </c>
      <c r="J496">
        <f ca="1"/>
        <v>495</v>
      </c>
      <c r="K496">
        <v>100496</v>
      </c>
      <c r="L496">
        <v>496</v>
      </c>
      <c r="M496" t="b">
        <f t="shared" si="7"/>
        <v>1</v>
      </c>
      <c r="N496" t="b">
        <f>COUNTBLANK(Metadata!B496:F496)=COLUMNS(Metadata!B496:F496)</f>
        <v>1</v>
      </c>
      <c r="O496" t="str">
        <v/>
      </c>
      <c r="Q496" t="b">
        <f ca="1"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R496" t="b">
        <f>IF(Metadata!C496="",FALSE,TRUE)</f>
        <v>0</v>
      </c>
      <c r="S496" t="b">
        <f>OR(AND(IF(Metadata!D496="",FALSE,TRUE),EXACT(Metadata!D496,"missing: not collected")),AND(IF(Metadata!D496="",FALSE,TRUE),OR(EXACT(Metadata!D496,"t"),EXACT(Metadata!D496,"f"))))</f>
        <v>0</v>
      </c>
      <c r="T496" t="b">
        <f>AND(IF(Metadata!E496="",FALSE,TRUE),OR(EXACT(Metadata!E496,"a"),EXACT(Metadata!E496,"b")))</f>
        <v>0</v>
      </c>
      <c r="U496" t="b">
        <f>OR(AND(IF(Metadata!F496="",FALSE,TRUE),OR(EXACT(Metadata!F496,"missing: not collected"),EXACT(Metadata!F496,"missing: not provided"))),AND(IF(Metadata!F496="",FALSE,TRUE),OR(EXACT(Metadata!F496,"lo"),EXACT(Metadata!F496,"med"),EXACT(Metadata!F496,"hi"))))</f>
        <v>0</v>
      </c>
    </row>
    <row r="497" spans="1:21" x14ac:dyDescent="0.2">
      <c r="A497" s="4" t="str">
        <f ca="1">IF(B497=" "," ",HYPERLINK(CONCATENATE("#metadata!",ADDRESS(INDEX($L$2:$L$1001,MATCH(ROWS($J$2:J497),$J$2:$J$1001,0),0),1)),INDEX($O$2:$O$1001,MATCH(ROWS($J$2:J497),$J$2:$J$1001,0),0)))</f>
        <v xml:space="preserve"> </v>
      </c>
      <c r="B497" s="3" t="str">
        <f ca="1">IF(OR(INDEX($K$2:$K$1001,MATCH(ROWS($J$2:J497),$J$2:$J$1001,0),1)&gt;=100000,INDEX($Q$1005:$U$1005,1,MATCH(COLUMNS($Q$1006:Q1006),$Q$1006:$U$1006,0))&gt;=100000), " ",IF(INDEX($Q$2:$U$1001,MATCH(ROWS($J$2:J497),$J$2:$J$1001,0),MATCH(COLUMNS($Q$1006:Q1006),$Q$1006:$U$1006,0)), HYPERLINK("#",""), HYPERLINK(CONCATENATE("#Metadata!", ADDRESS(INDEX($L$2:$L$1001,MATCH(ROWS($J$2:J497),$J$2:$J$1001,0),0), INDEX($Q$1004:$U$1004,1,MATCH(COLUMNS($Q$1006:Q1006),$Q$1006:$U$1006,0)))),"Fix")))</f>
        <v xml:space="preserve"> </v>
      </c>
      <c r="C497" s="3" t="str">
        <f ca="1">IF(OR(INDEX($K$2:$K$1001,MATCH(ROWS($J$2:J497),$J$2:$J$1001,0),1)&gt;=100000,INDEX($Q$1005:$U$1005,1,MATCH(COLUMNS($Q$1006:R1006),$Q$1006:$U$1006,0))&gt;=100000), " ",IF(INDEX($Q$2:$U$1001,MATCH(ROWS($J$2:J497),$J$2:$J$1001,0),MATCH(COLUMNS($Q$1006:R1006),$Q$1006:$U$1006,0)), HYPERLINK("#",""), HYPERLINK(CONCATENATE("#Metadata!", ADDRESS(INDEX($L$2:$L$1001,MATCH(ROWS($J$2:J497),$J$2:$J$1001,0),0), INDEX($Q$1004:$U$1004,1,MATCH(COLUMNS($Q$1006:R1006),$Q$1006:$U$1006,0)))),"Fix")))</f>
        <v xml:space="preserve"> </v>
      </c>
      <c r="D497" s="3" t="str">
        <f ca="1">IF(OR(INDEX($K$2:$K$1001,MATCH(ROWS($J$2:J497),$J$2:$J$1001,0),1)&gt;=100000,INDEX($Q$1005:$U$1005,1,MATCH(COLUMNS($Q$1006:S1006),$Q$1006:$U$1006,0))&gt;=100000), " ",IF(INDEX($Q$2:$U$1001,MATCH(ROWS($J$2:J497),$J$2:$J$1001,0),MATCH(COLUMNS($Q$1006:S1006),$Q$1006:$U$1006,0)), HYPERLINK("#",""), HYPERLINK(CONCATENATE("#Metadata!", ADDRESS(INDEX($L$2:$L$1001,MATCH(ROWS($J$2:J497),$J$2:$J$1001,0),0), INDEX($Q$1004:$U$1004,1,MATCH(COLUMNS($Q$1006:S1006),$Q$1006:$U$1006,0)))),"Fix")))</f>
        <v xml:space="preserve"> </v>
      </c>
      <c r="E497" s="3" t="str">
        <f ca="1">IF(OR(INDEX($K$2:$K$1001,MATCH(ROWS($J$2:J497),$J$2:$J$1001,0),1)&gt;=100000,INDEX($Q$1005:$U$1005,1,MATCH(COLUMNS($Q$1006:T1006),$Q$1006:$U$1006,0))&gt;=100000), " ",IF(INDEX($Q$2:$U$1001,MATCH(ROWS($J$2:J497),$J$2:$J$1001,0),MATCH(COLUMNS($Q$1006:T1006),$Q$1006:$U$1006,0)), HYPERLINK("#",""), HYPERLINK(CONCATENATE("#Metadata!", ADDRESS(INDEX($L$2:$L$1001,MATCH(ROWS($J$2:J497),$J$2:$J$1001,0),0), INDEX($Q$1004:$U$1004,1,MATCH(COLUMNS($Q$1006:T1006),$Q$1006:$U$1006,0)))),"Fix")))</f>
        <v xml:space="preserve"> </v>
      </c>
      <c r="F497" s="3" t="str">
        <f ca="1">IF(OR(INDEX($K$2:$K$1001,MATCH(ROWS($J$2:J497),$J$2:$J$1001,0),1)&gt;=100000,INDEX($Q$1005:$U$1005,1,MATCH(COLUMNS($Q$1006:U1006),$Q$1006:$U$1006,0))&gt;=100000), " ",IF(INDEX($Q$2:$U$1001,MATCH(ROWS($J$2:J497),$J$2:$J$1001,0),MATCH(COLUMNS($Q$1006:U1006),$Q$1006:$U$1006,0)), HYPERLINK("#",""), HYPERLINK(CONCATENATE("#Metadata!", ADDRESS(INDEX($L$2:$L$1001,MATCH(ROWS($J$2:J497),$J$2:$J$1001,0),0), INDEX($Q$1004:$U$1004,1,MATCH(COLUMNS($Q$1006:U1006),$Q$1006:$U$1006,0)))),"Fix")))</f>
        <v xml:space="preserve"> </v>
      </c>
      <c r="J497">
        <f ca="1"/>
        <v>496</v>
      </c>
      <c r="K497">
        <v>100497</v>
      </c>
      <c r="L497">
        <v>497</v>
      </c>
      <c r="M497" t="b">
        <f t="shared" si="7"/>
        <v>1</v>
      </c>
      <c r="N497" t="b">
        <f>COUNTBLANK(Metadata!B497:F497)=COLUMNS(Metadata!B497:F497)</f>
        <v>1</v>
      </c>
      <c r="O497" t="str">
        <v/>
      </c>
      <c r="Q497" t="b">
        <f ca="1"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R497" t="b">
        <f>IF(Metadata!C497="",FALSE,TRUE)</f>
        <v>0</v>
      </c>
      <c r="S497" t="b">
        <f>OR(AND(IF(Metadata!D497="",FALSE,TRUE),EXACT(Metadata!D497,"missing: not collected")),AND(IF(Metadata!D497="",FALSE,TRUE),OR(EXACT(Metadata!D497,"t"),EXACT(Metadata!D497,"f"))))</f>
        <v>0</v>
      </c>
      <c r="T497" t="b">
        <f>AND(IF(Metadata!E497="",FALSE,TRUE),OR(EXACT(Metadata!E497,"a"),EXACT(Metadata!E497,"b")))</f>
        <v>0</v>
      </c>
      <c r="U497" t="b">
        <f>OR(AND(IF(Metadata!F497="",FALSE,TRUE),OR(EXACT(Metadata!F497,"missing: not collected"),EXACT(Metadata!F497,"missing: not provided"))),AND(IF(Metadata!F497="",FALSE,TRUE),OR(EXACT(Metadata!F497,"lo"),EXACT(Metadata!F497,"med"),EXACT(Metadata!F497,"hi"))))</f>
        <v>0</v>
      </c>
    </row>
    <row r="498" spans="1:21" x14ac:dyDescent="0.2">
      <c r="A498" s="4" t="str">
        <f ca="1">IF(B498=" "," ",HYPERLINK(CONCATENATE("#metadata!",ADDRESS(INDEX($L$2:$L$1001,MATCH(ROWS($J$2:J498),$J$2:$J$1001,0),0),1)),INDEX($O$2:$O$1001,MATCH(ROWS($J$2:J498),$J$2:$J$1001,0),0)))</f>
        <v xml:space="preserve"> </v>
      </c>
      <c r="B498" s="3" t="str">
        <f ca="1">IF(OR(INDEX($K$2:$K$1001,MATCH(ROWS($J$2:J498),$J$2:$J$1001,0),1)&gt;=100000,INDEX($Q$1005:$U$1005,1,MATCH(COLUMNS($Q$1006:Q1006),$Q$1006:$U$1006,0))&gt;=100000), " ",IF(INDEX($Q$2:$U$1001,MATCH(ROWS($J$2:J498),$J$2:$J$1001,0),MATCH(COLUMNS($Q$1006:Q1006),$Q$1006:$U$1006,0)), HYPERLINK("#",""), HYPERLINK(CONCATENATE("#Metadata!", ADDRESS(INDEX($L$2:$L$1001,MATCH(ROWS($J$2:J498),$J$2:$J$1001,0),0), INDEX($Q$1004:$U$1004,1,MATCH(COLUMNS($Q$1006:Q1006),$Q$1006:$U$1006,0)))),"Fix")))</f>
        <v xml:space="preserve"> </v>
      </c>
      <c r="C498" s="3" t="str">
        <f ca="1">IF(OR(INDEX($K$2:$K$1001,MATCH(ROWS($J$2:J498),$J$2:$J$1001,0),1)&gt;=100000,INDEX($Q$1005:$U$1005,1,MATCH(COLUMNS($Q$1006:R1006),$Q$1006:$U$1006,0))&gt;=100000), " ",IF(INDEX($Q$2:$U$1001,MATCH(ROWS($J$2:J498),$J$2:$J$1001,0),MATCH(COLUMNS($Q$1006:R1006),$Q$1006:$U$1006,0)), HYPERLINK("#",""), HYPERLINK(CONCATENATE("#Metadata!", ADDRESS(INDEX($L$2:$L$1001,MATCH(ROWS($J$2:J498),$J$2:$J$1001,0),0), INDEX($Q$1004:$U$1004,1,MATCH(COLUMNS($Q$1006:R1006),$Q$1006:$U$1006,0)))),"Fix")))</f>
        <v xml:space="preserve"> </v>
      </c>
      <c r="D498" s="3" t="str">
        <f ca="1">IF(OR(INDEX($K$2:$K$1001,MATCH(ROWS($J$2:J498),$J$2:$J$1001,0),1)&gt;=100000,INDEX($Q$1005:$U$1005,1,MATCH(COLUMNS($Q$1006:S1006),$Q$1006:$U$1006,0))&gt;=100000), " ",IF(INDEX($Q$2:$U$1001,MATCH(ROWS($J$2:J498),$J$2:$J$1001,0),MATCH(COLUMNS($Q$1006:S1006),$Q$1006:$U$1006,0)), HYPERLINK("#",""), HYPERLINK(CONCATENATE("#Metadata!", ADDRESS(INDEX($L$2:$L$1001,MATCH(ROWS($J$2:J498),$J$2:$J$1001,0),0), INDEX($Q$1004:$U$1004,1,MATCH(COLUMNS($Q$1006:S1006),$Q$1006:$U$1006,0)))),"Fix")))</f>
        <v xml:space="preserve"> </v>
      </c>
      <c r="E498" s="3" t="str">
        <f ca="1">IF(OR(INDEX($K$2:$K$1001,MATCH(ROWS($J$2:J498),$J$2:$J$1001,0),1)&gt;=100000,INDEX($Q$1005:$U$1005,1,MATCH(COLUMNS($Q$1006:T1006),$Q$1006:$U$1006,0))&gt;=100000), " ",IF(INDEX($Q$2:$U$1001,MATCH(ROWS($J$2:J498),$J$2:$J$1001,0),MATCH(COLUMNS($Q$1006:T1006),$Q$1006:$U$1006,0)), HYPERLINK("#",""), HYPERLINK(CONCATENATE("#Metadata!", ADDRESS(INDEX($L$2:$L$1001,MATCH(ROWS($J$2:J498),$J$2:$J$1001,0),0), INDEX($Q$1004:$U$1004,1,MATCH(COLUMNS($Q$1006:T1006),$Q$1006:$U$1006,0)))),"Fix")))</f>
        <v xml:space="preserve"> </v>
      </c>
      <c r="F498" s="3" t="str">
        <f ca="1">IF(OR(INDEX($K$2:$K$1001,MATCH(ROWS($J$2:J498),$J$2:$J$1001,0),1)&gt;=100000,INDEX($Q$1005:$U$1005,1,MATCH(COLUMNS($Q$1006:U1006),$Q$1006:$U$1006,0))&gt;=100000), " ",IF(INDEX($Q$2:$U$1001,MATCH(ROWS($J$2:J498),$J$2:$J$1001,0),MATCH(COLUMNS($Q$1006:U1006),$Q$1006:$U$1006,0)), HYPERLINK("#",""), HYPERLINK(CONCATENATE("#Metadata!", ADDRESS(INDEX($L$2:$L$1001,MATCH(ROWS($J$2:J498),$J$2:$J$1001,0),0), INDEX($Q$1004:$U$1004,1,MATCH(COLUMNS($Q$1006:U1006),$Q$1006:$U$1006,0)))),"Fix")))</f>
        <v xml:space="preserve"> </v>
      </c>
      <c r="J498">
        <f ca="1"/>
        <v>497</v>
      </c>
      <c r="K498">
        <v>100498</v>
      </c>
      <c r="L498">
        <v>498</v>
      </c>
      <c r="M498" t="b">
        <f t="shared" si="7"/>
        <v>1</v>
      </c>
      <c r="N498" t="b">
        <f>COUNTBLANK(Metadata!B498:F498)=COLUMNS(Metadata!B498:F498)</f>
        <v>1</v>
      </c>
      <c r="O498" t="str">
        <v/>
      </c>
      <c r="Q498" t="b">
        <f ca="1"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R498" t="b">
        <f>IF(Metadata!C498="",FALSE,TRUE)</f>
        <v>0</v>
      </c>
      <c r="S498" t="b">
        <f>OR(AND(IF(Metadata!D498="",FALSE,TRUE),EXACT(Metadata!D498,"missing: not collected")),AND(IF(Metadata!D498="",FALSE,TRUE),OR(EXACT(Metadata!D498,"t"),EXACT(Metadata!D498,"f"))))</f>
        <v>0</v>
      </c>
      <c r="T498" t="b">
        <f>AND(IF(Metadata!E498="",FALSE,TRUE),OR(EXACT(Metadata!E498,"a"),EXACT(Metadata!E498,"b")))</f>
        <v>0</v>
      </c>
      <c r="U498" t="b">
        <f>OR(AND(IF(Metadata!F498="",FALSE,TRUE),OR(EXACT(Metadata!F498,"missing: not collected"),EXACT(Metadata!F498,"missing: not provided"))),AND(IF(Metadata!F498="",FALSE,TRUE),OR(EXACT(Metadata!F498,"lo"),EXACT(Metadata!F498,"med"),EXACT(Metadata!F498,"hi"))))</f>
        <v>0</v>
      </c>
    </row>
    <row r="499" spans="1:21" x14ac:dyDescent="0.2">
      <c r="A499" s="4" t="str">
        <f ca="1">IF(B499=" "," ",HYPERLINK(CONCATENATE("#metadata!",ADDRESS(INDEX($L$2:$L$1001,MATCH(ROWS($J$2:J499),$J$2:$J$1001,0),0),1)),INDEX($O$2:$O$1001,MATCH(ROWS($J$2:J499),$J$2:$J$1001,0),0)))</f>
        <v xml:space="preserve"> </v>
      </c>
      <c r="B499" s="3" t="str">
        <f ca="1">IF(OR(INDEX($K$2:$K$1001,MATCH(ROWS($J$2:J499),$J$2:$J$1001,0),1)&gt;=100000,INDEX($Q$1005:$U$1005,1,MATCH(COLUMNS($Q$1006:Q1006),$Q$1006:$U$1006,0))&gt;=100000), " ",IF(INDEX($Q$2:$U$1001,MATCH(ROWS($J$2:J499),$J$2:$J$1001,0),MATCH(COLUMNS($Q$1006:Q1006),$Q$1006:$U$1006,0)), HYPERLINK("#",""), HYPERLINK(CONCATENATE("#Metadata!", ADDRESS(INDEX($L$2:$L$1001,MATCH(ROWS($J$2:J499),$J$2:$J$1001,0),0), INDEX($Q$1004:$U$1004,1,MATCH(COLUMNS($Q$1006:Q1006),$Q$1006:$U$1006,0)))),"Fix")))</f>
        <v xml:space="preserve"> </v>
      </c>
      <c r="C499" s="3" t="str">
        <f ca="1">IF(OR(INDEX($K$2:$K$1001,MATCH(ROWS($J$2:J499),$J$2:$J$1001,0),1)&gt;=100000,INDEX($Q$1005:$U$1005,1,MATCH(COLUMNS($Q$1006:R1006),$Q$1006:$U$1006,0))&gt;=100000), " ",IF(INDEX($Q$2:$U$1001,MATCH(ROWS($J$2:J499),$J$2:$J$1001,0),MATCH(COLUMNS($Q$1006:R1006),$Q$1006:$U$1006,0)), HYPERLINK("#",""), HYPERLINK(CONCATENATE("#Metadata!", ADDRESS(INDEX($L$2:$L$1001,MATCH(ROWS($J$2:J499),$J$2:$J$1001,0),0), INDEX($Q$1004:$U$1004,1,MATCH(COLUMNS($Q$1006:R1006),$Q$1006:$U$1006,0)))),"Fix")))</f>
        <v xml:space="preserve"> </v>
      </c>
      <c r="D499" s="3" t="str">
        <f ca="1">IF(OR(INDEX($K$2:$K$1001,MATCH(ROWS($J$2:J499),$J$2:$J$1001,0),1)&gt;=100000,INDEX($Q$1005:$U$1005,1,MATCH(COLUMNS($Q$1006:S1006),$Q$1006:$U$1006,0))&gt;=100000), " ",IF(INDEX($Q$2:$U$1001,MATCH(ROWS($J$2:J499),$J$2:$J$1001,0),MATCH(COLUMNS($Q$1006:S1006),$Q$1006:$U$1006,0)), HYPERLINK("#",""), HYPERLINK(CONCATENATE("#Metadata!", ADDRESS(INDEX($L$2:$L$1001,MATCH(ROWS($J$2:J499),$J$2:$J$1001,0),0), INDEX($Q$1004:$U$1004,1,MATCH(COLUMNS($Q$1006:S1006),$Q$1006:$U$1006,0)))),"Fix")))</f>
        <v xml:space="preserve"> </v>
      </c>
      <c r="E499" s="3" t="str">
        <f ca="1">IF(OR(INDEX($K$2:$K$1001,MATCH(ROWS($J$2:J499),$J$2:$J$1001,0),1)&gt;=100000,INDEX($Q$1005:$U$1005,1,MATCH(COLUMNS($Q$1006:T1006),$Q$1006:$U$1006,0))&gt;=100000), " ",IF(INDEX($Q$2:$U$1001,MATCH(ROWS($J$2:J499),$J$2:$J$1001,0),MATCH(COLUMNS($Q$1006:T1006),$Q$1006:$U$1006,0)), HYPERLINK("#",""), HYPERLINK(CONCATENATE("#Metadata!", ADDRESS(INDEX($L$2:$L$1001,MATCH(ROWS($J$2:J499),$J$2:$J$1001,0),0), INDEX($Q$1004:$U$1004,1,MATCH(COLUMNS($Q$1006:T1006),$Q$1006:$U$1006,0)))),"Fix")))</f>
        <v xml:space="preserve"> </v>
      </c>
      <c r="F499" s="3" t="str">
        <f ca="1">IF(OR(INDEX($K$2:$K$1001,MATCH(ROWS($J$2:J499),$J$2:$J$1001,0),1)&gt;=100000,INDEX($Q$1005:$U$1005,1,MATCH(COLUMNS($Q$1006:U1006),$Q$1006:$U$1006,0))&gt;=100000), " ",IF(INDEX($Q$2:$U$1001,MATCH(ROWS($J$2:J499),$J$2:$J$1001,0),MATCH(COLUMNS($Q$1006:U1006),$Q$1006:$U$1006,0)), HYPERLINK("#",""), HYPERLINK(CONCATENATE("#Metadata!", ADDRESS(INDEX($L$2:$L$1001,MATCH(ROWS($J$2:J499),$J$2:$J$1001,0),0), INDEX($Q$1004:$U$1004,1,MATCH(COLUMNS($Q$1006:U1006),$Q$1006:$U$1006,0)))),"Fix")))</f>
        <v xml:space="preserve"> </v>
      </c>
      <c r="J499">
        <f ca="1"/>
        <v>498</v>
      </c>
      <c r="K499">
        <v>100499</v>
      </c>
      <c r="L499">
        <v>499</v>
      </c>
      <c r="M499" t="b">
        <f t="shared" si="7"/>
        <v>1</v>
      </c>
      <c r="N499" t="b">
        <f>COUNTBLANK(Metadata!B499:F499)=COLUMNS(Metadata!B499:F499)</f>
        <v>1</v>
      </c>
      <c r="O499" t="str">
        <v/>
      </c>
      <c r="Q499" t="b">
        <f ca="1"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R499" t="b">
        <f>IF(Metadata!C499="",FALSE,TRUE)</f>
        <v>0</v>
      </c>
      <c r="S499" t="b">
        <f>OR(AND(IF(Metadata!D499="",FALSE,TRUE),EXACT(Metadata!D499,"missing: not collected")),AND(IF(Metadata!D499="",FALSE,TRUE),OR(EXACT(Metadata!D499,"t"),EXACT(Metadata!D499,"f"))))</f>
        <v>0</v>
      </c>
      <c r="T499" t="b">
        <f>AND(IF(Metadata!E499="",FALSE,TRUE),OR(EXACT(Metadata!E499,"a"),EXACT(Metadata!E499,"b")))</f>
        <v>0</v>
      </c>
      <c r="U499" t="b">
        <f>OR(AND(IF(Metadata!F499="",FALSE,TRUE),OR(EXACT(Metadata!F499,"missing: not collected"),EXACT(Metadata!F499,"missing: not provided"))),AND(IF(Metadata!F499="",FALSE,TRUE),OR(EXACT(Metadata!F499,"lo"),EXACT(Metadata!F499,"med"),EXACT(Metadata!F499,"hi"))))</f>
        <v>0</v>
      </c>
    </row>
    <row r="500" spans="1:21" x14ac:dyDescent="0.2">
      <c r="A500" s="4" t="str">
        <f ca="1">IF(B500=" "," ",HYPERLINK(CONCATENATE("#metadata!",ADDRESS(INDEX($L$2:$L$1001,MATCH(ROWS($J$2:J500),$J$2:$J$1001,0),0),1)),INDEX($O$2:$O$1001,MATCH(ROWS($J$2:J500),$J$2:$J$1001,0),0)))</f>
        <v xml:space="preserve"> </v>
      </c>
      <c r="B500" s="3" t="str">
        <f ca="1">IF(OR(INDEX($K$2:$K$1001,MATCH(ROWS($J$2:J500),$J$2:$J$1001,0),1)&gt;=100000,INDEX($Q$1005:$U$1005,1,MATCH(COLUMNS($Q$1006:Q1006),$Q$1006:$U$1006,0))&gt;=100000), " ",IF(INDEX($Q$2:$U$1001,MATCH(ROWS($J$2:J500),$J$2:$J$1001,0),MATCH(COLUMNS($Q$1006:Q1006),$Q$1006:$U$1006,0)), HYPERLINK("#",""), HYPERLINK(CONCATENATE("#Metadata!", ADDRESS(INDEX($L$2:$L$1001,MATCH(ROWS($J$2:J500),$J$2:$J$1001,0),0), INDEX($Q$1004:$U$1004,1,MATCH(COLUMNS($Q$1006:Q1006),$Q$1006:$U$1006,0)))),"Fix")))</f>
        <v xml:space="preserve"> </v>
      </c>
      <c r="C500" s="3" t="str">
        <f ca="1">IF(OR(INDEX($K$2:$K$1001,MATCH(ROWS($J$2:J500),$J$2:$J$1001,0),1)&gt;=100000,INDEX($Q$1005:$U$1005,1,MATCH(COLUMNS($Q$1006:R1006),$Q$1006:$U$1006,0))&gt;=100000), " ",IF(INDEX($Q$2:$U$1001,MATCH(ROWS($J$2:J500),$J$2:$J$1001,0),MATCH(COLUMNS($Q$1006:R1006),$Q$1006:$U$1006,0)), HYPERLINK("#",""), HYPERLINK(CONCATENATE("#Metadata!", ADDRESS(INDEX($L$2:$L$1001,MATCH(ROWS($J$2:J500),$J$2:$J$1001,0),0), INDEX($Q$1004:$U$1004,1,MATCH(COLUMNS($Q$1006:R1006),$Q$1006:$U$1006,0)))),"Fix")))</f>
        <v xml:space="preserve"> </v>
      </c>
      <c r="D500" s="3" t="str">
        <f ca="1">IF(OR(INDEX($K$2:$K$1001,MATCH(ROWS($J$2:J500),$J$2:$J$1001,0),1)&gt;=100000,INDEX($Q$1005:$U$1005,1,MATCH(COLUMNS($Q$1006:S1006),$Q$1006:$U$1006,0))&gt;=100000), " ",IF(INDEX($Q$2:$U$1001,MATCH(ROWS($J$2:J500),$J$2:$J$1001,0),MATCH(COLUMNS($Q$1006:S1006),$Q$1006:$U$1006,0)), HYPERLINK("#",""), HYPERLINK(CONCATENATE("#Metadata!", ADDRESS(INDEX($L$2:$L$1001,MATCH(ROWS($J$2:J500),$J$2:$J$1001,0),0), INDEX($Q$1004:$U$1004,1,MATCH(COLUMNS($Q$1006:S1006),$Q$1006:$U$1006,0)))),"Fix")))</f>
        <v xml:space="preserve"> </v>
      </c>
      <c r="E500" s="3" t="str">
        <f ca="1">IF(OR(INDEX($K$2:$K$1001,MATCH(ROWS($J$2:J500),$J$2:$J$1001,0),1)&gt;=100000,INDEX($Q$1005:$U$1005,1,MATCH(COLUMNS($Q$1006:T1006),$Q$1006:$U$1006,0))&gt;=100000), " ",IF(INDEX($Q$2:$U$1001,MATCH(ROWS($J$2:J500),$J$2:$J$1001,0),MATCH(COLUMNS($Q$1006:T1006),$Q$1006:$U$1006,0)), HYPERLINK("#",""), HYPERLINK(CONCATENATE("#Metadata!", ADDRESS(INDEX($L$2:$L$1001,MATCH(ROWS($J$2:J500),$J$2:$J$1001,0),0), INDEX($Q$1004:$U$1004,1,MATCH(COLUMNS($Q$1006:T1006),$Q$1006:$U$1006,0)))),"Fix")))</f>
        <v xml:space="preserve"> </v>
      </c>
      <c r="F500" s="3" t="str">
        <f ca="1">IF(OR(INDEX($K$2:$K$1001,MATCH(ROWS($J$2:J500),$J$2:$J$1001,0),1)&gt;=100000,INDEX($Q$1005:$U$1005,1,MATCH(COLUMNS($Q$1006:U1006),$Q$1006:$U$1006,0))&gt;=100000), " ",IF(INDEX($Q$2:$U$1001,MATCH(ROWS($J$2:J500),$J$2:$J$1001,0),MATCH(COLUMNS($Q$1006:U1006),$Q$1006:$U$1006,0)), HYPERLINK("#",""), HYPERLINK(CONCATENATE("#Metadata!", ADDRESS(INDEX($L$2:$L$1001,MATCH(ROWS($J$2:J500),$J$2:$J$1001,0),0), INDEX($Q$1004:$U$1004,1,MATCH(COLUMNS($Q$1006:U1006),$Q$1006:$U$1006,0)))),"Fix")))</f>
        <v xml:space="preserve"> </v>
      </c>
      <c r="J500">
        <f ca="1"/>
        <v>499</v>
      </c>
      <c r="K500">
        <v>100500</v>
      </c>
      <c r="L500">
        <v>500</v>
      </c>
      <c r="M500" t="b">
        <f t="shared" si="7"/>
        <v>1</v>
      </c>
      <c r="N500" t="b">
        <f>COUNTBLANK(Metadata!B500:F500)=COLUMNS(Metadata!B500:F500)</f>
        <v>1</v>
      </c>
      <c r="O500" t="str">
        <v/>
      </c>
      <c r="Q500" t="b">
        <f ca="1"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R500" t="b">
        <f>IF(Metadata!C500="",FALSE,TRUE)</f>
        <v>0</v>
      </c>
      <c r="S500" t="b">
        <f>OR(AND(IF(Metadata!D500="",FALSE,TRUE),EXACT(Metadata!D500,"missing: not collected")),AND(IF(Metadata!D500="",FALSE,TRUE),OR(EXACT(Metadata!D500,"t"),EXACT(Metadata!D500,"f"))))</f>
        <v>0</v>
      </c>
      <c r="T500" t="b">
        <f>AND(IF(Metadata!E500="",FALSE,TRUE),OR(EXACT(Metadata!E500,"a"),EXACT(Metadata!E500,"b")))</f>
        <v>0</v>
      </c>
      <c r="U500" t="b">
        <f>OR(AND(IF(Metadata!F500="",FALSE,TRUE),OR(EXACT(Metadata!F500,"missing: not collected"),EXACT(Metadata!F500,"missing: not provided"))),AND(IF(Metadata!F500="",FALSE,TRUE),OR(EXACT(Metadata!F500,"lo"),EXACT(Metadata!F500,"med"),EXACT(Metadata!F500,"hi"))))</f>
        <v>0</v>
      </c>
    </row>
    <row r="501" spans="1:21" x14ac:dyDescent="0.2">
      <c r="A501" s="4" t="str">
        <f ca="1">IF(B501=" "," ",HYPERLINK(CONCATENATE("#metadata!",ADDRESS(INDEX($L$2:$L$1001,MATCH(ROWS($J$2:J501),$J$2:$J$1001,0),0),1)),INDEX($O$2:$O$1001,MATCH(ROWS($J$2:J501),$J$2:$J$1001,0),0)))</f>
        <v xml:space="preserve"> </v>
      </c>
      <c r="B501" s="3" t="str">
        <f ca="1">IF(OR(INDEX($K$2:$K$1001,MATCH(ROWS($J$2:J501),$J$2:$J$1001,0),1)&gt;=100000,INDEX($Q$1005:$U$1005,1,MATCH(COLUMNS($Q$1006:Q1006),$Q$1006:$U$1006,0))&gt;=100000), " ",IF(INDEX($Q$2:$U$1001,MATCH(ROWS($J$2:J501),$J$2:$J$1001,0),MATCH(COLUMNS($Q$1006:Q1006),$Q$1006:$U$1006,0)), HYPERLINK("#",""), HYPERLINK(CONCATENATE("#Metadata!", ADDRESS(INDEX($L$2:$L$1001,MATCH(ROWS($J$2:J501),$J$2:$J$1001,0),0), INDEX($Q$1004:$U$1004,1,MATCH(COLUMNS($Q$1006:Q1006),$Q$1006:$U$1006,0)))),"Fix")))</f>
        <v xml:space="preserve"> </v>
      </c>
      <c r="C501" s="3" t="str">
        <f ca="1">IF(OR(INDEX($K$2:$K$1001,MATCH(ROWS($J$2:J501),$J$2:$J$1001,0),1)&gt;=100000,INDEX($Q$1005:$U$1005,1,MATCH(COLUMNS($Q$1006:R1006),$Q$1006:$U$1006,0))&gt;=100000), " ",IF(INDEX($Q$2:$U$1001,MATCH(ROWS($J$2:J501),$J$2:$J$1001,0),MATCH(COLUMNS($Q$1006:R1006),$Q$1006:$U$1006,0)), HYPERLINK("#",""), HYPERLINK(CONCATENATE("#Metadata!", ADDRESS(INDEX($L$2:$L$1001,MATCH(ROWS($J$2:J501),$J$2:$J$1001,0),0), INDEX($Q$1004:$U$1004,1,MATCH(COLUMNS($Q$1006:R1006),$Q$1006:$U$1006,0)))),"Fix")))</f>
        <v xml:space="preserve"> </v>
      </c>
      <c r="D501" s="3" t="str">
        <f ca="1">IF(OR(INDEX($K$2:$K$1001,MATCH(ROWS($J$2:J501),$J$2:$J$1001,0),1)&gt;=100000,INDEX($Q$1005:$U$1005,1,MATCH(COLUMNS($Q$1006:S1006),$Q$1006:$U$1006,0))&gt;=100000), " ",IF(INDEX($Q$2:$U$1001,MATCH(ROWS($J$2:J501),$J$2:$J$1001,0),MATCH(COLUMNS($Q$1006:S1006),$Q$1006:$U$1006,0)), HYPERLINK("#",""), HYPERLINK(CONCATENATE("#Metadata!", ADDRESS(INDEX($L$2:$L$1001,MATCH(ROWS($J$2:J501),$J$2:$J$1001,0),0), INDEX($Q$1004:$U$1004,1,MATCH(COLUMNS($Q$1006:S1006),$Q$1006:$U$1006,0)))),"Fix")))</f>
        <v xml:space="preserve"> </v>
      </c>
      <c r="E501" s="3" t="str">
        <f ca="1">IF(OR(INDEX($K$2:$K$1001,MATCH(ROWS($J$2:J501),$J$2:$J$1001,0),1)&gt;=100000,INDEX($Q$1005:$U$1005,1,MATCH(COLUMNS($Q$1006:T1006),$Q$1006:$U$1006,0))&gt;=100000), " ",IF(INDEX($Q$2:$U$1001,MATCH(ROWS($J$2:J501),$J$2:$J$1001,0),MATCH(COLUMNS($Q$1006:T1006),$Q$1006:$U$1006,0)), HYPERLINK("#",""), HYPERLINK(CONCATENATE("#Metadata!", ADDRESS(INDEX($L$2:$L$1001,MATCH(ROWS($J$2:J501),$J$2:$J$1001,0),0), INDEX($Q$1004:$U$1004,1,MATCH(COLUMNS($Q$1006:T1006),$Q$1006:$U$1006,0)))),"Fix")))</f>
        <v xml:space="preserve"> </v>
      </c>
      <c r="F501" s="3" t="str">
        <f ca="1">IF(OR(INDEX($K$2:$K$1001,MATCH(ROWS($J$2:J501),$J$2:$J$1001,0),1)&gt;=100000,INDEX($Q$1005:$U$1005,1,MATCH(COLUMNS($Q$1006:U1006),$Q$1006:$U$1006,0))&gt;=100000), " ",IF(INDEX($Q$2:$U$1001,MATCH(ROWS($J$2:J501),$J$2:$J$1001,0),MATCH(COLUMNS($Q$1006:U1006),$Q$1006:$U$1006,0)), HYPERLINK("#",""), HYPERLINK(CONCATENATE("#Metadata!", ADDRESS(INDEX($L$2:$L$1001,MATCH(ROWS($J$2:J501),$J$2:$J$1001,0),0), INDEX($Q$1004:$U$1004,1,MATCH(COLUMNS($Q$1006:U1006),$Q$1006:$U$1006,0)))),"Fix")))</f>
        <v xml:space="preserve"> </v>
      </c>
      <c r="J501">
        <f ca="1"/>
        <v>500</v>
      </c>
      <c r="K501">
        <v>100501</v>
      </c>
      <c r="L501">
        <v>501</v>
      </c>
      <c r="M501" t="b">
        <f t="shared" si="7"/>
        <v>1</v>
      </c>
      <c r="N501" t="b">
        <f>COUNTBLANK(Metadata!B501:F501)=COLUMNS(Metadata!B501:F501)</f>
        <v>1</v>
      </c>
      <c r="O501" t="str">
        <v/>
      </c>
      <c r="Q501" t="b">
        <f ca="1"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R501" t="b">
        <f>IF(Metadata!C501="",FALSE,TRUE)</f>
        <v>0</v>
      </c>
      <c r="S501" t="b">
        <f>OR(AND(IF(Metadata!D501="",FALSE,TRUE),EXACT(Metadata!D501,"missing: not collected")),AND(IF(Metadata!D501="",FALSE,TRUE),OR(EXACT(Metadata!D501,"t"),EXACT(Metadata!D501,"f"))))</f>
        <v>0</v>
      </c>
      <c r="T501" t="b">
        <f>AND(IF(Metadata!E501="",FALSE,TRUE),OR(EXACT(Metadata!E501,"a"),EXACT(Metadata!E501,"b")))</f>
        <v>0</v>
      </c>
      <c r="U501" t="b">
        <f>OR(AND(IF(Metadata!F501="",FALSE,TRUE),OR(EXACT(Metadata!F501,"missing: not collected"),EXACT(Metadata!F501,"missing: not provided"))),AND(IF(Metadata!F501="",FALSE,TRUE),OR(EXACT(Metadata!F501,"lo"),EXACT(Metadata!F501,"med"),EXACT(Metadata!F501,"hi"))))</f>
        <v>0</v>
      </c>
    </row>
    <row r="502" spans="1:21" x14ac:dyDescent="0.2">
      <c r="A502" s="4" t="str">
        <f ca="1">IF(B502=" "," ",HYPERLINK(CONCATENATE("#metadata!",ADDRESS(INDEX($L$2:$L$1001,MATCH(ROWS($J$2:J502),$J$2:$J$1001,0),0),1)),INDEX($O$2:$O$1001,MATCH(ROWS($J$2:J502),$J$2:$J$1001,0),0)))</f>
        <v xml:space="preserve"> </v>
      </c>
      <c r="B502" s="3" t="str">
        <f ca="1">IF(OR(INDEX($K$2:$K$1001,MATCH(ROWS($J$2:J502),$J$2:$J$1001,0),1)&gt;=100000,INDEX($Q$1005:$U$1005,1,MATCH(COLUMNS($Q$1006:Q1006),$Q$1006:$U$1006,0))&gt;=100000), " ",IF(INDEX($Q$2:$U$1001,MATCH(ROWS($J$2:J502),$J$2:$J$1001,0),MATCH(COLUMNS($Q$1006:Q1006),$Q$1006:$U$1006,0)), HYPERLINK("#",""), HYPERLINK(CONCATENATE("#Metadata!", ADDRESS(INDEX($L$2:$L$1001,MATCH(ROWS($J$2:J502),$J$2:$J$1001,0),0), INDEX($Q$1004:$U$1004,1,MATCH(COLUMNS($Q$1006:Q1006),$Q$1006:$U$1006,0)))),"Fix")))</f>
        <v xml:space="preserve"> </v>
      </c>
      <c r="C502" s="3" t="str">
        <f ca="1">IF(OR(INDEX($K$2:$K$1001,MATCH(ROWS($J$2:J502),$J$2:$J$1001,0),1)&gt;=100000,INDEX($Q$1005:$U$1005,1,MATCH(COLUMNS($Q$1006:R1006),$Q$1006:$U$1006,0))&gt;=100000), " ",IF(INDEX($Q$2:$U$1001,MATCH(ROWS($J$2:J502),$J$2:$J$1001,0),MATCH(COLUMNS($Q$1006:R1006),$Q$1006:$U$1006,0)), HYPERLINK("#",""), HYPERLINK(CONCATENATE("#Metadata!", ADDRESS(INDEX($L$2:$L$1001,MATCH(ROWS($J$2:J502),$J$2:$J$1001,0),0), INDEX($Q$1004:$U$1004,1,MATCH(COLUMNS($Q$1006:R1006),$Q$1006:$U$1006,0)))),"Fix")))</f>
        <v xml:space="preserve"> </v>
      </c>
      <c r="D502" s="3" t="str">
        <f ca="1">IF(OR(INDEX($K$2:$K$1001,MATCH(ROWS($J$2:J502),$J$2:$J$1001,0),1)&gt;=100000,INDEX($Q$1005:$U$1005,1,MATCH(COLUMNS($Q$1006:S1006),$Q$1006:$U$1006,0))&gt;=100000), " ",IF(INDEX($Q$2:$U$1001,MATCH(ROWS($J$2:J502),$J$2:$J$1001,0),MATCH(COLUMNS($Q$1006:S1006),$Q$1006:$U$1006,0)), HYPERLINK("#",""), HYPERLINK(CONCATENATE("#Metadata!", ADDRESS(INDEX($L$2:$L$1001,MATCH(ROWS($J$2:J502),$J$2:$J$1001,0),0), INDEX($Q$1004:$U$1004,1,MATCH(COLUMNS($Q$1006:S1006),$Q$1006:$U$1006,0)))),"Fix")))</f>
        <v xml:space="preserve"> </v>
      </c>
      <c r="E502" s="3" t="str">
        <f ca="1">IF(OR(INDEX($K$2:$K$1001,MATCH(ROWS($J$2:J502),$J$2:$J$1001,0),1)&gt;=100000,INDEX($Q$1005:$U$1005,1,MATCH(COLUMNS($Q$1006:T1006),$Q$1006:$U$1006,0))&gt;=100000), " ",IF(INDEX($Q$2:$U$1001,MATCH(ROWS($J$2:J502),$J$2:$J$1001,0),MATCH(COLUMNS($Q$1006:T1006),$Q$1006:$U$1006,0)), HYPERLINK("#",""), HYPERLINK(CONCATENATE("#Metadata!", ADDRESS(INDEX($L$2:$L$1001,MATCH(ROWS($J$2:J502),$J$2:$J$1001,0),0), INDEX($Q$1004:$U$1004,1,MATCH(COLUMNS($Q$1006:T1006),$Q$1006:$U$1006,0)))),"Fix")))</f>
        <v xml:space="preserve"> </v>
      </c>
      <c r="F502" s="3" t="str">
        <f ca="1">IF(OR(INDEX($K$2:$K$1001,MATCH(ROWS($J$2:J502),$J$2:$J$1001,0),1)&gt;=100000,INDEX($Q$1005:$U$1005,1,MATCH(COLUMNS($Q$1006:U1006),$Q$1006:$U$1006,0))&gt;=100000), " ",IF(INDEX($Q$2:$U$1001,MATCH(ROWS($J$2:J502),$J$2:$J$1001,0),MATCH(COLUMNS($Q$1006:U1006),$Q$1006:$U$1006,0)), HYPERLINK("#",""), HYPERLINK(CONCATENATE("#Metadata!", ADDRESS(INDEX($L$2:$L$1001,MATCH(ROWS($J$2:J502),$J$2:$J$1001,0),0), INDEX($Q$1004:$U$1004,1,MATCH(COLUMNS($Q$1006:U1006),$Q$1006:$U$1006,0)))),"Fix")))</f>
        <v xml:space="preserve"> </v>
      </c>
      <c r="J502">
        <f ca="1"/>
        <v>501</v>
      </c>
      <c r="K502">
        <v>100502</v>
      </c>
      <c r="L502">
        <v>502</v>
      </c>
      <c r="M502" t="b">
        <f t="shared" si="7"/>
        <v>1</v>
      </c>
      <c r="N502" t="b">
        <f>COUNTBLANK(Metadata!B502:F502)=COLUMNS(Metadata!B502:F502)</f>
        <v>1</v>
      </c>
      <c r="O502" t="str">
        <v/>
      </c>
      <c r="Q502" t="b">
        <f ca="1"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R502" t="b">
        <f>IF(Metadata!C502="",FALSE,TRUE)</f>
        <v>0</v>
      </c>
      <c r="S502" t="b">
        <f>OR(AND(IF(Metadata!D502="",FALSE,TRUE),EXACT(Metadata!D502,"missing: not collected")),AND(IF(Metadata!D502="",FALSE,TRUE),OR(EXACT(Metadata!D502,"t"),EXACT(Metadata!D502,"f"))))</f>
        <v>0</v>
      </c>
      <c r="T502" t="b">
        <f>AND(IF(Metadata!E502="",FALSE,TRUE),OR(EXACT(Metadata!E502,"a"),EXACT(Metadata!E502,"b")))</f>
        <v>0</v>
      </c>
      <c r="U502" t="b">
        <f>OR(AND(IF(Metadata!F502="",FALSE,TRUE),OR(EXACT(Metadata!F502,"missing: not collected"),EXACT(Metadata!F502,"missing: not provided"))),AND(IF(Metadata!F502="",FALSE,TRUE),OR(EXACT(Metadata!F502,"lo"),EXACT(Metadata!F502,"med"),EXACT(Metadata!F502,"hi"))))</f>
        <v>0</v>
      </c>
    </row>
    <row r="503" spans="1:21" x14ac:dyDescent="0.2">
      <c r="A503" s="4" t="str">
        <f ca="1">IF(B503=" "," ",HYPERLINK(CONCATENATE("#metadata!",ADDRESS(INDEX($L$2:$L$1001,MATCH(ROWS($J$2:J503),$J$2:$J$1001,0),0),1)),INDEX($O$2:$O$1001,MATCH(ROWS($J$2:J503),$J$2:$J$1001,0),0)))</f>
        <v xml:space="preserve"> </v>
      </c>
      <c r="B503" s="3" t="str">
        <f ca="1">IF(OR(INDEX($K$2:$K$1001,MATCH(ROWS($J$2:J503),$J$2:$J$1001,0),1)&gt;=100000,INDEX($Q$1005:$U$1005,1,MATCH(COLUMNS($Q$1006:Q1006),$Q$1006:$U$1006,0))&gt;=100000), " ",IF(INDEX($Q$2:$U$1001,MATCH(ROWS($J$2:J503),$J$2:$J$1001,0),MATCH(COLUMNS($Q$1006:Q1006),$Q$1006:$U$1006,0)), HYPERLINK("#",""), HYPERLINK(CONCATENATE("#Metadata!", ADDRESS(INDEX($L$2:$L$1001,MATCH(ROWS($J$2:J503),$J$2:$J$1001,0),0), INDEX($Q$1004:$U$1004,1,MATCH(COLUMNS($Q$1006:Q1006),$Q$1006:$U$1006,0)))),"Fix")))</f>
        <v xml:space="preserve"> </v>
      </c>
      <c r="C503" s="3" t="str">
        <f ca="1">IF(OR(INDEX($K$2:$K$1001,MATCH(ROWS($J$2:J503),$J$2:$J$1001,0),1)&gt;=100000,INDEX($Q$1005:$U$1005,1,MATCH(COLUMNS($Q$1006:R1006),$Q$1006:$U$1006,0))&gt;=100000), " ",IF(INDEX($Q$2:$U$1001,MATCH(ROWS($J$2:J503),$J$2:$J$1001,0),MATCH(COLUMNS($Q$1006:R1006),$Q$1006:$U$1006,0)), HYPERLINK("#",""), HYPERLINK(CONCATENATE("#Metadata!", ADDRESS(INDEX($L$2:$L$1001,MATCH(ROWS($J$2:J503),$J$2:$J$1001,0),0), INDEX($Q$1004:$U$1004,1,MATCH(COLUMNS($Q$1006:R1006),$Q$1006:$U$1006,0)))),"Fix")))</f>
        <v xml:space="preserve"> </v>
      </c>
      <c r="D503" s="3" t="str">
        <f ca="1">IF(OR(INDEX($K$2:$K$1001,MATCH(ROWS($J$2:J503),$J$2:$J$1001,0),1)&gt;=100000,INDEX($Q$1005:$U$1005,1,MATCH(COLUMNS($Q$1006:S1006),$Q$1006:$U$1006,0))&gt;=100000), " ",IF(INDEX($Q$2:$U$1001,MATCH(ROWS($J$2:J503),$J$2:$J$1001,0),MATCH(COLUMNS($Q$1006:S1006),$Q$1006:$U$1006,0)), HYPERLINK("#",""), HYPERLINK(CONCATENATE("#Metadata!", ADDRESS(INDEX($L$2:$L$1001,MATCH(ROWS($J$2:J503),$J$2:$J$1001,0),0), INDEX($Q$1004:$U$1004,1,MATCH(COLUMNS($Q$1006:S1006),$Q$1006:$U$1006,0)))),"Fix")))</f>
        <v xml:space="preserve"> </v>
      </c>
      <c r="E503" s="3" t="str">
        <f ca="1">IF(OR(INDEX($K$2:$K$1001,MATCH(ROWS($J$2:J503),$J$2:$J$1001,0),1)&gt;=100000,INDEX($Q$1005:$U$1005,1,MATCH(COLUMNS($Q$1006:T1006),$Q$1006:$U$1006,0))&gt;=100000), " ",IF(INDEX($Q$2:$U$1001,MATCH(ROWS($J$2:J503),$J$2:$J$1001,0),MATCH(COLUMNS($Q$1006:T1006),$Q$1006:$U$1006,0)), HYPERLINK("#",""), HYPERLINK(CONCATENATE("#Metadata!", ADDRESS(INDEX($L$2:$L$1001,MATCH(ROWS($J$2:J503),$J$2:$J$1001,0),0), INDEX($Q$1004:$U$1004,1,MATCH(COLUMNS($Q$1006:T1006),$Q$1006:$U$1006,0)))),"Fix")))</f>
        <v xml:space="preserve"> </v>
      </c>
      <c r="F503" s="3" t="str">
        <f ca="1">IF(OR(INDEX($K$2:$K$1001,MATCH(ROWS($J$2:J503),$J$2:$J$1001,0),1)&gt;=100000,INDEX($Q$1005:$U$1005,1,MATCH(COLUMNS($Q$1006:U1006),$Q$1006:$U$1006,0))&gt;=100000), " ",IF(INDEX($Q$2:$U$1001,MATCH(ROWS($J$2:J503),$J$2:$J$1001,0),MATCH(COLUMNS($Q$1006:U1006),$Q$1006:$U$1006,0)), HYPERLINK("#",""), HYPERLINK(CONCATENATE("#Metadata!", ADDRESS(INDEX($L$2:$L$1001,MATCH(ROWS($J$2:J503),$J$2:$J$1001,0),0), INDEX($Q$1004:$U$1004,1,MATCH(COLUMNS($Q$1006:U1006),$Q$1006:$U$1006,0)))),"Fix")))</f>
        <v xml:space="preserve"> </v>
      </c>
      <c r="J503">
        <f ca="1"/>
        <v>502</v>
      </c>
      <c r="K503">
        <v>100503</v>
      </c>
      <c r="L503">
        <v>503</v>
      </c>
      <c r="M503" t="b">
        <f t="shared" si="7"/>
        <v>1</v>
      </c>
      <c r="N503" t="b">
        <f>COUNTBLANK(Metadata!B503:F503)=COLUMNS(Metadata!B503:F503)</f>
        <v>1</v>
      </c>
      <c r="O503" t="str">
        <v/>
      </c>
      <c r="Q503" t="b">
        <f ca="1"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R503" t="b">
        <f>IF(Metadata!C503="",FALSE,TRUE)</f>
        <v>0</v>
      </c>
      <c r="S503" t="b">
        <f>OR(AND(IF(Metadata!D503="",FALSE,TRUE),EXACT(Metadata!D503,"missing: not collected")),AND(IF(Metadata!D503="",FALSE,TRUE),OR(EXACT(Metadata!D503,"t"),EXACT(Metadata!D503,"f"))))</f>
        <v>0</v>
      </c>
      <c r="T503" t="b">
        <f>AND(IF(Metadata!E503="",FALSE,TRUE),OR(EXACT(Metadata!E503,"a"),EXACT(Metadata!E503,"b")))</f>
        <v>0</v>
      </c>
      <c r="U503" t="b">
        <f>OR(AND(IF(Metadata!F503="",FALSE,TRUE),OR(EXACT(Metadata!F503,"missing: not collected"),EXACT(Metadata!F503,"missing: not provided"))),AND(IF(Metadata!F503="",FALSE,TRUE),OR(EXACT(Metadata!F503,"lo"),EXACT(Metadata!F503,"med"),EXACT(Metadata!F503,"hi"))))</f>
        <v>0</v>
      </c>
    </row>
    <row r="504" spans="1:21" x14ac:dyDescent="0.2">
      <c r="A504" s="4" t="str">
        <f ca="1">IF(B504=" "," ",HYPERLINK(CONCATENATE("#metadata!",ADDRESS(INDEX($L$2:$L$1001,MATCH(ROWS($J$2:J504),$J$2:$J$1001,0),0),1)),INDEX($O$2:$O$1001,MATCH(ROWS($J$2:J504),$J$2:$J$1001,0),0)))</f>
        <v xml:space="preserve"> </v>
      </c>
      <c r="B504" s="3" t="str">
        <f ca="1">IF(OR(INDEX($K$2:$K$1001,MATCH(ROWS($J$2:J504),$J$2:$J$1001,0),1)&gt;=100000,INDEX($Q$1005:$U$1005,1,MATCH(COLUMNS($Q$1006:Q1006),$Q$1006:$U$1006,0))&gt;=100000), " ",IF(INDEX($Q$2:$U$1001,MATCH(ROWS($J$2:J504),$J$2:$J$1001,0),MATCH(COLUMNS($Q$1006:Q1006),$Q$1006:$U$1006,0)), HYPERLINK("#",""), HYPERLINK(CONCATENATE("#Metadata!", ADDRESS(INDEX($L$2:$L$1001,MATCH(ROWS($J$2:J504),$J$2:$J$1001,0),0), INDEX($Q$1004:$U$1004,1,MATCH(COLUMNS($Q$1006:Q1006),$Q$1006:$U$1006,0)))),"Fix")))</f>
        <v xml:space="preserve"> </v>
      </c>
      <c r="C504" s="3" t="str">
        <f ca="1">IF(OR(INDEX($K$2:$K$1001,MATCH(ROWS($J$2:J504),$J$2:$J$1001,0),1)&gt;=100000,INDEX($Q$1005:$U$1005,1,MATCH(COLUMNS($Q$1006:R1006),$Q$1006:$U$1006,0))&gt;=100000), " ",IF(INDEX($Q$2:$U$1001,MATCH(ROWS($J$2:J504),$J$2:$J$1001,0),MATCH(COLUMNS($Q$1006:R1006),$Q$1006:$U$1006,0)), HYPERLINK("#",""), HYPERLINK(CONCATENATE("#Metadata!", ADDRESS(INDEX($L$2:$L$1001,MATCH(ROWS($J$2:J504),$J$2:$J$1001,0),0), INDEX($Q$1004:$U$1004,1,MATCH(COLUMNS($Q$1006:R1006),$Q$1006:$U$1006,0)))),"Fix")))</f>
        <v xml:space="preserve"> </v>
      </c>
      <c r="D504" s="3" t="str">
        <f ca="1">IF(OR(INDEX($K$2:$K$1001,MATCH(ROWS($J$2:J504),$J$2:$J$1001,0),1)&gt;=100000,INDEX($Q$1005:$U$1005,1,MATCH(COLUMNS($Q$1006:S1006),$Q$1006:$U$1006,0))&gt;=100000), " ",IF(INDEX($Q$2:$U$1001,MATCH(ROWS($J$2:J504),$J$2:$J$1001,0),MATCH(COLUMNS($Q$1006:S1006),$Q$1006:$U$1006,0)), HYPERLINK("#",""), HYPERLINK(CONCATENATE("#Metadata!", ADDRESS(INDEX($L$2:$L$1001,MATCH(ROWS($J$2:J504),$J$2:$J$1001,0),0), INDEX($Q$1004:$U$1004,1,MATCH(COLUMNS($Q$1006:S1006),$Q$1006:$U$1006,0)))),"Fix")))</f>
        <v xml:space="preserve"> </v>
      </c>
      <c r="E504" s="3" t="str">
        <f ca="1">IF(OR(INDEX($K$2:$K$1001,MATCH(ROWS($J$2:J504),$J$2:$J$1001,0),1)&gt;=100000,INDEX($Q$1005:$U$1005,1,MATCH(COLUMNS($Q$1006:T1006),$Q$1006:$U$1006,0))&gt;=100000), " ",IF(INDEX($Q$2:$U$1001,MATCH(ROWS($J$2:J504),$J$2:$J$1001,0),MATCH(COLUMNS($Q$1006:T1006),$Q$1006:$U$1006,0)), HYPERLINK("#",""), HYPERLINK(CONCATENATE("#Metadata!", ADDRESS(INDEX($L$2:$L$1001,MATCH(ROWS($J$2:J504),$J$2:$J$1001,0),0), INDEX($Q$1004:$U$1004,1,MATCH(COLUMNS($Q$1006:T1006),$Q$1006:$U$1006,0)))),"Fix")))</f>
        <v xml:space="preserve"> </v>
      </c>
      <c r="F504" s="3" t="str">
        <f ca="1">IF(OR(INDEX($K$2:$K$1001,MATCH(ROWS($J$2:J504),$J$2:$J$1001,0),1)&gt;=100000,INDEX($Q$1005:$U$1005,1,MATCH(COLUMNS($Q$1006:U1006),$Q$1006:$U$1006,0))&gt;=100000), " ",IF(INDEX($Q$2:$U$1001,MATCH(ROWS($J$2:J504),$J$2:$J$1001,0),MATCH(COLUMNS($Q$1006:U1006),$Q$1006:$U$1006,0)), HYPERLINK("#",""), HYPERLINK(CONCATENATE("#Metadata!", ADDRESS(INDEX($L$2:$L$1001,MATCH(ROWS($J$2:J504),$J$2:$J$1001,0),0), INDEX($Q$1004:$U$1004,1,MATCH(COLUMNS($Q$1006:U1006),$Q$1006:$U$1006,0)))),"Fix")))</f>
        <v xml:space="preserve"> </v>
      </c>
      <c r="J504">
        <f ca="1"/>
        <v>503</v>
      </c>
      <c r="K504">
        <v>100504</v>
      </c>
      <c r="L504">
        <v>504</v>
      </c>
      <c r="M504" t="b">
        <f t="shared" si="7"/>
        <v>1</v>
      </c>
      <c r="N504" t="b">
        <f>COUNTBLANK(Metadata!B504:F504)=COLUMNS(Metadata!B504:F504)</f>
        <v>1</v>
      </c>
      <c r="O504" t="str">
        <v/>
      </c>
      <c r="Q504" t="b">
        <f ca="1"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R504" t="b">
        <f>IF(Metadata!C504="",FALSE,TRUE)</f>
        <v>0</v>
      </c>
      <c r="S504" t="b">
        <f>OR(AND(IF(Metadata!D504="",FALSE,TRUE),EXACT(Metadata!D504,"missing: not collected")),AND(IF(Metadata!D504="",FALSE,TRUE),OR(EXACT(Metadata!D504,"t"),EXACT(Metadata!D504,"f"))))</f>
        <v>0</v>
      </c>
      <c r="T504" t="b">
        <f>AND(IF(Metadata!E504="",FALSE,TRUE),OR(EXACT(Metadata!E504,"a"),EXACT(Metadata!E504,"b")))</f>
        <v>0</v>
      </c>
      <c r="U504" t="b">
        <f>OR(AND(IF(Metadata!F504="",FALSE,TRUE),OR(EXACT(Metadata!F504,"missing: not collected"),EXACT(Metadata!F504,"missing: not provided"))),AND(IF(Metadata!F504="",FALSE,TRUE),OR(EXACT(Metadata!F504,"lo"),EXACT(Metadata!F504,"med"),EXACT(Metadata!F504,"hi"))))</f>
        <v>0</v>
      </c>
    </row>
    <row r="505" spans="1:21" x14ac:dyDescent="0.2">
      <c r="A505" s="4" t="str">
        <f ca="1">IF(B505=" "," ",HYPERLINK(CONCATENATE("#metadata!",ADDRESS(INDEX($L$2:$L$1001,MATCH(ROWS($J$2:J505),$J$2:$J$1001,0),0),1)),INDEX($O$2:$O$1001,MATCH(ROWS($J$2:J505),$J$2:$J$1001,0),0)))</f>
        <v xml:space="preserve"> </v>
      </c>
      <c r="B505" s="3" t="str">
        <f ca="1">IF(OR(INDEX($K$2:$K$1001,MATCH(ROWS($J$2:J505),$J$2:$J$1001,0),1)&gt;=100000,INDEX($Q$1005:$U$1005,1,MATCH(COLUMNS($Q$1006:Q1006),$Q$1006:$U$1006,0))&gt;=100000), " ",IF(INDEX($Q$2:$U$1001,MATCH(ROWS($J$2:J505),$J$2:$J$1001,0),MATCH(COLUMNS($Q$1006:Q1006),$Q$1006:$U$1006,0)), HYPERLINK("#",""), HYPERLINK(CONCATENATE("#Metadata!", ADDRESS(INDEX($L$2:$L$1001,MATCH(ROWS($J$2:J505),$J$2:$J$1001,0),0), INDEX($Q$1004:$U$1004,1,MATCH(COLUMNS($Q$1006:Q1006),$Q$1006:$U$1006,0)))),"Fix")))</f>
        <v xml:space="preserve"> </v>
      </c>
      <c r="C505" s="3" t="str">
        <f ca="1">IF(OR(INDEX($K$2:$K$1001,MATCH(ROWS($J$2:J505),$J$2:$J$1001,0),1)&gt;=100000,INDEX($Q$1005:$U$1005,1,MATCH(COLUMNS($Q$1006:R1006),$Q$1006:$U$1006,0))&gt;=100000), " ",IF(INDEX($Q$2:$U$1001,MATCH(ROWS($J$2:J505),$J$2:$J$1001,0),MATCH(COLUMNS($Q$1006:R1006),$Q$1006:$U$1006,0)), HYPERLINK("#",""), HYPERLINK(CONCATENATE("#Metadata!", ADDRESS(INDEX($L$2:$L$1001,MATCH(ROWS($J$2:J505),$J$2:$J$1001,0),0), INDEX($Q$1004:$U$1004,1,MATCH(COLUMNS($Q$1006:R1006),$Q$1006:$U$1006,0)))),"Fix")))</f>
        <v xml:space="preserve"> </v>
      </c>
      <c r="D505" s="3" t="str">
        <f ca="1">IF(OR(INDEX($K$2:$K$1001,MATCH(ROWS($J$2:J505),$J$2:$J$1001,0),1)&gt;=100000,INDEX($Q$1005:$U$1005,1,MATCH(COLUMNS($Q$1006:S1006),$Q$1006:$U$1006,0))&gt;=100000), " ",IF(INDEX($Q$2:$U$1001,MATCH(ROWS($J$2:J505),$J$2:$J$1001,0),MATCH(COLUMNS($Q$1006:S1006),$Q$1006:$U$1006,0)), HYPERLINK("#",""), HYPERLINK(CONCATENATE("#Metadata!", ADDRESS(INDEX($L$2:$L$1001,MATCH(ROWS($J$2:J505),$J$2:$J$1001,0),0), INDEX($Q$1004:$U$1004,1,MATCH(COLUMNS($Q$1006:S1006),$Q$1006:$U$1006,0)))),"Fix")))</f>
        <v xml:space="preserve"> </v>
      </c>
      <c r="E505" s="3" t="str">
        <f ca="1">IF(OR(INDEX($K$2:$K$1001,MATCH(ROWS($J$2:J505),$J$2:$J$1001,0),1)&gt;=100000,INDEX($Q$1005:$U$1005,1,MATCH(COLUMNS($Q$1006:T1006),$Q$1006:$U$1006,0))&gt;=100000), " ",IF(INDEX($Q$2:$U$1001,MATCH(ROWS($J$2:J505),$J$2:$J$1001,0),MATCH(COLUMNS($Q$1006:T1006),$Q$1006:$U$1006,0)), HYPERLINK("#",""), HYPERLINK(CONCATENATE("#Metadata!", ADDRESS(INDEX($L$2:$L$1001,MATCH(ROWS($J$2:J505),$J$2:$J$1001,0),0), INDEX($Q$1004:$U$1004,1,MATCH(COLUMNS($Q$1006:T1006),$Q$1006:$U$1006,0)))),"Fix")))</f>
        <v xml:space="preserve"> </v>
      </c>
      <c r="F505" s="3" t="str">
        <f ca="1">IF(OR(INDEX($K$2:$K$1001,MATCH(ROWS($J$2:J505),$J$2:$J$1001,0),1)&gt;=100000,INDEX($Q$1005:$U$1005,1,MATCH(COLUMNS($Q$1006:U1006),$Q$1006:$U$1006,0))&gt;=100000), " ",IF(INDEX($Q$2:$U$1001,MATCH(ROWS($J$2:J505),$J$2:$J$1001,0),MATCH(COLUMNS($Q$1006:U1006),$Q$1006:$U$1006,0)), HYPERLINK("#",""), HYPERLINK(CONCATENATE("#Metadata!", ADDRESS(INDEX($L$2:$L$1001,MATCH(ROWS($J$2:J505),$J$2:$J$1001,0),0), INDEX($Q$1004:$U$1004,1,MATCH(COLUMNS($Q$1006:U1006),$Q$1006:$U$1006,0)))),"Fix")))</f>
        <v xml:space="preserve"> </v>
      </c>
      <c r="J505">
        <f ca="1"/>
        <v>504</v>
      </c>
      <c r="K505">
        <v>100505</v>
      </c>
      <c r="L505">
        <v>505</v>
      </c>
      <c r="M505" t="b">
        <f t="shared" si="7"/>
        <v>1</v>
      </c>
      <c r="N505" t="b">
        <f>COUNTBLANK(Metadata!B505:F505)=COLUMNS(Metadata!B505:F505)</f>
        <v>1</v>
      </c>
      <c r="O505" t="str">
        <v/>
      </c>
      <c r="Q505" t="b">
        <f ca="1"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R505" t="b">
        <f>IF(Metadata!C505="",FALSE,TRUE)</f>
        <v>0</v>
      </c>
      <c r="S505" t="b">
        <f>OR(AND(IF(Metadata!D505="",FALSE,TRUE),EXACT(Metadata!D505,"missing: not collected")),AND(IF(Metadata!D505="",FALSE,TRUE),OR(EXACT(Metadata!D505,"t"),EXACT(Metadata!D505,"f"))))</f>
        <v>0</v>
      </c>
      <c r="T505" t="b">
        <f>AND(IF(Metadata!E505="",FALSE,TRUE),OR(EXACT(Metadata!E505,"a"),EXACT(Metadata!E505,"b")))</f>
        <v>0</v>
      </c>
      <c r="U505" t="b">
        <f>OR(AND(IF(Metadata!F505="",FALSE,TRUE),OR(EXACT(Metadata!F505,"missing: not collected"),EXACT(Metadata!F505,"missing: not provided"))),AND(IF(Metadata!F505="",FALSE,TRUE),OR(EXACT(Metadata!F505,"lo"),EXACT(Metadata!F505,"med"),EXACT(Metadata!F505,"hi"))))</f>
        <v>0</v>
      </c>
    </row>
    <row r="506" spans="1:21" x14ac:dyDescent="0.2">
      <c r="A506" s="4" t="str">
        <f ca="1">IF(B506=" "," ",HYPERLINK(CONCATENATE("#metadata!",ADDRESS(INDEX($L$2:$L$1001,MATCH(ROWS($J$2:J506),$J$2:$J$1001,0),0),1)),INDEX($O$2:$O$1001,MATCH(ROWS($J$2:J506),$J$2:$J$1001,0),0)))</f>
        <v xml:space="preserve"> </v>
      </c>
      <c r="B506" s="3" t="str">
        <f ca="1">IF(OR(INDEX($K$2:$K$1001,MATCH(ROWS($J$2:J506),$J$2:$J$1001,0),1)&gt;=100000,INDEX($Q$1005:$U$1005,1,MATCH(COLUMNS($Q$1006:Q1006),$Q$1006:$U$1006,0))&gt;=100000), " ",IF(INDEX($Q$2:$U$1001,MATCH(ROWS($J$2:J506),$J$2:$J$1001,0),MATCH(COLUMNS($Q$1006:Q1006),$Q$1006:$U$1006,0)), HYPERLINK("#",""), HYPERLINK(CONCATENATE("#Metadata!", ADDRESS(INDEX($L$2:$L$1001,MATCH(ROWS($J$2:J506),$J$2:$J$1001,0),0), INDEX($Q$1004:$U$1004,1,MATCH(COLUMNS($Q$1006:Q1006),$Q$1006:$U$1006,0)))),"Fix")))</f>
        <v xml:space="preserve"> </v>
      </c>
      <c r="C506" s="3" t="str">
        <f ca="1">IF(OR(INDEX($K$2:$K$1001,MATCH(ROWS($J$2:J506),$J$2:$J$1001,0),1)&gt;=100000,INDEX($Q$1005:$U$1005,1,MATCH(COLUMNS($Q$1006:R1006),$Q$1006:$U$1006,0))&gt;=100000), " ",IF(INDEX($Q$2:$U$1001,MATCH(ROWS($J$2:J506),$J$2:$J$1001,0),MATCH(COLUMNS($Q$1006:R1006),$Q$1006:$U$1006,0)), HYPERLINK("#",""), HYPERLINK(CONCATENATE("#Metadata!", ADDRESS(INDEX($L$2:$L$1001,MATCH(ROWS($J$2:J506),$J$2:$J$1001,0),0), INDEX($Q$1004:$U$1004,1,MATCH(COLUMNS($Q$1006:R1006),$Q$1006:$U$1006,0)))),"Fix")))</f>
        <v xml:space="preserve"> </v>
      </c>
      <c r="D506" s="3" t="str">
        <f ca="1">IF(OR(INDEX($K$2:$K$1001,MATCH(ROWS($J$2:J506),$J$2:$J$1001,0),1)&gt;=100000,INDEX($Q$1005:$U$1005,1,MATCH(COLUMNS($Q$1006:S1006),$Q$1006:$U$1006,0))&gt;=100000), " ",IF(INDEX($Q$2:$U$1001,MATCH(ROWS($J$2:J506),$J$2:$J$1001,0),MATCH(COLUMNS($Q$1006:S1006),$Q$1006:$U$1006,0)), HYPERLINK("#",""), HYPERLINK(CONCATENATE("#Metadata!", ADDRESS(INDEX($L$2:$L$1001,MATCH(ROWS($J$2:J506),$J$2:$J$1001,0),0), INDEX($Q$1004:$U$1004,1,MATCH(COLUMNS($Q$1006:S1006),$Q$1006:$U$1006,0)))),"Fix")))</f>
        <v xml:space="preserve"> </v>
      </c>
      <c r="E506" s="3" t="str">
        <f ca="1">IF(OR(INDEX($K$2:$K$1001,MATCH(ROWS($J$2:J506),$J$2:$J$1001,0),1)&gt;=100000,INDEX($Q$1005:$U$1005,1,MATCH(COLUMNS($Q$1006:T1006),$Q$1006:$U$1006,0))&gt;=100000), " ",IF(INDEX($Q$2:$U$1001,MATCH(ROWS($J$2:J506),$J$2:$J$1001,0),MATCH(COLUMNS($Q$1006:T1006),$Q$1006:$U$1006,0)), HYPERLINK("#",""), HYPERLINK(CONCATENATE("#Metadata!", ADDRESS(INDEX($L$2:$L$1001,MATCH(ROWS($J$2:J506),$J$2:$J$1001,0),0), INDEX($Q$1004:$U$1004,1,MATCH(COLUMNS($Q$1006:T1006),$Q$1006:$U$1006,0)))),"Fix")))</f>
        <v xml:space="preserve"> </v>
      </c>
      <c r="F506" s="3" t="str">
        <f ca="1">IF(OR(INDEX($K$2:$K$1001,MATCH(ROWS($J$2:J506),$J$2:$J$1001,0),1)&gt;=100000,INDEX($Q$1005:$U$1005,1,MATCH(COLUMNS($Q$1006:U1006),$Q$1006:$U$1006,0))&gt;=100000), " ",IF(INDEX($Q$2:$U$1001,MATCH(ROWS($J$2:J506),$J$2:$J$1001,0),MATCH(COLUMNS($Q$1006:U1006),$Q$1006:$U$1006,0)), HYPERLINK("#",""), HYPERLINK(CONCATENATE("#Metadata!", ADDRESS(INDEX($L$2:$L$1001,MATCH(ROWS($J$2:J506),$J$2:$J$1001,0),0), INDEX($Q$1004:$U$1004,1,MATCH(COLUMNS($Q$1006:U1006),$Q$1006:$U$1006,0)))),"Fix")))</f>
        <v xml:space="preserve"> </v>
      </c>
      <c r="J506">
        <f ca="1"/>
        <v>505</v>
      </c>
      <c r="K506">
        <v>100506</v>
      </c>
      <c r="L506">
        <v>506</v>
      </c>
      <c r="M506" t="b">
        <f t="shared" si="7"/>
        <v>1</v>
      </c>
      <c r="N506" t="b">
        <f>COUNTBLANK(Metadata!B506:F506)=COLUMNS(Metadata!B506:F506)</f>
        <v>1</v>
      </c>
      <c r="O506" t="str">
        <v/>
      </c>
      <c r="Q506" t="b">
        <f ca="1"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R506" t="b">
        <f>IF(Metadata!C506="",FALSE,TRUE)</f>
        <v>0</v>
      </c>
      <c r="S506" t="b">
        <f>OR(AND(IF(Metadata!D506="",FALSE,TRUE),EXACT(Metadata!D506,"missing: not collected")),AND(IF(Metadata!D506="",FALSE,TRUE),OR(EXACT(Metadata!D506,"t"),EXACT(Metadata!D506,"f"))))</f>
        <v>0</v>
      </c>
      <c r="T506" t="b">
        <f>AND(IF(Metadata!E506="",FALSE,TRUE),OR(EXACT(Metadata!E506,"a"),EXACT(Metadata!E506,"b")))</f>
        <v>0</v>
      </c>
      <c r="U506" t="b">
        <f>OR(AND(IF(Metadata!F506="",FALSE,TRUE),OR(EXACT(Metadata!F506,"missing: not collected"),EXACT(Metadata!F506,"missing: not provided"))),AND(IF(Metadata!F506="",FALSE,TRUE),OR(EXACT(Metadata!F506,"lo"),EXACT(Metadata!F506,"med"),EXACT(Metadata!F506,"hi"))))</f>
        <v>0</v>
      </c>
    </row>
    <row r="507" spans="1:21" x14ac:dyDescent="0.2">
      <c r="A507" s="4" t="str">
        <f ca="1">IF(B507=" "," ",HYPERLINK(CONCATENATE("#metadata!",ADDRESS(INDEX($L$2:$L$1001,MATCH(ROWS($J$2:J507),$J$2:$J$1001,0),0),1)),INDEX($O$2:$O$1001,MATCH(ROWS($J$2:J507),$J$2:$J$1001,0),0)))</f>
        <v xml:space="preserve"> </v>
      </c>
      <c r="B507" s="3" t="str">
        <f ca="1">IF(OR(INDEX($K$2:$K$1001,MATCH(ROWS($J$2:J507),$J$2:$J$1001,0),1)&gt;=100000,INDEX($Q$1005:$U$1005,1,MATCH(COLUMNS($Q$1006:Q1006),$Q$1006:$U$1006,0))&gt;=100000), " ",IF(INDEX($Q$2:$U$1001,MATCH(ROWS($J$2:J507),$J$2:$J$1001,0),MATCH(COLUMNS($Q$1006:Q1006),$Q$1006:$U$1006,0)), HYPERLINK("#",""), HYPERLINK(CONCATENATE("#Metadata!", ADDRESS(INDEX($L$2:$L$1001,MATCH(ROWS($J$2:J507),$J$2:$J$1001,0),0), INDEX($Q$1004:$U$1004,1,MATCH(COLUMNS($Q$1006:Q1006),$Q$1006:$U$1006,0)))),"Fix")))</f>
        <v xml:space="preserve"> </v>
      </c>
      <c r="C507" s="3" t="str">
        <f ca="1">IF(OR(INDEX($K$2:$K$1001,MATCH(ROWS($J$2:J507),$J$2:$J$1001,0),1)&gt;=100000,INDEX($Q$1005:$U$1005,1,MATCH(COLUMNS($Q$1006:R1006),$Q$1006:$U$1006,0))&gt;=100000), " ",IF(INDEX($Q$2:$U$1001,MATCH(ROWS($J$2:J507),$J$2:$J$1001,0),MATCH(COLUMNS($Q$1006:R1006),$Q$1006:$U$1006,0)), HYPERLINK("#",""), HYPERLINK(CONCATENATE("#Metadata!", ADDRESS(INDEX($L$2:$L$1001,MATCH(ROWS($J$2:J507),$J$2:$J$1001,0),0), INDEX($Q$1004:$U$1004,1,MATCH(COLUMNS($Q$1006:R1006),$Q$1006:$U$1006,0)))),"Fix")))</f>
        <v xml:space="preserve"> </v>
      </c>
      <c r="D507" s="3" t="str">
        <f ca="1">IF(OR(INDEX($K$2:$K$1001,MATCH(ROWS($J$2:J507),$J$2:$J$1001,0),1)&gt;=100000,INDEX($Q$1005:$U$1005,1,MATCH(COLUMNS($Q$1006:S1006),$Q$1006:$U$1006,0))&gt;=100000), " ",IF(INDEX($Q$2:$U$1001,MATCH(ROWS($J$2:J507),$J$2:$J$1001,0),MATCH(COLUMNS($Q$1006:S1006),$Q$1006:$U$1006,0)), HYPERLINK("#",""), HYPERLINK(CONCATENATE("#Metadata!", ADDRESS(INDEX($L$2:$L$1001,MATCH(ROWS($J$2:J507),$J$2:$J$1001,0),0), INDEX($Q$1004:$U$1004,1,MATCH(COLUMNS($Q$1006:S1006),$Q$1006:$U$1006,0)))),"Fix")))</f>
        <v xml:space="preserve"> </v>
      </c>
      <c r="E507" s="3" t="str">
        <f ca="1">IF(OR(INDEX($K$2:$K$1001,MATCH(ROWS($J$2:J507),$J$2:$J$1001,0),1)&gt;=100000,INDEX($Q$1005:$U$1005,1,MATCH(COLUMNS($Q$1006:T1006),$Q$1006:$U$1006,0))&gt;=100000), " ",IF(INDEX($Q$2:$U$1001,MATCH(ROWS($J$2:J507),$J$2:$J$1001,0),MATCH(COLUMNS($Q$1006:T1006),$Q$1006:$U$1006,0)), HYPERLINK("#",""), HYPERLINK(CONCATENATE("#Metadata!", ADDRESS(INDEX($L$2:$L$1001,MATCH(ROWS($J$2:J507),$J$2:$J$1001,0),0), INDEX($Q$1004:$U$1004,1,MATCH(COLUMNS($Q$1006:T1006),$Q$1006:$U$1006,0)))),"Fix")))</f>
        <v xml:space="preserve"> </v>
      </c>
      <c r="F507" s="3" t="str">
        <f ca="1">IF(OR(INDEX($K$2:$K$1001,MATCH(ROWS($J$2:J507),$J$2:$J$1001,0),1)&gt;=100000,INDEX($Q$1005:$U$1005,1,MATCH(COLUMNS($Q$1006:U1006),$Q$1006:$U$1006,0))&gt;=100000), " ",IF(INDEX($Q$2:$U$1001,MATCH(ROWS($J$2:J507),$J$2:$J$1001,0),MATCH(COLUMNS($Q$1006:U1006),$Q$1006:$U$1006,0)), HYPERLINK("#",""), HYPERLINK(CONCATENATE("#Metadata!", ADDRESS(INDEX($L$2:$L$1001,MATCH(ROWS($J$2:J507),$J$2:$J$1001,0),0), INDEX($Q$1004:$U$1004,1,MATCH(COLUMNS($Q$1006:U1006),$Q$1006:$U$1006,0)))),"Fix")))</f>
        <v xml:space="preserve"> </v>
      </c>
      <c r="J507">
        <f ca="1"/>
        <v>506</v>
      </c>
      <c r="K507">
        <v>100507</v>
      </c>
      <c r="L507">
        <v>507</v>
      </c>
      <c r="M507" t="b">
        <f t="shared" si="7"/>
        <v>1</v>
      </c>
      <c r="N507" t="b">
        <f>COUNTBLANK(Metadata!B507:F507)=COLUMNS(Metadata!B507:F507)</f>
        <v>1</v>
      </c>
      <c r="O507" t="str">
        <v/>
      </c>
      <c r="Q507" t="b">
        <f ca="1"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R507" t="b">
        <f>IF(Metadata!C507="",FALSE,TRUE)</f>
        <v>0</v>
      </c>
      <c r="S507" t="b">
        <f>OR(AND(IF(Metadata!D507="",FALSE,TRUE),EXACT(Metadata!D507,"missing: not collected")),AND(IF(Metadata!D507="",FALSE,TRUE),OR(EXACT(Metadata!D507,"t"),EXACT(Metadata!D507,"f"))))</f>
        <v>0</v>
      </c>
      <c r="T507" t="b">
        <f>AND(IF(Metadata!E507="",FALSE,TRUE),OR(EXACT(Metadata!E507,"a"),EXACT(Metadata!E507,"b")))</f>
        <v>0</v>
      </c>
      <c r="U507" t="b">
        <f>OR(AND(IF(Metadata!F507="",FALSE,TRUE),OR(EXACT(Metadata!F507,"missing: not collected"),EXACT(Metadata!F507,"missing: not provided"))),AND(IF(Metadata!F507="",FALSE,TRUE),OR(EXACT(Metadata!F507,"lo"),EXACT(Metadata!F507,"med"),EXACT(Metadata!F507,"hi"))))</f>
        <v>0</v>
      </c>
    </row>
    <row r="508" spans="1:21" x14ac:dyDescent="0.2">
      <c r="A508" s="4" t="str">
        <f ca="1">IF(B508=" "," ",HYPERLINK(CONCATENATE("#metadata!",ADDRESS(INDEX($L$2:$L$1001,MATCH(ROWS($J$2:J508),$J$2:$J$1001,0),0),1)),INDEX($O$2:$O$1001,MATCH(ROWS($J$2:J508),$J$2:$J$1001,0),0)))</f>
        <v xml:space="preserve"> </v>
      </c>
      <c r="B508" s="3" t="str">
        <f ca="1">IF(OR(INDEX($K$2:$K$1001,MATCH(ROWS($J$2:J508),$J$2:$J$1001,0),1)&gt;=100000,INDEX($Q$1005:$U$1005,1,MATCH(COLUMNS($Q$1006:Q1006),$Q$1006:$U$1006,0))&gt;=100000), " ",IF(INDEX($Q$2:$U$1001,MATCH(ROWS($J$2:J508),$J$2:$J$1001,0),MATCH(COLUMNS($Q$1006:Q1006),$Q$1006:$U$1006,0)), HYPERLINK("#",""), HYPERLINK(CONCATENATE("#Metadata!", ADDRESS(INDEX($L$2:$L$1001,MATCH(ROWS($J$2:J508),$J$2:$J$1001,0),0), INDEX($Q$1004:$U$1004,1,MATCH(COLUMNS($Q$1006:Q1006),$Q$1006:$U$1006,0)))),"Fix")))</f>
        <v xml:space="preserve"> </v>
      </c>
      <c r="C508" s="3" t="str">
        <f ca="1">IF(OR(INDEX($K$2:$K$1001,MATCH(ROWS($J$2:J508),$J$2:$J$1001,0),1)&gt;=100000,INDEX($Q$1005:$U$1005,1,MATCH(COLUMNS($Q$1006:R1006),$Q$1006:$U$1006,0))&gt;=100000), " ",IF(INDEX($Q$2:$U$1001,MATCH(ROWS($J$2:J508),$J$2:$J$1001,0),MATCH(COLUMNS($Q$1006:R1006),$Q$1006:$U$1006,0)), HYPERLINK("#",""), HYPERLINK(CONCATENATE("#Metadata!", ADDRESS(INDEX($L$2:$L$1001,MATCH(ROWS($J$2:J508),$J$2:$J$1001,0),0), INDEX($Q$1004:$U$1004,1,MATCH(COLUMNS($Q$1006:R1006),$Q$1006:$U$1006,0)))),"Fix")))</f>
        <v xml:space="preserve"> </v>
      </c>
      <c r="D508" s="3" t="str">
        <f ca="1">IF(OR(INDEX($K$2:$K$1001,MATCH(ROWS($J$2:J508),$J$2:$J$1001,0),1)&gt;=100000,INDEX($Q$1005:$U$1005,1,MATCH(COLUMNS($Q$1006:S1006),$Q$1006:$U$1006,0))&gt;=100000), " ",IF(INDEX($Q$2:$U$1001,MATCH(ROWS($J$2:J508),$J$2:$J$1001,0),MATCH(COLUMNS($Q$1006:S1006),$Q$1006:$U$1006,0)), HYPERLINK("#",""), HYPERLINK(CONCATENATE("#Metadata!", ADDRESS(INDEX($L$2:$L$1001,MATCH(ROWS($J$2:J508),$J$2:$J$1001,0),0), INDEX($Q$1004:$U$1004,1,MATCH(COLUMNS($Q$1006:S1006),$Q$1006:$U$1006,0)))),"Fix")))</f>
        <v xml:space="preserve"> </v>
      </c>
      <c r="E508" s="3" t="str">
        <f ca="1">IF(OR(INDEX($K$2:$K$1001,MATCH(ROWS($J$2:J508),$J$2:$J$1001,0),1)&gt;=100000,INDEX($Q$1005:$U$1005,1,MATCH(COLUMNS($Q$1006:T1006),$Q$1006:$U$1006,0))&gt;=100000), " ",IF(INDEX($Q$2:$U$1001,MATCH(ROWS($J$2:J508),$J$2:$J$1001,0),MATCH(COLUMNS($Q$1006:T1006),$Q$1006:$U$1006,0)), HYPERLINK("#",""), HYPERLINK(CONCATENATE("#Metadata!", ADDRESS(INDEX($L$2:$L$1001,MATCH(ROWS($J$2:J508),$J$2:$J$1001,0),0), INDEX($Q$1004:$U$1004,1,MATCH(COLUMNS($Q$1006:T1006),$Q$1006:$U$1006,0)))),"Fix")))</f>
        <v xml:space="preserve"> </v>
      </c>
      <c r="F508" s="3" t="str">
        <f ca="1">IF(OR(INDEX($K$2:$K$1001,MATCH(ROWS($J$2:J508),$J$2:$J$1001,0),1)&gt;=100000,INDEX($Q$1005:$U$1005,1,MATCH(COLUMNS($Q$1006:U1006),$Q$1006:$U$1006,0))&gt;=100000), " ",IF(INDEX($Q$2:$U$1001,MATCH(ROWS($J$2:J508),$J$2:$J$1001,0),MATCH(COLUMNS($Q$1006:U1006),$Q$1006:$U$1006,0)), HYPERLINK("#",""), HYPERLINK(CONCATENATE("#Metadata!", ADDRESS(INDEX($L$2:$L$1001,MATCH(ROWS($J$2:J508),$J$2:$J$1001,0),0), INDEX($Q$1004:$U$1004,1,MATCH(COLUMNS($Q$1006:U1006),$Q$1006:$U$1006,0)))),"Fix")))</f>
        <v xml:space="preserve"> </v>
      </c>
      <c r="J508">
        <f ca="1"/>
        <v>507</v>
      </c>
      <c r="K508">
        <v>100508</v>
      </c>
      <c r="L508">
        <v>508</v>
      </c>
      <c r="M508" t="b">
        <f t="shared" si="7"/>
        <v>1</v>
      </c>
      <c r="N508" t="b">
        <f>COUNTBLANK(Metadata!B508:F508)=COLUMNS(Metadata!B508:F508)</f>
        <v>1</v>
      </c>
      <c r="O508" t="str">
        <v/>
      </c>
      <c r="Q508" t="b">
        <f ca="1"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R508" t="b">
        <f>IF(Metadata!C508="",FALSE,TRUE)</f>
        <v>0</v>
      </c>
      <c r="S508" t="b">
        <f>OR(AND(IF(Metadata!D508="",FALSE,TRUE),EXACT(Metadata!D508,"missing: not collected")),AND(IF(Metadata!D508="",FALSE,TRUE),OR(EXACT(Metadata!D508,"t"),EXACT(Metadata!D508,"f"))))</f>
        <v>0</v>
      </c>
      <c r="T508" t="b">
        <f>AND(IF(Metadata!E508="",FALSE,TRUE),OR(EXACT(Metadata!E508,"a"),EXACT(Metadata!E508,"b")))</f>
        <v>0</v>
      </c>
      <c r="U508" t="b">
        <f>OR(AND(IF(Metadata!F508="",FALSE,TRUE),OR(EXACT(Metadata!F508,"missing: not collected"),EXACT(Metadata!F508,"missing: not provided"))),AND(IF(Metadata!F508="",FALSE,TRUE),OR(EXACT(Metadata!F508,"lo"),EXACT(Metadata!F508,"med"),EXACT(Metadata!F508,"hi"))))</f>
        <v>0</v>
      </c>
    </row>
    <row r="509" spans="1:21" x14ac:dyDescent="0.2">
      <c r="A509" s="4" t="str">
        <f ca="1">IF(B509=" "," ",HYPERLINK(CONCATENATE("#metadata!",ADDRESS(INDEX($L$2:$L$1001,MATCH(ROWS($J$2:J509),$J$2:$J$1001,0),0),1)),INDEX($O$2:$O$1001,MATCH(ROWS($J$2:J509),$J$2:$J$1001,0),0)))</f>
        <v xml:space="preserve"> </v>
      </c>
      <c r="B509" s="3" t="str">
        <f ca="1">IF(OR(INDEX($K$2:$K$1001,MATCH(ROWS($J$2:J509),$J$2:$J$1001,0),1)&gt;=100000,INDEX($Q$1005:$U$1005,1,MATCH(COLUMNS($Q$1006:Q1006),$Q$1006:$U$1006,0))&gt;=100000), " ",IF(INDEX($Q$2:$U$1001,MATCH(ROWS($J$2:J509),$J$2:$J$1001,0),MATCH(COLUMNS($Q$1006:Q1006),$Q$1006:$U$1006,0)), HYPERLINK("#",""), HYPERLINK(CONCATENATE("#Metadata!", ADDRESS(INDEX($L$2:$L$1001,MATCH(ROWS($J$2:J509),$J$2:$J$1001,0),0), INDEX($Q$1004:$U$1004,1,MATCH(COLUMNS($Q$1006:Q1006),$Q$1006:$U$1006,0)))),"Fix")))</f>
        <v xml:space="preserve"> </v>
      </c>
      <c r="C509" s="3" t="str">
        <f ca="1">IF(OR(INDEX($K$2:$K$1001,MATCH(ROWS($J$2:J509),$J$2:$J$1001,0),1)&gt;=100000,INDEX($Q$1005:$U$1005,1,MATCH(COLUMNS($Q$1006:R1006),$Q$1006:$U$1006,0))&gt;=100000), " ",IF(INDEX($Q$2:$U$1001,MATCH(ROWS($J$2:J509),$J$2:$J$1001,0),MATCH(COLUMNS($Q$1006:R1006),$Q$1006:$U$1006,0)), HYPERLINK("#",""), HYPERLINK(CONCATENATE("#Metadata!", ADDRESS(INDEX($L$2:$L$1001,MATCH(ROWS($J$2:J509),$J$2:$J$1001,0),0), INDEX($Q$1004:$U$1004,1,MATCH(COLUMNS($Q$1006:R1006),$Q$1006:$U$1006,0)))),"Fix")))</f>
        <v xml:space="preserve"> </v>
      </c>
      <c r="D509" s="3" t="str">
        <f ca="1">IF(OR(INDEX($K$2:$K$1001,MATCH(ROWS($J$2:J509),$J$2:$J$1001,0),1)&gt;=100000,INDEX($Q$1005:$U$1005,1,MATCH(COLUMNS($Q$1006:S1006),$Q$1006:$U$1006,0))&gt;=100000), " ",IF(INDEX($Q$2:$U$1001,MATCH(ROWS($J$2:J509),$J$2:$J$1001,0),MATCH(COLUMNS($Q$1006:S1006),$Q$1006:$U$1006,0)), HYPERLINK("#",""), HYPERLINK(CONCATENATE("#Metadata!", ADDRESS(INDEX($L$2:$L$1001,MATCH(ROWS($J$2:J509),$J$2:$J$1001,0),0), INDEX($Q$1004:$U$1004,1,MATCH(COLUMNS($Q$1006:S1006),$Q$1006:$U$1006,0)))),"Fix")))</f>
        <v xml:space="preserve"> </v>
      </c>
      <c r="E509" s="3" t="str">
        <f ca="1">IF(OR(INDEX($K$2:$K$1001,MATCH(ROWS($J$2:J509),$J$2:$J$1001,0),1)&gt;=100000,INDEX($Q$1005:$U$1005,1,MATCH(COLUMNS($Q$1006:T1006),$Q$1006:$U$1006,0))&gt;=100000), " ",IF(INDEX($Q$2:$U$1001,MATCH(ROWS($J$2:J509),$J$2:$J$1001,0),MATCH(COLUMNS($Q$1006:T1006),$Q$1006:$U$1006,0)), HYPERLINK("#",""), HYPERLINK(CONCATENATE("#Metadata!", ADDRESS(INDEX($L$2:$L$1001,MATCH(ROWS($J$2:J509),$J$2:$J$1001,0),0), INDEX($Q$1004:$U$1004,1,MATCH(COLUMNS($Q$1006:T1006),$Q$1006:$U$1006,0)))),"Fix")))</f>
        <v xml:space="preserve"> </v>
      </c>
      <c r="F509" s="3" t="str">
        <f ca="1">IF(OR(INDEX($K$2:$K$1001,MATCH(ROWS($J$2:J509),$J$2:$J$1001,0),1)&gt;=100000,INDEX($Q$1005:$U$1005,1,MATCH(COLUMNS($Q$1006:U1006),$Q$1006:$U$1006,0))&gt;=100000), " ",IF(INDEX($Q$2:$U$1001,MATCH(ROWS($J$2:J509),$J$2:$J$1001,0),MATCH(COLUMNS($Q$1006:U1006),$Q$1006:$U$1006,0)), HYPERLINK("#",""), HYPERLINK(CONCATENATE("#Metadata!", ADDRESS(INDEX($L$2:$L$1001,MATCH(ROWS($J$2:J509),$J$2:$J$1001,0),0), INDEX($Q$1004:$U$1004,1,MATCH(COLUMNS($Q$1006:U1006),$Q$1006:$U$1006,0)))),"Fix")))</f>
        <v xml:space="preserve"> </v>
      </c>
      <c r="J509">
        <f ca="1"/>
        <v>508</v>
      </c>
      <c r="K509">
        <v>100509</v>
      </c>
      <c r="L509">
        <v>509</v>
      </c>
      <c r="M509" t="b">
        <f t="shared" si="7"/>
        <v>1</v>
      </c>
      <c r="N509" t="b">
        <f>COUNTBLANK(Metadata!B509:F509)=COLUMNS(Metadata!B509:F509)</f>
        <v>1</v>
      </c>
      <c r="O509" t="str">
        <v/>
      </c>
      <c r="Q509" t="b">
        <f ca="1"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R509" t="b">
        <f>IF(Metadata!C509="",FALSE,TRUE)</f>
        <v>0</v>
      </c>
      <c r="S509" t="b">
        <f>OR(AND(IF(Metadata!D509="",FALSE,TRUE),EXACT(Metadata!D509,"missing: not collected")),AND(IF(Metadata!D509="",FALSE,TRUE),OR(EXACT(Metadata!D509,"t"),EXACT(Metadata!D509,"f"))))</f>
        <v>0</v>
      </c>
      <c r="T509" t="b">
        <f>AND(IF(Metadata!E509="",FALSE,TRUE),OR(EXACT(Metadata!E509,"a"),EXACT(Metadata!E509,"b")))</f>
        <v>0</v>
      </c>
      <c r="U509" t="b">
        <f>OR(AND(IF(Metadata!F509="",FALSE,TRUE),OR(EXACT(Metadata!F509,"missing: not collected"),EXACT(Metadata!F509,"missing: not provided"))),AND(IF(Metadata!F509="",FALSE,TRUE),OR(EXACT(Metadata!F509,"lo"),EXACT(Metadata!F509,"med"),EXACT(Metadata!F509,"hi"))))</f>
        <v>0</v>
      </c>
    </row>
    <row r="510" spans="1:21" x14ac:dyDescent="0.2">
      <c r="A510" s="4" t="str">
        <f ca="1">IF(B510=" "," ",HYPERLINK(CONCATENATE("#metadata!",ADDRESS(INDEX($L$2:$L$1001,MATCH(ROWS($J$2:J510),$J$2:$J$1001,0),0),1)),INDEX($O$2:$O$1001,MATCH(ROWS($J$2:J510),$J$2:$J$1001,0),0)))</f>
        <v xml:space="preserve"> </v>
      </c>
      <c r="B510" s="3" t="str">
        <f ca="1">IF(OR(INDEX($K$2:$K$1001,MATCH(ROWS($J$2:J510),$J$2:$J$1001,0),1)&gt;=100000,INDEX($Q$1005:$U$1005,1,MATCH(COLUMNS($Q$1006:Q1006),$Q$1006:$U$1006,0))&gt;=100000), " ",IF(INDEX($Q$2:$U$1001,MATCH(ROWS($J$2:J510),$J$2:$J$1001,0),MATCH(COLUMNS($Q$1006:Q1006),$Q$1006:$U$1006,0)), HYPERLINK("#",""), HYPERLINK(CONCATENATE("#Metadata!", ADDRESS(INDEX($L$2:$L$1001,MATCH(ROWS($J$2:J510),$J$2:$J$1001,0),0), INDEX($Q$1004:$U$1004,1,MATCH(COLUMNS($Q$1006:Q1006),$Q$1006:$U$1006,0)))),"Fix")))</f>
        <v xml:space="preserve"> </v>
      </c>
      <c r="C510" s="3" t="str">
        <f ca="1">IF(OR(INDEX($K$2:$K$1001,MATCH(ROWS($J$2:J510),$J$2:$J$1001,0),1)&gt;=100000,INDEX($Q$1005:$U$1005,1,MATCH(COLUMNS($Q$1006:R1006),$Q$1006:$U$1006,0))&gt;=100000), " ",IF(INDEX($Q$2:$U$1001,MATCH(ROWS($J$2:J510),$J$2:$J$1001,0),MATCH(COLUMNS($Q$1006:R1006),$Q$1006:$U$1006,0)), HYPERLINK("#",""), HYPERLINK(CONCATENATE("#Metadata!", ADDRESS(INDEX($L$2:$L$1001,MATCH(ROWS($J$2:J510),$J$2:$J$1001,0),0), INDEX($Q$1004:$U$1004,1,MATCH(COLUMNS($Q$1006:R1006),$Q$1006:$U$1006,0)))),"Fix")))</f>
        <v xml:space="preserve"> </v>
      </c>
      <c r="D510" s="3" t="str">
        <f ca="1">IF(OR(INDEX($K$2:$K$1001,MATCH(ROWS($J$2:J510),$J$2:$J$1001,0),1)&gt;=100000,INDEX($Q$1005:$U$1005,1,MATCH(COLUMNS($Q$1006:S1006),$Q$1006:$U$1006,0))&gt;=100000), " ",IF(INDEX($Q$2:$U$1001,MATCH(ROWS($J$2:J510),$J$2:$J$1001,0),MATCH(COLUMNS($Q$1006:S1006),$Q$1006:$U$1006,0)), HYPERLINK("#",""), HYPERLINK(CONCATENATE("#Metadata!", ADDRESS(INDEX($L$2:$L$1001,MATCH(ROWS($J$2:J510),$J$2:$J$1001,0),0), INDEX($Q$1004:$U$1004,1,MATCH(COLUMNS($Q$1006:S1006),$Q$1006:$U$1006,0)))),"Fix")))</f>
        <v xml:space="preserve"> </v>
      </c>
      <c r="E510" s="3" t="str">
        <f ca="1">IF(OR(INDEX($K$2:$K$1001,MATCH(ROWS($J$2:J510),$J$2:$J$1001,0),1)&gt;=100000,INDEX($Q$1005:$U$1005,1,MATCH(COLUMNS($Q$1006:T1006),$Q$1006:$U$1006,0))&gt;=100000), " ",IF(INDEX($Q$2:$U$1001,MATCH(ROWS($J$2:J510),$J$2:$J$1001,0),MATCH(COLUMNS($Q$1006:T1006),$Q$1006:$U$1006,0)), HYPERLINK("#",""), HYPERLINK(CONCATENATE("#Metadata!", ADDRESS(INDEX($L$2:$L$1001,MATCH(ROWS($J$2:J510),$J$2:$J$1001,0),0), INDEX($Q$1004:$U$1004,1,MATCH(COLUMNS($Q$1006:T1006),$Q$1006:$U$1006,0)))),"Fix")))</f>
        <v xml:space="preserve"> </v>
      </c>
      <c r="F510" s="3" t="str">
        <f ca="1">IF(OR(INDEX($K$2:$K$1001,MATCH(ROWS($J$2:J510),$J$2:$J$1001,0),1)&gt;=100000,INDEX($Q$1005:$U$1005,1,MATCH(COLUMNS($Q$1006:U1006),$Q$1006:$U$1006,0))&gt;=100000), " ",IF(INDEX($Q$2:$U$1001,MATCH(ROWS($J$2:J510),$J$2:$J$1001,0),MATCH(COLUMNS($Q$1006:U1006),$Q$1006:$U$1006,0)), HYPERLINK("#",""), HYPERLINK(CONCATENATE("#Metadata!", ADDRESS(INDEX($L$2:$L$1001,MATCH(ROWS($J$2:J510),$J$2:$J$1001,0),0), INDEX($Q$1004:$U$1004,1,MATCH(COLUMNS($Q$1006:U1006),$Q$1006:$U$1006,0)))),"Fix")))</f>
        <v xml:space="preserve"> </v>
      </c>
      <c r="J510">
        <f ca="1"/>
        <v>509</v>
      </c>
      <c r="K510">
        <v>100510</v>
      </c>
      <c r="L510">
        <v>510</v>
      </c>
      <c r="M510" t="b">
        <f t="shared" si="7"/>
        <v>1</v>
      </c>
      <c r="N510" t="b">
        <f>COUNTBLANK(Metadata!B510:F510)=COLUMNS(Metadata!B510:F510)</f>
        <v>1</v>
      </c>
      <c r="O510" t="str">
        <v/>
      </c>
      <c r="Q510" t="b">
        <f ca="1"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R510" t="b">
        <f>IF(Metadata!C510="",FALSE,TRUE)</f>
        <v>0</v>
      </c>
      <c r="S510" t="b">
        <f>OR(AND(IF(Metadata!D510="",FALSE,TRUE),EXACT(Metadata!D510,"missing: not collected")),AND(IF(Metadata!D510="",FALSE,TRUE),OR(EXACT(Metadata!D510,"t"),EXACT(Metadata!D510,"f"))))</f>
        <v>0</v>
      </c>
      <c r="T510" t="b">
        <f>AND(IF(Metadata!E510="",FALSE,TRUE),OR(EXACT(Metadata!E510,"a"),EXACT(Metadata!E510,"b")))</f>
        <v>0</v>
      </c>
      <c r="U510" t="b">
        <f>OR(AND(IF(Metadata!F510="",FALSE,TRUE),OR(EXACT(Metadata!F510,"missing: not collected"),EXACT(Metadata!F510,"missing: not provided"))),AND(IF(Metadata!F510="",FALSE,TRUE),OR(EXACT(Metadata!F510,"lo"),EXACT(Metadata!F510,"med"),EXACT(Metadata!F510,"hi"))))</f>
        <v>0</v>
      </c>
    </row>
    <row r="511" spans="1:21" x14ac:dyDescent="0.2">
      <c r="A511" s="4" t="str">
        <f ca="1">IF(B511=" "," ",HYPERLINK(CONCATENATE("#metadata!",ADDRESS(INDEX($L$2:$L$1001,MATCH(ROWS($J$2:J511),$J$2:$J$1001,0),0),1)),INDEX($O$2:$O$1001,MATCH(ROWS($J$2:J511),$J$2:$J$1001,0),0)))</f>
        <v xml:space="preserve"> </v>
      </c>
      <c r="B511" s="3" t="str">
        <f ca="1">IF(OR(INDEX($K$2:$K$1001,MATCH(ROWS($J$2:J511),$J$2:$J$1001,0),1)&gt;=100000,INDEX($Q$1005:$U$1005,1,MATCH(COLUMNS($Q$1006:Q1006),$Q$1006:$U$1006,0))&gt;=100000), " ",IF(INDEX($Q$2:$U$1001,MATCH(ROWS($J$2:J511),$J$2:$J$1001,0),MATCH(COLUMNS($Q$1006:Q1006),$Q$1006:$U$1006,0)), HYPERLINK("#",""), HYPERLINK(CONCATENATE("#Metadata!", ADDRESS(INDEX($L$2:$L$1001,MATCH(ROWS($J$2:J511),$J$2:$J$1001,0),0), INDEX($Q$1004:$U$1004,1,MATCH(COLUMNS($Q$1006:Q1006),$Q$1006:$U$1006,0)))),"Fix")))</f>
        <v xml:space="preserve"> </v>
      </c>
      <c r="C511" s="3" t="str">
        <f ca="1">IF(OR(INDEX($K$2:$K$1001,MATCH(ROWS($J$2:J511),$J$2:$J$1001,0),1)&gt;=100000,INDEX($Q$1005:$U$1005,1,MATCH(COLUMNS($Q$1006:R1006),$Q$1006:$U$1006,0))&gt;=100000), " ",IF(INDEX($Q$2:$U$1001,MATCH(ROWS($J$2:J511),$J$2:$J$1001,0),MATCH(COLUMNS($Q$1006:R1006),$Q$1006:$U$1006,0)), HYPERLINK("#",""), HYPERLINK(CONCATENATE("#Metadata!", ADDRESS(INDEX($L$2:$L$1001,MATCH(ROWS($J$2:J511),$J$2:$J$1001,0),0), INDEX($Q$1004:$U$1004,1,MATCH(COLUMNS($Q$1006:R1006),$Q$1006:$U$1006,0)))),"Fix")))</f>
        <v xml:space="preserve"> </v>
      </c>
      <c r="D511" s="3" t="str">
        <f ca="1">IF(OR(INDEX($K$2:$K$1001,MATCH(ROWS($J$2:J511),$J$2:$J$1001,0),1)&gt;=100000,INDEX($Q$1005:$U$1005,1,MATCH(COLUMNS($Q$1006:S1006),$Q$1006:$U$1006,0))&gt;=100000), " ",IF(INDEX($Q$2:$U$1001,MATCH(ROWS($J$2:J511),$J$2:$J$1001,0),MATCH(COLUMNS($Q$1006:S1006),$Q$1006:$U$1006,0)), HYPERLINK("#",""), HYPERLINK(CONCATENATE("#Metadata!", ADDRESS(INDEX($L$2:$L$1001,MATCH(ROWS($J$2:J511),$J$2:$J$1001,0),0), INDEX($Q$1004:$U$1004,1,MATCH(COLUMNS($Q$1006:S1006),$Q$1006:$U$1006,0)))),"Fix")))</f>
        <v xml:space="preserve"> </v>
      </c>
      <c r="E511" s="3" t="str">
        <f ca="1">IF(OR(INDEX($K$2:$K$1001,MATCH(ROWS($J$2:J511),$J$2:$J$1001,0),1)&gt;=100000,INDEX($Q$1005:$U$1005,1,MATCH(COLUMNS($Q$1006:T1006),$Q$1006:$U$1006,0))&gt;=100000), " ",IF(INDEX($Q$2:$U$1001,MATCH(ROWS($J$2:J511),$J$2:$J$1001,0),MATCH(COLUMNS($Q$1006:T1006),$Q$1006:$U$1006,0)), HYPERLINK("#",""), HYPERLINK(CONCATENATE("#Metadata!", ADDRESS(INDEX($L$2:$L$1001,MATCH(ROWS($J$2:J511),$J$2:$J$1001,0),0), INDEX($Q$1004:$U$1004,1,MATCH(COLUMNS($Q$1006:T1006),$Q$1006:$U$1006,0)))),"Fix")))</f>
        <v xml:space="preserve"> </v>
      </c>
      <c r="F511" s="3" t="str">
        <f ca="1">IF(OR(INDEX($K$2:$K$1001,MATCH(ROWS($J$2:J511),$J$2:$J$1001,0),1)&gt;=100000,INDEX($Q$1005:$U$1005,1,MATCH(COLUMNS($Q$1006:U1006),$Q$1006:$U$1006,0))&gt;=100000), " ",IF(INDEX($Q$2:$U$1001,MATCH(ROWS($J$2:J511),$J$2:$J$1001,0),MATCH(COLUMNS($Q$1006:U1006),$Q$1006:$U$1006,0)), HYPERLINK("#",""), HYPERLINK(CONCATENATE("#Metadata!", ADDRESS(INDEX($L$2:$L$1001,MATCH(ROWS($J$2:J511),$J$2:$J$1001,0),0), INDEX($Q$1004:$U$1004,1,MATCH(COLUMNS($Q$1006:U1006),$Q$1006:$U$1006,0)))),"Fix")))</f>
        <v xml:space="preserve"> </v>
      </c>
      <c r="J511">
        <f ca="1"/>
        <v>510</v>
      </c>
      <c r="K511">
        <v>100511</v>
      </c>
      <c r="L511">
        <v>511</v>
      </c>
      <c r="M511" t="b">
        <f t="shared" si="7"/>
        <v>1</v>
      </c>
      <c r="N511" t="b">
        <f>COUNTBLANK(Metadata!B511:F511)=COLUMNS(Metadata!B511:F511)</f>
        <v>1</v>
      </c>
      <c r="O511" t="str">
        <v/>
      </c>
      <c r="Q511" t="b">
        <f ca="1"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R511" t="b">
        <f>IF(Metadata!C511="",FALSE,TRUE)</f>
        <v>0</v>
      </c>
      <c r="S511" t="b">
        <f>OR(AND(IF(Metadata!D511="",FALSE,TRUE),EXACT(Metadata!D511,"missing: not collected")),AND(IF(Metadata!D511="",FALSE,TRUE),OR(EXACT(Metadata!D511,"t"),EXACT(Metadata!D511,"f"))))</f>
        <v>0</v>
      </c>
      <c r="T511" t="b">
        <f>AND(IF(Metadata!E511="",FALSE,TRUE),OR(EXACT(Metadata!E511,"a"),EXACT(Metadata!E511,"b")))</f>
        <v>0</v>
      </c>
      <c r="U511" t="b">
        <f>OR(AND(IF(Metadata!F511="",FALSE,TRUE),OR(EXACT(Metadata!F511,"missing: not collected"),EXACT(Metadata!F511,"missing: not provided"))),AND(IF(Metadata!F511="",FALSE,TRUE),OR(EXACT(Metadata!F511,"lo"),EXACT(Metadata!F511,"med"),EXACT(Metadata!F511,"hi"))))</f>
        <v>0</v>
      </c>
    </row>
    <row r="512" spans="1:21" x14ac:dyDescent="0.2">
      <c r="A512" s="4" t="str">
        <f ca="1">IF(B512=" "," ",HYPERLINK(CONCATENATE("#metadata!",ADDRESS(INDEX($L$2:$L$1001,MATCH(ROWS($J$2:J512),$J$2:$J$1001,0),0),1)),INDEX($O$2:$O$1001,MATCH(ROWS($J$2:J512),$J$2:$J$1001,0),0)))</f>
        <v xml:space="preserve"> </v>
      </c>
      <c r="B512" s="3" t="str">
        <f ca="1">IF(OR(INDEX($K$2:$K$1001,MATCH(ROWS($J$2:J512),$J$2:$J$1001,0),1)&gt;=100000,INDEX($Q$1005:$U$1005,1,MATCH(COLUMNS($Q$1006:Q1006),$Q$1006:$U$1006,0))&gt;=100000), " ",IF(INDEX($Q$2:$U$1001,MATCH(ROWS($J$2:J512),$J$2:$J$1001,0),MATCH(COLUMNS($Q$1006:Q1006),$Q$1006:$U$1006,0)), HYPERLINK("#",""), HYPERLINK(CONCATENATE("#Metadata!", ADDRESS(INDEX($L$2:$L$1001,MATCH(ROWS($J$2:J512),$J$2:$J$1001,0),0), INDEX($Q$1004:$U$1004,1,MATCH(COLUMNS($Q$1006:Q1006),$Q$1006:$U$1006,0)))),"Fix")))</f>
        <v xml:space="preserve"> </v>
      </c>
      <c r="C512" s="3" t="str">
        <f ca="1">IF(OR(INDEX($K$2:$K$1001,MATCH(ROWS($J$2:J512),$J$2:$J$1001,0),1)&gt;=100000,INDEX($Q$1005:$U$1005,1,MATCH(COLUMNS($Q$1006:R1006),$Q$1006:$U$1006,0))&gt;=100000), " ",IF(INDEX($Q$2:$U$1001,MATCH(ROWS($J$2:J512),$J$2:$J$1001,0),MATCH(COLUMNS($Q$1006:R1006),$Q$1006:$U$1006,0)), HYPERLINK("#",""), HYPERLINK(CONCATENATE("#Metadata!", ADDRESS(INDEX($L$2:$L$1001,MATCH(ROWS($J$2:J512),$J$2:$J$1001,0),0), INDEX($Q$1004:$U$1004,1,MATCH(COLUMNS($Q$1006:R1006),$Q$1006:$U$1006,0)))),"Fix")))</f>
        <v xml:space="preserve"> </v>
      </c>
      <c r="D512" s="3" t="str">
        <f ca="1">IF(OR(INDEX($K$2:$K$1001,MATCH(ROWS($J$2:J512),$J$2:$J$1001,0),1)&gt;=100000,INDEX($Q$1005:$U$1005,1,MATCH(COLUMNS($Q$1006:S1006),$Q$1006:$U$1006,0))&gt;=100000), " ",IF(INDEX($Q$2:$U$1001,MATCH(ROWS($J$2:J512),$J$2:$J$1001,0),MATCH(COLUMNS($Q$1006:S1006),$Q$1006:$U$1006,0)), HYPERLINK("#",""), HYPERLINK(CONCATENATE("#Metadata!", ADDRESS(INDEX($L$2:$L$1001,MATCH(ROWS($J$2:J512),$J$2:$J$1001,0),0), INDEX($Q$1004:$U$1004,1,MATCH(COLUMNS($Q$1006:S1006),$Q$1006:$U$1006,0)))),"Fix")))</f>
        <v xml:space="preserve"> </v>
      </c>
      <c r="E512" s="3" t="str">
        <f ca="1">IF(OR(INDEX($K$2:$K$1001,MATCH(ROWS($J$2:J512),$J$2:$J$1001,0),1)&gt;=100000,INDEX($Q$1005:$U$1005,1,MATCH(COLUMNS($Q$1006:T1006),$Q$1006:$U$1006,0))&gt;=100000), " ",IF(INDEX($Q$2:$U$1001,MATCH(ROWS($J$2:J512),$J$2:$J$1001,0),MATCH(COLUMNS($Q$1006:T1006),$Q$1006:$U$1006,0)), HYPERLINK("#",""), HYPERLINK(CONCATENATE("#Metadata!", ADDRESS(INDEX($L$2:$L$1001,MATCH(ROWS($J$2:J512),$J$2:$J$1001,0),0), INDEX($Q$1004:$U$1004,1,MATCH(COLUMNS($Q$1006:T1006),$Q$1006:$U$1006,0)))),"Fix")))</f>
        <v xml:space="preserve"> </v>
      </c>
      <c r="F512" s="3" t="str">
        <f ca="1">IF(OR(INDEX($K$2:$K$1001,MATCH(ROWS($J$2:J512),$J$2:$J$1001,0),1)&gt;=100000,INDEX($Q$1005:$U$1005,1,MATCH(COLUMNS($Q$1006:U1006),$Q$1006:$U$1006,0))&gt;=100000), " ",IF(INDEX($Q$2:$U$1001,MATCH(ROWS($J$2:J512),$J$2:$J$1001,0),MATCH(COLUMNS($Q$1006:U1006),$Q$1006:$U$1006,0)), HYPERLINK("#",""), HYPERLINK(CONCATENATE("#Metadata!", ADDRESS(INDEX($L$2:$L$1001,MATCH(ROWS($J$2:J512),$J$2:$J$1001,0),0), INDEX($Q$1004:$U$1004,1,MATCH(COLUMNS($Q$1006:U1006),$Q$1006:$U$1006,0)))),"Fix")))</f>
        <v xml:space="preserve"> </v>
      </c>
      <c r="J512">
        <f ca="1"/>
        <v>511</v>
      </c>
      <c r="K512">
        <v>100512</v>
      </c>
      <c r="L512">
        <v>512</v>
      </c>
      <c r="M512" t="b">
        <f t="shared" si="7"/>
        <v>1</v>
      </c>
      <c r="N512" t="b">
        <f>COUNTBLANK(Metadata!B512:F512)=COLUMNS(Metadata!B512:F512)</f>
        <v>1</v>
      </c>
      <c r="O512" t="str">
        <v/>
      </c>
      <c r="Q512" t="b">
        <f ca="1"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R512" t="b">
        <f>IF(Metadata!C512="",FALSE,TRUE)</f>
        <v>0</v>
      </c>
      <c r="S512" t="b">
        <f>OR(AND(IF(Metadata!D512="",FALSE,TRUE),EXACT(Metadata!D512,"missing: not collected")),AND(IF(Metadata!D512="",FALSE,TRUE),OR(EXACT(Metadata!D512,"t"),EXACT(Metadata!D512,"f"))))</f>
        <v>0</v>
      </c>
      <c r="T512" t="b">
        <f>AND(IF(Metadata!E512="",FALSE,TRUE),OR(EXACT(Metadata!E512,"a"),EXACT(Metadata!E512,"b")))</f>
        <v>0</v>
      </c>
      <c r="U512" t="b">
        <f>OR(AND(IF(Metadata!F512="",FALSE,TRUE),OR(EXACT(Metadata!F512,"missing: not collected"),EXACT(Metadata!F512,"missing: not provided"))),AND(IF(Metadata!F512="",FALSE,TRUE),OR(EXACT(Metadata!F512,"lo"),EXACT(Metadata!F512,"med"),EXACT(Metadata!F512,"hi"))))</f>
        <v>0</v>
      </c>
    </row>
    <row r="513" spans="1:21" x14ac:dyDescent="0.2">
      <c r="A513" s="4" t="str">
        <f ca="1">IF(B513=" "," ",HYPERLINK(CONCATENATE("#metadata!",ADDRESS(INDEX($L$2:$L$1001,MATCH(ROWS($J$2:J513),$J$2:$J$1001,0),0),1)),INDEX($O$2:$O$1001,MATCH(ROWS($J$2:J513),$J$2:$J$1001,0),0)))</f>
        <v xml:space="preserve"> </v>
      </c>
      <c r="B513" s="3" t="str">
        <f ca="1">IF(OR(INDEX($K$2:$K$1001,MATCH(ROWS($J$2:J513),$J$2:$J$1001,0),1)&gt;=100000,INDEX($Q$1005:$U$1005,1,MATCH(COLUMNS($Q$1006:Q1006),$Q$1006:$U$1006,0))&gt;=100000), " ",IF(INDEX($Q$2:$U$1001,MATCH(ROWS($J$2:J513),$J$2:$J$1001,0),MATCH(COLUMNS($Q$1006:Q1006),$Q$1006:$U$1006,0)), HYPERLINK("#",""), HYPERLINK(CONCATENATE("#Metadata!", ADDRESS(INDEX($L$2:$L$1001,MATCH(ROWS($J$2:J513),$J$2:$J$1001,0),0), INDEX($Q$1004:$U$1004,1,MATCH(COLUMNS($Q$1006:Q1006),$Q$1006:$U$1006,0)))),"Fix")))</f>
        <v xml:space="preserve"> </v>
      </c>
      <c r="C513" s="3" t="str">
        <f ca="1">IF(OR(INDEX($K$2:$K$1001,MATCH(ROWS($J$2:J513),$J$2:$J$1001,0),1)&gt;=100000,INDEX($Q$1005:$U$1005,1,MATCH(COLUMNS($Q$1006:R1006),$Q$1006:$U$1006,0))&gt;=100000), " ",IF(INDEX($Q$2:$U$1001,MATCH(ROWS($J$2:J513),$J$2:$J$1001,0),MATCH(COLUMNS($Q$1006:R1006),$Q$1006:$U$1006,0)), HYPERLINK("#",""), HYPERLINK(CONCATENATE("#Metadata!", ADDRESS(INDEX($L$2:$L$1001,MATCH(ROWS($J$2:J513),$J$2:$J$1001,0),0), INDEX($Q$1004:$U$1004,1,MATCH(COLUMNS($Q$1006:R1006),$Q$1006:$U$1006,0)))),"Fix")))</f>
        <v xml:space="preserve"> </v>
      </c>
      <c r="D513" s="3" t="str">
        <f ca="1">IF(OR(INDEX($K$2:$K$1001,MATCH(ROWS($J$2:J513),$J$2:$J$1001,0),1)&gt;=100000,INDEX($Q$1005:$U$1005,1,MATCH(COLUMNS($Q$1006:S1006),$Q$1006:$U$1006,0))&gt;=100000), " ",IF(INDEX($Q$2:$U$1001,MATCH(ROWS($J$2:J513),$J$2:$J$1001,0),MATCH(COLUMNS($Q$1006:S1006),$Q$1006:$U$1006,0)), HYPERLINK("#",""), HYPERLINK(CONCATENATE("#Metadata!", ADDRESS(INDEX($L$2:$L$1001,MATCH(ROWS($J$2:J513),$J$2:$J$1001,0),0), INDEX($Q$1004:$U$1004,1,MATCH(COLUMNS($Q$1006:S1006),$Q$1006:$U$1006,0)))),"Fix")))</f>
        <v xml:space="preserve"> </v>
      </c>
      <c r="E513" s="3" t="str">
        <f ca="1">IF(OR(INDEX($K$2:$K$1001,MATCH(ROWS($J$2:J513),$J$2:$J$1001,0),1)&gt;=100000,INDEX($Q$1005:$U$1005,1,MATCH(COLUMNS($Q$1006:T1006),$Q$1006:$U$1006,0))&gt;=100000), " ",IF(INDEX($Q$2:$U$1001,MATCH(ROWS($J$2:J513),$J$2:$J$1001,0),MATCH(COLUMNS($Q$1006:T1006),$Q$1006:$U$1006,0)), HYPERLINK("#",""), HYPERLINK(CONCATENATE("#Metadata!", ADDRESS(INDEX($L$2:$L$1001,MATCH(ROWS($J$2:J513),$J$2:$J$1001,0),0), INDEX($Q$1004:$U$1004,1,MATCH(COLUMNS($Q$1006:T1006),$Q$1006:$U$1006,0)))),"Fix")))</f>
        <v xml:space="preserve"> </v>
      </c>
      <c r="F513" s="3" t="str">
        <f ca="1">IF(OR(INDEX($K$2:$K$1001,MATCH(ROWS($J$2:J513),$J$2:$J$1001,0),1)&gt;=100000,INDEX($Q$1005:$U$1005,1,MATCH(COLUMNS($Q$1006:U1006),$Q$1006:$U$1006,0))&gt;=100000), " ",IF(INDEX($Q$2:$U$1001,MATCH(ROWS($J$2:J513),$J$2:$J$1001,0),MATCH(COLUMNS($Q$1006:U1006),$Q$1006:$U$1006,0)), HYPERLINK("#",""), HYPERLINK(CONCATENATE("#Metadata!", ADDRESS(INDEX($L$2:$L$1001,MATCH(ROWS($J$2:J513),$J$2:$J$1001,0),0), INDEX($Q$1004:$U$1004,1,MATCH(COLUMNS($Q$1006:U1006),$Q$1006:$U$1006,0)))),"Fix")))</f>
        <v xml:space="preserve"> </v>
      </c>
      <c r="J513">
        <f ca="1"/>
        <v>512</v>
      </c>
      <c r="K513">
        <v>100513</v>
      </c>
      <c r="L513">
        <v>513</v>
      </c>
      <c r="M513" t="b">
        <f t="shared" si="7"/>
        <v>1</v>
      </c>
      <c r="N513" t="b">
        <f>COUNTBLANK(Metadata!B513:F513)=COLUMNS(Metadata!B513:F513)</f>
        <v>1</v>
      </c>
      <c r="O513" t="str">
        <v/>
      </c>
      <c r="Q513" t="b">
        <f ca="1"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R513" t="b">
        <f>IF(Metadata!C513="",FALSE,TRUE)</f>
        <v>0</v>
      </c>
      <c r="S513" t="b">
        <f>OR(AND(IF(Metadata!D513="",FALSE,TRUE),EXACT(Metadata!D513,"missing: not collected")),AND(IF(Metadata!D513="",FALSE,TRUE),OR(EXACT(Metadata!D513,"t"),EXACT(Metadata!D513,"f"))))</f>
        <v>0</v>
      </c>
      <c r="T513" t="b">
        <f>AND(IF(Metadata!E513="",FALSE,TRUE),OR(EXACT(Metadata!E513,"a"),EXACT(Metadata!E513,"b")))</f>
        <v>0</v>
      </c>
      <c r="U513" t="b">
        <f>OR(AND(IF(Metadata!F513="",FALSE,TRUE),OR(EXACT(Metadata!F513,"missing: not collected"),EXACT(Metadata!F513,"missing: not provided"))),AND(IF(Metadata!F513="",FALSE,TRUE),OR(EXACT(Metadata!F513,"lo"),EXACT(Metadata!F513,"med"),EXACT(Metadata!F513,"hi"))))</f>
        <v>0</v>
      </c>
    </row>
    <row r="514" spans="1:21" x14ac:dyDescent="0.2">
      <c r="A514" s="4" t="str">
        <f ca="1">IF(B514=" "," ",HYPERLINK(CONCATENATE("#metadata!",ADDRESS(INDEX($L$2:$L$1001,MATCH(ROWS($J$2:J514),$J$2:$J$1001,0),0),1)),INDEX($O$2:$O$1001,MATCH(ROWS($J$2:J514),$J$2:$J$1001,0),0)))</f>
        <v xml:space="preserve"> </v>
      </c>
      <c r="B514" s="3" t="str">
        <f ca="1">IF(OR(INDEX($K$2:$K$1001,MATCH(ROWS($J$2:J514),$J$2:$J$1001,0),1)&gt;=100000,INDEX($Q$1005:$U$1005,1,MATCH(COLUMNS($Q$1006:Q1006),$Q$1006:$U$1006,0))&gt;=100000), " ",IF(INDEX($Q$2:$U$1001,MATCH(ROWS($J$2:J514),$J$2:$J$1001,0),MATCH(COLUMNS($Q$1006:Q1006),$Q$1006:$U$1006,0)), HYPERLINK("#",""), HYPERLINK(CONCATENATE("#Metadata!", ADDRESS(INDEX($L$2:$L$1001,MATCH(ROWS($J$2:J514),$J$2:$J$1001,0),0), INDEX($Q$1004:$U$1004,1,MATCH(COLUMNS($Q$1006:Q1006),$Q$1006:$U$1006,0)))),"Fix")))</f>
        <v xml:space="preserve"> </v>
      </c>
      <c r="C514" s="3" t="str">
        <f ca="1">IF(OR(INDEX($K$2:$K$1001,MATCH(ROWS($J$2:J514),$J$2:$J$1001,0),1)&gt;=100000,INDEX($Q$1005:$U$1005,1,MATCH(COLUMNS($Q$1006:R1006),$Q$1006:$U$1006,0))&gt;=100000), " ",IF(INDEX($Q$2:$U$1001,MATCH(ROWS($J$2:J514),$J$2:$J$1001,0),MATCH(COLUMNS($Q$1006:R1006),$Q$1006:$U$1006,0)), HYPERLINK("#",""), HYPERLINK(CONCATENATE("#Metadata!", ADDRESS(INDEX($L$2:$L$1001,MATCH(ROWS($J$2:J514),$J$2:$J$1001,0),0), INDEX($Q$1004:$U$1004,1,MATCH(COLUMNS($Q$1006:R1006),$Q$1006:$U$1006,0)))),"Fix")))</f>
        <v xml:space="preserve"> </v>
      </c>
      <c r="D514" s="3" t="str">
        <f ca="1">IF(OR(INDEX($K$2:$K$1001,MATCH(ROWS($J$2:J514),$J$2:$J$1001,0),1)&gt;=100000,INDEX($Q$1005:$U$1005,1,MATCH(COLUMNS($Q$1006:S1006),$Q$1006:$U$1006,0))&gt;=100000), " ",IF(INDEX($Q$2:$U$1001,MATCH(ROWS($J$2:J514),$J$2:$J$1001,0),MATCH(COLUMNS($Q$1006:S1006),$Q$1006:$U$1006,0)), HYPERLINK("#",""), HYPERLINK(CONCATENATE("#Metadata!", ADDRESS(INDEX($L$2:$L$1001,MATCH(ROWS($J$2:J514),$J$2:$J$1001,0),0), INDEX($Q$1004:$U$1004,1,MATCH(COLUMNS($Q$1006:S1006),$Q$1006:$U$1006,0)))),"Fix")))</f>
        <v xml:space="preserve"> </v>
      </c>
      <c r="E514" s="3" t="str">
        <f ca="1">IF(OR(INDEX($K$2:$K$1001,MATCH(ROWS($J$2:J514),$J$2:$J$1001,0),1)&gt;=100000,INDEX($Q$1005:$U$1005,1,MATCH(COLUMNS($Q$1006:T1006),$Q$1006:$U$1006,0))&gt;=100000), " ",IF(INDEX($Q$2:$U$1001,MATCH(ROWS($J$2:J514),$J$2:$J$1001,0),MATCH(COLUMNS($Q$1006:T1006),$Q$1006:$U$1006,0)), HYPERLINK("#",""), HYPERLINK(CONCATENATE("#Metadata!", ADDRESS(INDEX($L$2:$L$1001,MATCH(ROWS($J$2:J514),$J$2:$J$1001,0),0), INDEX($Q$1004:$U$1004,1,MATCH(COLUMNS($Q$1006:T1006),$Q$1006:$U$1006,0)))),"Fix")))</f>
        <v xml:space="preserve"> </v>
      </c>
      <c r="F514" s="3" t="str">
        <f ca="1">IF(OR(INDEX($K$2:$K$1001,MATCH(ROWS($J$2:J514),$J$2:$J$1001,0),1)&gt;=100000,INDEX($Q$1005:$U$1005,1,MATCH(COLUMNS($Q$1006:U1006),$Q$1006:$U$1006,0))&gt;=100000), " ",IF(INDEX($Q$2:$U$1001,MATCH(ROWS($J$2:J514),$J$2:$J$1001,0),MATCH(COLUMNS($Q$1006:U1006),$Q$1006:$U$1006,0)), HYPERLINK("#",""), HYPERLINK(CONCATENATE("#Metadata!", ADDRESS(INDEX($L$2:$L$1001,MATCH(ROWS($J$2:J514),$J$2:$J$1001,0),0), INDEX($Q$1004:$U$1004,1,MATCH(COLUMNS($Q$1006:U1006),$Q$1006:$U$1006,0)))),"Fix")))</f>
        <v xml:space="preserve"> </v>
      </c>
      <c r="J514">
        <f ca="1"/>
        <v>513</v>
      </c>
      <c r="K514">
        <v>100514</v>
      </c>
      <c r="L514">
        <v>514</v>
      </c>
      <c r="M514" t="b">
        <f t="shared" ref="M514:M577" si="8">IF(N514,TRUE,AND(Q514:U514))</f>
        <v>1</v>
      </c>
      <c r="N514" t="b">
        <f>COUNTBLANK(Metadata!B514:F514)=COLUMNS(Metadata!B514:F514)</f>
        <v>1</v>
      </c>
      <c r="O514" t="str">
        <v/>
      </c>
      <c r="Q514" t="b">
        <f ca="1"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R514" t="b">
        <f>IF(Metadata!C514="",FALSE,TRUE)</f>
        <v>0</v>
      </c>
      <c r="S514" t="b">
        <f>OR(AND(IF(Metadata!D514="",FALSE,TRUE),EXACT(Metadata!D514,"missing: not collected")),AND(IF(Metadata!D514="",FALSE,TRUE),OR(EXACT(Metadata!D514,"t"),EXACT(Metadata!D514,"f"))))</f>
        <v>0</v>
      </c>
      <c r="T514" t="b">
        <f>AND(IF(Metadata!E514="",FALSE,TRUE),OR(EXACT(Metadata!E514,"a"),EXACT(Metadata!E514,"b")))</f>
        <v>0</v>
      </c>
      <c r="U514" t="b">
        <f>OR(AND(IF(Metadata!F514="",FALSE,TRUE),OR(EXACT(Metadata!F514,"missing: not collected"),EXACT(Metadata!F514,"missing: not provided"))),AND(IF(Metadata!F514="",FALSE,TRUE),OR(EXACT(Metadata!F514,"lo"),EXACT(Metadata!F514,"med"),EXACT(Metadata!F514,"hi"))))</f>
        <v>0</v>
      </c>
    </row>
    <row r="515" spans="1:21" x14ac:dyDescent="0.2">
      <c r="A515" s="4" t="str">
        <f ca="1">IF(B515=" "," ",HYPERLINK(CONCATENATE("#metadata!",ADDRESS(INDEX($L$2:$L$1001,MATCH(ROWS($J$2:J515),$J$2:$J$1001,0),0),1)),INDEX($O$2:$O$1001,MATCH(ROWS($J$2:J515),$J$2:$J$1001,0),0)))</f>
        <v xml:space="preserve"> </v>
      </c>
      <c r="B515" s="3" t="str">
        <f ca="1">IF(OR(INDEX($K$2:$K$1001,MATCH(ROWS($J$2:J515),$J$2:$J$1001,0),1)&gt;=100000,INDEX($Q$1005:$U$1005,1,MATCH(COLUMNS($Q$1006:Q1006),$Q$1006:$U$1006,0))&gt;=100000), " ",IF(INDEX($Q$2:$U$1001,MATCH(ROWS($J$2:J515),$J$2:$J$1001,0),MATCH(COLUMNS($Q$1006:Q1006),$Q$1006:$U$1006,0)), HYPERLINK("#",""), HYPERLINK(CONCATENATE("#Metadata!", ADDRESS(INDEX($L$2:$L$1001,MATCH(ROWS($J$2:J515),$J$2:$J$1001,0),0), INDEX($Q$1004:$U$1004,1,MATCH(COLUMNS($Q$1006:Q1006),$Q$1006:$U$1006,0)))),"Fix")))</f>
        <v xml:space="preserve"> </v>
      </c>
      <c r="C515" s="3" t="str">
        <f ca="1">IF(OR(INDEX($K$2:$K$1001,MATCH(ROWS($J$2:J515),$J$2:$J$1001,0),1)&gt;=100000,INDEX($Q$1005:$U$1005,1,MATCH(COLUMNS($Q$1006:R1006),$Q$1006:$U$1006,0))&gt;=100000), " ",IF(INDEX($Q$2:$U$1001,MATCH(ROWS($J$2:J515),$J$2:$J$1001,0),MATCH(COLUMNS($Q$1006:R1006),$Q$1006:$U$1006,0)), HYPERLINK("#",""), HYPERLINK(CONCATENATE("#Metadata!", ADDRESS(INDEX($L$2:$L$1001,MATCH(ROWS($J$2:J515),$J$2:$J$1001,0),0), INDEX($Q$1004:$U$1004,1,MATCH(COLUMNS($Q$1006:R1006),$Q$1006:$U$1006,0)))),"Fix")))</f>
        <v xml:space="preserve"> </v>
      </c>
      <c r="D515" s="3" t="str">
        <f ca="1">IF(OR(INDEX($K$2:$K$1001,MATCH(ROWS($J$2:J515),$J$2:$J$1001,0),1)&gt;=100000,INDEX($Q$1005:$U$1005,1,MATCH(COLUMNS($Q$1006:S1006),$Q$1006:$U$1006,0))&gt;=100000), " ",IF(INDEX($Q$2:$U$1001,MATCH(ROWS($J$2:J515),$J$2:$J$1001,0),MATCH(COLUMNS($Q$1006:S1006),$Q$1006:$U$1006,0)), HYPERLINK("#",""), HYPERLINK(CONCATENATE("#Metadata!", ADDRESS(INDEX($L$2:$L$1001,MATCH(ROWS($J$2:J515),$J$2:$J$1001,0),0), INDEX($Q$1004:$U$1004,1,MATCH(COLUMNS($Q$1006:S1006),$Q$1006:$U$1006,0)))),"Fix")))</f>
        <v xml:space="preserve"> </v>
      </c>
      <c r="E515" s="3" t="str">
        <f ca="1">IF(OR(INDEX($K$2:$K$1001,MATCH(ROWS($J$2:J515),$J$2:$J$1001,0),1)&gt;=100000,INDEX($Q$1005:$U$1005,1,MATCH(COLUMNS($Q$1006:T1006),$Q$1006:$U$1006,0))&gt;=100000), " ",IF(INDEX($Q$2:$U$1001,MATCH(ROWS($J$2:J515),$J$2:$J$1001,0),MATCH(COLUMNS($Q$1006:T1006),$Q$1006:$U$1006,0)), HYPERLINK("#",""), HYPERLINK(CONCATENATE("#Metadata!", ADDRESS(INDEX($L$2:$L$1001,MATCH(ROWS($J$2:J515),$J$2:$J$1001,0),0), INDEX($Q$1004:$U$1004,1,MATCH(COLUMNS($Q$1006:T1006),$Q$1006:$U$1006,0)))),"Fix")))</f>
        <v xml:space="preserve"> </v>
      </c>
      <c r="F515" s="3" t="str">
        <f ca="1">IF(OR(INDEX($K$2:$K$1001,MATCH(ROWS($J$2:J515),$J$2:$J$1001,0),1)&gt;=100000,INDEX($Q$1005:$U$1005,1,MATCH(COLUMNS($Q$1006:U1006),$Q$1006:$U$1006,0))&gt;=100000), " ",IF(INDEX($Q$2:$U$1001,MATCH(ROWS($J$2:J515),$J$2:$J$1001,0),MATCH(COLUMNS($Q$1006:U1006),$Q$1006:$U$1006,0)), HYPERLINK("#",""), HYPERLINK(CONCATENATE("#Metadata!", ADDRESS(INDEX($L$2:$L$1001,MATCH(ROWS($J$2:J515),$J$2:$J$1001,0),0), INDEX($Q$1004:$U$1004,1,MATCH(COLUMNS($Q$1006:U1006),$Q$1006:$U$1006,0)))),"Fix")))</f>
        <v xml:space="preserve"> </v>
      </c>
      <c r="J515">
        <f ca="1"/>
        <v>514</v>
      </c>
      <c r="K515">
        <v>100515</v>
      </c>
      <c r="L515">
        <v>515</v>
      </c>
      <c r="M515" t="b">
        <f t="shared" si="8"/>
        <v>1</v>
      </c>
      <c r="N515" t="b">
        <f>COUNTBLANK(Metadata!B515:F515)=COLUMNS(Metadata!B515:F515)</f>
        <v>1</v>
      </c>
      <c r="O515" t="str">
        <v/>
      </c>
      <c r="Q515" t="b">
        <f ca="1"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R515" t="b">
        <f>IF(Metadata!C515="",FALSE,TRUE)</f>
        <v>0</v>
      </c>
      <c r="S515" t="b">
        <f>OR(AND(IF(Metadata!D515="",FALSE,TRUE),EXACT(Metadata!D515,"missing: not collected")),AND(IF(Metadata!D515="",FALSE,TRUE),OR(EXACT(Metadata!D515,"t"),EXACT(Metadata!D515,"f"))))</f>
        <v>0</v>
      </c>
      <c r="T515" t="b">
        <f>AND(IF(Metadata!E515="",FALSE,TRUE),OR(EXACT(Metadata!E515,"a"),EXACT(Metadata!E515,"b")))</f>
        <v>0</v>
      </c>
      <c r="U515" t="b">
        <f>OR(AND(IF(Metadata!F515="",FALSE,TRUE),OR(EXACT(Metadata!F515,"missing: not collected"),EXACT(Metadata!F515,"missing: not provided"))),AND(IF(Metadata!F515="",FALSE,TRUE),OR(EXACT(Metadata!F515,"lo"),EXACT(Metadata!F515,"med"),EXACT(Metadata!F515,"hi"))))</f>
        <v>0</v>
      </c>
    </row>
    <row r="516" spans="1:21" x14ac:dyDescent="0.2">
      <c r="A516" s="4" t="str">
        <f ca="1">IF(B516=" "," ",HYPERLINK(CONCATENATE("#metadata!",ADDRESS(INDEX($L$2:$L$1001,MATCH(ROWS($J$2:J516),$J$2:$J$1001,0),0),1)),INDEX($O$2:$O$1001,MATCH(ROWS($J$2:J516),$J$2:$J$1001,0),0)))</f>
        <v xml:space="preserve"> </v>
      </c>
      <c r="B516" s="3" t="str">
        <f ca="1">IF(OR(INDEX($K$2:$K$1001,MATCH(ROWS($J$2:J516),$J$2:$J$1001,0),1)&gt;=100000,INDEX($Q$1005:$U$1005,1,MATCH(COLUMNS($Q$1006:Q1006),$Q$1006:$U$1006,0))&gt;=100000), " ",IF(INDEX($Q$2:$U$1001,MATCH(ROWS($J$2:J516),$J$2:$J$1001,0),MATCH(COLUMNS($Q$1006:Q1006),$Q$1006:$U$1006,0)), HYPERLINK("#",""), HYPERLINK(CONCATENATE("#Metadata!", ADDRESS(INDEX($L$2:$L$1001,MATCH(ROWS($J$2:J516),$J$2:$J$1001,0),0), INDEX($Q$1004:$U$1004,1,MATCH(COLUMNS($Q$1006:Q1006),$Q$1006:$U$1006,0)))),"Fix")))</f>
        <v xml:space="preserve"> </v>
      </c>
      <c r="C516" s="3" t="str">
        <f ca="1">IF(OR(INDEX($K$2:$K$1001,MATCH(ROWS($J$2:J516),$J$2:$J$1001,0),1)&gt;=100000,INDEX($Q$1005:$U$1005,1,MATCH(COLUMNS($Q$1006:R1006),$Q$1006:$U$1006,0))&gt;=100000), " ",IF(INDEX($Q$2:$U$1001,MATCH(ROWS($J$2:J516),$J$2:$J$1001,0),MATCH(COLUMNS($Q$1006:R1006),$Q$1006:$U$1006,0)), HYPERLINK("#",""), HYPERLINK(CONCATENATE("#Metadata!", ADDRESS(INDEX($L$2:$L$1001,MATCH(ROWS($J$2:J516),$J$2:$J$1001,0),0), INDEX($Q$1004:$U$1004,1,MATCH(COLUMNS($Q$1006:R1006),$Q$1006:$U$1006,0)))),"Fix")))</f>
        <v xml:space="preserve"> </v>
      </c>
      <c r="D516" s="3" t="str">
        <f ca="1">IF(OR(INDEX($K$2:$K$1001,MATCH(ROWS($J$2:J516),$J$2:$J$1001,0),1)&gt;=100000,INDEX($Q$1005:$U$1005,1,MATCH(COLUMNS($Q$1006:S1006),$Q$1006:$U$1006,0))&gt;=100000), " ",IF(INDEX($Q$2:$U$1001,MATCH(ROWS($J$2:J516),$J$2:$J$1001,0),MATCH(COLUMNS($Q$1006:S1006),$Q$1006:$U$1006,0)), HYPERLINK("#",""), HYPERLINK(CONCATENATE("#Metadata!", ADDRESS(INDEX($L$2:$L$1001,MATCH(ROWS($J$2:J516),$J$2:$J$1001,0),0), INDEX($Q$1004:$U$1004,1,MATCH(COLUMNS($Q$1006:S1006),$Q$1006:$U$1006,0)))),"Fix")))</f>
        <v xml:space="preserve"> </v>
      </c>
      <c r="E516" s="3" t="str">
        <f ca="1">IF(OR(INDEX($K$2:$K$1001,MATCH(ROWS($J$2:J516),$J$2:$J$1001,0),1)&gt;=100000,INDEX($Q$1005:$U$1005,1,MATCH(COLUMNS($Q$1006:T1006),$Q$1006:$U$1006,0))&gt;=100000), " ",IF(INDEX($Q$2:$U$1001,MATCH(ROWS($J$2:J516),$J$2:$J$1001,0),MATCH(COLUMNS($Q$1006:T1006),$Q$1006:$U$1006,0)), HYPERLINK("#",""), HYPERLINK(CONCATENATE("#Metadata!", ADDRESS(INDEX($L$2:$L$1001,MATCH(ROWS($J$2:J516),$J$2:$J$1001,0),0), INDEX($Q$1004:$U$1004,1,MATCH(COLUMNS($Q$1006:T1006),$Q$1006:$U$1006,0)))),"Fix")))</f>
        <v xml:space="preserve"> </v>
      </c>
      <c r="F516" s="3" t="str">
        <f ca="1">IF(OR(INDEX($K$2:$K$1001,MATCH(ROWS($J$2:J516),$J$2:$J$1001,0),1)&gt;=100000,INDEX($Q$1005:$U$1005,1,MATCH(COLUMNS($Q$1006:U1006),$Q$1006:$U$1006,0))&gt;=100000), " ",IF(INDEX($Q$2:$U$1001,MATCH(ROWS($J$2:J516),$J$2:$J$1001,0),MATCH(COLUMNS($Q$1006:U1006),$Q$1006:$U$1006,0)), HYPERLINK("#",""), HYPERLINK(CONCATENATE("#Metadata!", ADDRESS(INDEX($L$2:$L$1001,MATCH(ROWS($J$2:J516),$J$2:$J$1001,0),0), INDEX($Q$1004:$U$1004,1,MATCH(COLUMNS($Q$1006:U1006),$Q$1006:$U$1006,0)))),"Fix")))</f>
        <v xml:space="preserve"> </v>
      </c>
      <c r="J516">
        <f ca="1"/>
        <v>515</v>
      </c>
      <c r="K516">
        <v>100516</v>
      </c>
      <c r="L516">
        <v>516</v>
      </c>
      <c r="M516" t="b">
        <f t="shared" si="8"/>
        <v>1</v>
      </c>
      <c r="N516" t="b">
        <f>COUNTBLANK(Metadata!B516:F516)=COLUMNS(Metadata!B516:F516)</f>
        <v>1</v>
      </c>
      <c r="O516" t="str">
        <v/>
      </c>
      <c r="Q516" t="b">
        <f ca="1"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R516" t="b">
        <f>IF(Metadata!C516="",FALSE,TRUE)</f>
        <v>0</v>
      </c>
      <c r="S516" t="b">
        <f>OR(AND(IF(Metadata!D516="",FALSE,TRUE),EXACT(Metadata!D516,"missing: not collected")),AND(IF(Metadata!D516="",FALSE,TRUE),OR(EXACT(Metadata!D516,"t"),EXACT(Metadata!D516,"f"))))</f>
        <v>0</v>
      </c>
      <c r="T516" t="b">
        <f>AND(IF(Metadata!E516="",FALSE,TRUE),OR(EXACT(Metadata!E516,"a"),EXACT(Metadata!E516,"b")))</f>
        <v>0</v>
      </c>
      <c r="U516" t="b">
        <f>OR(AND(IF(Metadata!F516="",FALSE,TRUE),OR(EXACT(Metadata!F516,"missing: not collected"),EXACT(Metadata!F516,"missing: not provided"))),AND(IF(Metadata!F516="",FALSE,TRUE),OR(EXACT(Metadata!F516,"lo"),EXACT(Metadata!F516,"med"),EXACT(Metadata!F516,"hi"))))</f>
        <v>0</v>
      </c>
    </row>
    <row r="517" spans="1:21" x14ac:dyDescent="0.2">
      <c r="A517" s="4" t="str">
        <f ca="1">IF(B517=" "," ",HYPERLINK(CONCATENATE("#metadata!",ADDRESS(INDEX($L$2:$L$1001,MATCH(ROWS($J$2:J517),$J$2:$J$1001,0),0),1)),INDEX($O$2:$O$1001,MATCH(ROWS($J$2:J517),$J$2:$J$1001,0),0)))</f>
        <v xml:space="preserve"> </v>
      </c>
      <c r="B517" s="3" t="str">
        <f ca="1">IF(OR(INDEX($K$2:$K$1001,MATCH(ROWS($J$2:J517),$J$2:$J$1001,0),1)&gt;=100000,INDEX($Q$1005:$U$1005,1,MATCH(COLUMNS($Q$1006:Q1006),$Q$1006:$U$1006,0))&gt;=100000), " ",IF(INDEX($Q$2:$U$1001,MATCH(ROWS($J$2:J517),$J$2:$J$1001,0),MATCH(COLUMNS($Q$1006:Q1006),$Q$1006:$U$1006,0)), HYPERLINK("#",""), HYPERLINK(CONCATENATE("#Metadata!", ADDRESS(INDEX($L$2:$L$1001,MATCH(ROWS($J$2:J517),$J$2:$J$1001,0),0), INDEX($Q$1004:$U$1004,1,MATCH(COLUMNS($Q$1006:Q1006),$Q$1006:$U$1006,0)))),"Fix")))</f>
        <v xml:space="preserve"> </v>
      </c>
      <c r="C517" s="3" t="str">
        <f ca="1">IF(OR(INDEX($K$2:$K$1001,MATCH(ROWS($J$2:J517),$J$2:$J$1001,0),1)&gt;=100000,INDEX($Q$1005:$U$1005,1,MATCH(COLUMNS($Q$1006:R1006),$Q$1006:$U$1006,0))&gt;=100000), " ",IF(INDEX($Q$2:$U$1001,MATCH(ROWS($J$2:J517),$J$2:$J$1001,0),MATCH(COLUMNS($Q$1006:R1006),$Q$1006:$U$1006,0)), HYPERLINK("#",""), HYPERLINK(CONCATENATE("#Metadata!", ADDRESS(INDEX($L$2:$L$1001,MATCH(ROWS($J$2:J517),$J$2:$J$1001,0),0), INDEX($Q$1004:$U$1004,1,MATCH(COLUMNS($Q$1006:R1006),$Q$1006:$U$1006,0)))),"Fix")))</f>
        <v xml:space="preserve"> </v>
      </c>
      <c r="D517" s="3" t="str">
        <f ca="1">IF(OR(INDEX($K$2:$K$1001,MATCH(ROWS($J$2:J517),$J$2:$J$1001,0),1)&gt;=100000,INDEX($Q$1005:$U$1005,1,MATCH(COLUMNS($Q$1006:S1006),$Q$1006:$U$1006,0))&gt;=100000), " ",IF(INDEX($Q$2:$U$1001,MATCH(ROWS($J$2:J517),$J$2:$J$1001,0),MATCH(COLUMNS($Q$1006:S1006),$Q$1006:$U$1006,0)), HYPERLINK("#",""), HYPERLINK(CONCATENATE("#Metadata!", ADDRESS(INDEX($L$2:$L$1001,MATCH(ROWS($J$2:J517),$J$2:$J$1001,0),0), INDEX($Q$1004:$U$1004,1,MATCH(COLUMNS($Q$1006:S1006),$Q$1006:$U$1006,0)))),"Fix")))</f>
        <v xml:space="preserve"> </v>
      </c>
      <c r="E517" s="3" t="str">
        <f ca="1">IF(OR(INDEX($K$2:$K$1001,MATCH(ROWS($J$2:J517),$J$2:$J$1001,0),1)&gt;=100000,INDEX($Q$1005:$U$1005,1,MATCH(COLUMNS($Q$1006:T1006),$Q$1006:$U$1006,0))&gt;=100000), " ",IF(INDEX($Q$2:$U$1001,MATCH(ROWS($J$2:J517),$J$2:$J$1001,0),MATCH(COLUMNS($Q$1006:T1006),$Q$1006:$U$1006,0)), HYPERLINK("#",""), HYPERLINK(CONCATENATE("#Metadata!", ADDRESS(INDEX($L$2:$L$1001,MATCH(ROWS($J$2:J517),$J$2:$J$1001,0),0), INDEX($Q$1004:$U$1004,1,MATCH(COLUMNS($Q$1006:T1006),$Q$1006:$U$1006,0)))),"Fix")))</f>
        <v xml:space="preserve"> </v>
      </c>
      <c r="F517" s="3" t="str">
        <f ca="1">IF(OR(INDEX($K$2:$K$1001,MATCH(ROWS($J$2:J517),$J$2:$J$1001,0),1)&gt;=100000,INDEX($Q$1005:$U$1005,1,MATCH(COLUMNS($Q$1006:U1006),$Q$1006:$U$1006,0))&gt;=100000), " ",IF(INDEX($Q$2:$U$1001,MATCH(ROWS($J$2:J517),$J$2:$J$1001,0),MATCH(COLUMNS($Q$1006:U1006),$Q$1006:$U$1006,0)), HYPERLINK("#",""), HYPERLINK(CONCATENATE("#Metadata!", ADDRESS(INDEX($L$2:$L$1001,MATCH(ROWS($J$2:J517),$J$2:$J$1001,0),0), INDEX($Q$1004:$U$1004,1,MATCH(COLUMNS($Q$1006:U1006),$Q$1006:$U$1006,0)))),"Fix")))</f>
        <v xml:space="preserve"> </v>
      </c>
      <c r="J517">
        <f ca="1"/>
        <v>516</v>
      </c>
      <c r="K517">
        <v>100517</v>
      </c>
      <c r="L517">
        <v>517</v>
      </c>
      <c r="M517" t="b">
        <f t="shared" si="8"/>
        <v>1</v>
      </c>
      <c r="N517" t="b">
        <f>COUNTBLANK(Metadata!B517:F517)=COLUMNS(Metadata!B517:F517)</f>
        <v>1</v>
      </c>
      <c r="O517" t="str">
        <v/>
      </c>
      <c r="Q517" t="b">
        <f ca="1"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R517" t="b">
        <f>IF(Metadata!C517="",FALSE,TRUE)</f>
        <v>0</v>
      </c>
      <c r="S517" t="b">
        <f>OR(AND(IF(Metadata!D517="",FALSE,TRUE),EXACT(Metadata!D517,"missing: not collected")),AND(IF(Metadata!D517="",FALSE,TRUE),OR(EXACT(Metadata!D517,"t"),EXACT(Metadata!D517,"f"))))</f>
        <v>0</v>
      </c>
      <c r="T517" t="b">
        <f>AND(IF(Metadata!E517="",FALSE,TRUE),OR(EXACT(Metadata!E517,"a"),EXACT(Metadata!E517,"b")))</f>
        <v>0</v>
      </c>
      <c r="U517" t="b">
        <f>OR(AND(IF(Metadata!F517="",FALSE,TRUE),OR(EXACT(Metadata!F517,"missing: not collected"),EXACT(Metadata!F517,"missing: not provided"))),AND(IF(Metadata!F517="",FALSE,TRUE),OR(EXACT(Metadata!F517,"lo"),EXACT(Metadata!F517,"med"),EXACT(Metadata!F517,"hi"))))</f>
        <v>0</v>
      </c>
    </row>
    <row r="518" spans="1:21" x14ac:dyDescent="0.2">
      <c r="A518" s="4" t="str">
        <f ca="1">IF(B518=" "," ",HYPERLINK(CONCATENATE("#metadata!",ADDRESS(INDEX($L$2:$L$1001,MATCH(ROWS($J$2:J518),$J$2:$J$1001,0),0),1)),INDEX($O$2:$O$1001,MATCH(ROWS($J$2:J518),$J$2:$J$1001,0),0)))</f>
        <v xml:space="preserve"> </v>
      </c>
      <c r="B518" s="3" t="str">
        <f ca="1">IF(OR(INDEX($K$2:$K$1001,MATCH(ROWS($J$2:J518),$J$2:$J$1001,0),1)&gt;=100000,INDEX($Q$1005:$U$1005,1,MATCH(COLUMNS($Q$1006:Q1006),$Q$1006:$U$1006,0))&gt;=100000), " ",IF(INDEX($Q$2:$U$1001,MATCH(ROWS($J$2:J518),$J$2:$J$1001,0),MATCH(COLUMNS($Q$1006:Q1006),$Q$1006:$U$1006,0)), HYPERLINK("#",""), HYPERLINK(CONCATENATE("#Metadata!", ADDRESS(INDEX($L$2:$L$1001,MATCH(ROWS($J$2:J518),$J$2:$J$1001,0),0), INDEX($Q$1004:$U$1004,1,MATCH(COLUMNS($Q$1006:Q1006),$Q$1006:$U$1006,0)))),"Fix")))</f>
        <v xml:space="preserve"> </v>
      </c>
      <c r="C518" s="3" t="str">
        <f ca="1">IF(OR(INDEX($K$2:$K$1001,MATCH(ROWS($J$2:J518),$J$2:$J$1001,0),1)&gt;=100000,INDEX($Q$1005:$U$1005,1,MATCH(COLUMNS($Q$1006:R1006),$Q$1006:$U$1006,0))&gt;=100000), " ",IF(INDEX($Q$2:$U$1001,MATCH(ROWS($J$2:J518),$J$2:$J$1001,0),MATCH(COLUMNS($Q$1006:R1006),$Q$1006:$U$1006,0)), HYPERLINK("#",""), HYPERLINK(CONCATENATE("#Metadata!", ADDRESS(INDEX($L$2:$L$1001,MATCH(ROWS($J$2:J518),$J$2:$J$1001,0),0), INDEX($Q$1004:$U$1004,1,MATCH(COLUMNS($Q$1006:R1006),$Q$1006:$U$1006,0)))),"Fix")))</f>
        <v xml:space="preserve"> </v>
      </c>
      <c r="D518" s="3" t="str">
        <f ca="1">IF(OR(INDEX($K$2:$K$1001,MATCH(ROWS($J$2:J518),$J$2:$J$1001,0),1)&gt;=100000,INDEX($Q$1005:$U$1005,1,MATCH(COLUMNS($Q$1006:S1006),$Q$1006:$U$1006,0))&gt;=100000), " ",IF(INDEX($Q$2:$U$1001,MATCH(ROWS($J$2:J518),$J$2:$J$1001,0),MATCH(COLUMNS($Q$1006:S1006),$Q$1006:$U$1006,0)), HYPERLINK("#",""), HYPERLINK(CONCATENATE("#Metadata!", ADDRESS(INDEX($L$2:$L$1001,MATCH(ROWS($J$2:J518),$J$2:$J$1001,0),0), INDEX($Q$1004:$U$1004,1,MATCH(COLUMNS($Q$1006:S1006),$Q$1006:$U$1006,0)))),"Fix")))</f>
        <v xml:space="preserve"> </v>
      </c>
      <c r="E518" s="3" t="str">
        <f ca="1">IF(OR(INDEX($K$2:$K$1001,MATCH(ROWS($J$2:J518),$J$2:$J$1001,0),1)&gt;=100000,INDEX($Q$1005:$U$1005,1,MATCH(COLUMNS($Q$1006:T1006),$Q$1006:$U$1006,0))&gt;=100000), " ",IF(INDEX($Q$2:$U$1001,MATCH(ROWS($J$2:J518),$J$2:$J$1001,0),MATCH(COLUMNS($Q$1006:T1006),$Q$1006:$U$1006,0)), HYPERLINK("#",""), HYPERLINK(CONCATENATE("#Metadata!", ADDRESS(INDEX($L$2:$L$1001,MATCH(ROWS($J$2:J518),$J$2:$J$1001,0),0), INDEX($Q$1004:$U$1004,1,MATCH(COLUMNS($Q$1006:T1006),$Q$1006:$U$1006,0)))),"Fix")))</f>
        <v xml:space="preserve"> </v>
      </c>
      <c r="F518" s="3" t="str">
        <f ca="1">IF(OR(INDEX($K$2:$K$1001,MATCH(ROWS($J$2:J518),$J$2:$J$1001,0),1)&gt;=100000,INDEX($Q$1005:$U$1005,1,MATCH(COLUMNS($Q$1006:U1006),$Q$1006:$U$1006,0))&gt;=100000), " ",IF(INDEX($Q$2:$U$1001,MATCH(ROWS($J$2:J518),$J$2:$J$1001,0),MATCH(COLUMNS($Q$1006:U1006),$Q$1006:$U$1006,0)), HYPERLINK("#",""), HYPERLINK(CONCATENATE("#Metadata!", ADDRESS(INDEX($L$2:$L$1001,MATCH(ROWS($J$2:J518),$J$2:$J$1001,0),0), INDEX($Q$1004:$U$1004,1,MATCH(COLUMNS($Q$1006:U1006),$Q$1006:$U$1006,0)))),"Fix")))</f>
        <v xml:space="preserve"> </v>
      </c>
      <c r="J518">
        <f ca="1"/>
        <v>517</v>
      </c>
      <c r="K518">
        <v>100518</v>
      </c>
      <c r="L518">
        <v>518</v>
      </c>
      <c r="M518" t="b">
        <f t="shared" si="8"/>
        <v>1</v>
      </c>
      <c r="N518" t="b">
        <f>COUNTBLANK(Metadata!B518:F518)=COLUMNS(Metadata!B518:F518)</f>
        <v>1</v>
      </c>
      <c r="O518" t="str">
        <v/>
      </c>
      <c r="Q518" t="b">
        <f ca="1"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R518" t="b">
        <f>IF(Metadata!C518="",FALSE,TRUE)</f>
        <v>0</v>
      </c>
      <c r="S518" t="b">
        <f>OR(AND(IF(Metadata!D518="",FALSE,TRUE),EXACT(Metadata!D518,"missing: not collected")),AND(IF(Metadata!D518="",FALSE,TRUE),OR(EXACT(Metadata!D518,"t"),EXACT(Metadata!D518,"f"))))</f>
        <v>0</v>
      </c>
      <c r="T518" t="b">
        <f>AND(IF(Metadata!E518="",FALSE,TRUE),OR(EXACT(Metadata!E518,"a"),EXACT(Metadata!E518,"b")))</f>
        <v>0</v>
      </c>
      <c r="U518" t="b">
        <f>OR(AND(IF(Metadata!F518="",FALSE,TRUE),OR(EXACT(Metadata!F518,"missing: not collected"),EXACT(Metadata!F518,"missing: not provided"))),AND(IF(Metadata!F518="",FALSE,TRUE),OR(EXACT(Metadata!F518,"lo"),EXACT(Metadata!F518,"med"),EXACT(Metadata!F518,"hi"))))</f>
        <v>0</v>
      </c>
    </row>
    <row r="519" spans="1:21" x14ac:dyDescent="0.2">
      <c r="A519" s="4" t="str">
        <f ca="1">IF(B519=" "," ",HYPERLINK(CONCATENATE("#metadata!",ADDRESS(INDEX($L$2:$L$1001,MATCH(ROWS($J$2:J519),$J$2:$J$1001,0),0),1)),INDEX($O$2:$O$1001,MATCH(ROWS($J$2:J519),$J$2:$J$1001,0),0)))</f>
        <v xml:space="preserve"> </v>
      </c>
      <c r="B519" s="3" t="str">
        <f ca="1">IF(OR(INDEX($K$2:$K$1001,MATCH(ROWS($J$2:J519),$J$2:$J$1001,0),1)&gt;=100000,INDEX($Q$1005:$U$1005,1,MATCH(COLUMNS($Q$1006:Q1006),$Q$1006:$U$1006,0))&gt;=100000), " ",IF(INDEX($Q$2:$U$1001,MATCH(ROWS($J$2:J519),$J$2:$J$1001,0),MATCH(COLUMNS($Q$1006:Q1006),$Q$1006:$U$1006,0)), HYPERLINK("#",""), HYPERLINK(CONCATENATE("#Metadata!", ADDRESS(INDEX($L$2:$L$1001,MATCH(ROWS($J$2:J519),$J$2:$J$1001,0),0), INDEX($Q$1004:$U$1004,1,MATCH(COLUMNS($Q$1006:Q1006),$Q$1006:$U$1006,0)))),"Fix")))</f>
        <v xml:space="preserve"> </v>
      </c>
      <c r="C519" s="3" t="str">
        <f ca="1">IF(OR(INDEX($K$2:$K$1001,MATCH(ROWS($J$2:J519),$J$2:$J$1001,0),1)&gt;=100000,INDEX($Q$1005:$U$1005,1,MATCH(COLUMNS($Q$1006:R1006),$Q$1006:$U$1006,0))&gt;=100000), " ",IF(INDEX($Q$2:$U$1001,MATCH(ROWS($J$2:J519),$J$2:$J$1001,0),MATCH(COLUMNS($Q$1006:R1006),$Q$1006:$U$1006,0)), HYPERLINK("#",""), HYPERLINK(CONCATENATE("#Metadata!", ADDRESS(INDEX($L$2:$L$1001,MATCH(ROWS($J$2:J519),$J$2:$J$1001,0),0), INDEX($Q$1004:$U$1004,1,MATCH(COLUMNS($Q$1006:R1006),$Q$1006:$U$1006,0)))),"Fix")))</f>
        <v xml:space="preserve"> </v>
      </c>
      <c r="D519" s="3" t="str">
        <f ca="1">IF(OR(INDEX($K$2:$K$1001,MATCH(ROWS($J$2:J519),$J$2:$J$1001,0),1)&gt;=100000,INDEX($Q$1005:$U$1005,1,MATCH(COLUMNS($Q$1006:S1006),$Q$1006:$U$1006,0))&gt;=100000), " ",IF(INDEX($Q$2:$U$1001,MATCH(ROWS($J$2:J519),$J$2:$J$1001,0),MATCH(COLUMNS($Q$1006:S1006),$Q$1006:$U$1006,0)), HYPERLINK("#",""), HYPERLINK(CONCATENATE("#Metadata!", ADDRESS(INDEX($L$2:$L$1001,MATCH(ROWS($J$2:J519),$J$2:$J$1001,0),0), INDEX($Q$1004:$U$1004,1,MATCH(COLUMNS($Q$1006:S1006),$Q$1006:$U$1006,0)))),"Fix")))</f>
        <v xml:space="preserve"> </v>
      </c>
      <c r="E519" s="3" t="str">
        <f ca="1">IF(OR(INDEX($K$2:$K$1001,MATCH(ROWS($J$2:J519),$J$2:$J$1001,0),1)&gt;=100000,INDEX($Q$1005:$U$1005,1,MATCH(COLUMNS($Q$1006:T1006),$Q$1006:$U$1006,0))&gt;=100000), " ",IF(INDEX($Q$2:$U$1001,MATCH(ROWS($J$2:J519),$J$2:$J$1001,0),MATCH(COLUMNS($Q$1006:T1006),$Q$1006:$U$1006,0)), HYPERLINK("#",""), HYPERLINK(CONCATENATE("#Metadata!", ADDRESS(INDEX($L$2:$L$1001,MATCH(ROWS($J$2:J519),$J$2:$J$1001,0),0), INDEX($Q$1004:$U$1004,1,MATCH(COLUMNS($Q$1006:T1006),$Q$1006:$U$1006,0)))),"Fix")))</f>
        <v xml:space="preserve"> </v>
      </c>
      <c r="F519" s="3" t="str">
        <f ca="1">IF(OR(INDEX($K$2:$K$1001,MATCH(ROWS($J$2:J519),$J$2:$J$1001,0),1)&gt;=100000,INDEX($Q$1005:$U$1005,1,MATCH(COLUMNS($Q$1006:U1006),$Q$1006:$U$1006,0))&gt;=100000), " ",IF(INDEX($Q$2:$U$1001,MATCH(ROWS($J$2:J519),$J$2:$J$1001,0),MATCH(COLUMNS($Q$1006:U1006),$Q$1006:$U$1006,0)), HYPERLINK("#",""), HYPERLINK(CONCATENATE("#Metadata!", ADDRESS(INDEX($L$2:$L$1001,MATCH(ROWS($J$2:J519),$J$2:$J$1001,0),0), INDEX($Q$1004:$U$1004,1,MATCH(COLUMNS($Q$1006:U1006),$Q$1006:$U$1006,0)))),"Fix")))</f>
        <v xml:space="preserve"> </v>
      </c>
      <c r="J519">
        <f ca="1"/>
        <v>518</v>
      </c>
      <c r="K519">
        <v>100519</v>
      </c>
      <c r="L519">
        <v>519</v>
      </c>
      <c r="M519" t="b">
        <f t="shared" si="8"/>
        <v>1</v>
      </c>
      <c r="N519" t="b">
        <f>COUNTBLANK(Metadata!B519:F519)=COLUMNS(Metadata!B519:F519)</f>
        <v>1</v>
      </c>
      <c r="O519" t="str">
        <v/>
      </c>
      <c r="Q519" t="b">
        <f ca="1"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R519" t="b">
        <f>IF(Metadata!C519="",FALSE,TRUE)</f>
        <v>0</v>
      </c>
      <c r="S519" t="b">
        <f>OR(AND(IF(Metadata!D519="",FALSE,TRUE),EXACT(Metadata!D519,"missing: not collected")),AND(IF(Metadata!D519="",FALSE,TRUE),OR(EXACT(Metadata!D519,"t"),EXACT(Metadata!D519,"f"))))</f>
        <v>0</v>
      </c>
      <c r="T519" t="b">
        <f>AND(IF(Metadata!E519="",FALSE,TRUE),OR(EXACT(Metadata!E519,"a"),EXACT(Metadata!E519,"b")))</f>
        <v>0</v>
      </c>
      <c r="U519" t="b">
        <f>OR(AND(IF(Metadata!F519="",FALSE,TRUE),OR(EXACT(Metadata!F519,"missing: not collected"),EXACT(Metadata!F519,"missing: not provided"))),AND(IF(Metadata!F519="",FALSE,TRUE),OR(EXACT(Metadata!F519,"lo"),EXACT(Metadata!F519,"med"),EXACT(Metadata!F519,"hi"))))</f>
        <v>0</v>
      </c>
    </row>
    <row r="520" spans="1:21" x14ac:dyDescent="0.2">
      <c r="A520" s="4" t="str">
        <f ca="1">IF(B520=" "," ",HYPERLINK(CONCATENATE("#metadata!",ADDRESS(INDEX($L$2:$L$1001,MATCH(ROWS($J$2:J520),$J$2:$J$1001,0),0),1)),INDEX($O$2:$O$1001,MATCH(ROWS($J$2:J520),$J$2:$J$1001,0),0)))</f>
        <v xml:space="preserve"> </v>
      </c>
      <c r="B520" s="3" t="str">
        <f ca="1">IF(OR(INDEX($K$2:$K$1001,MATCH(ROWS($J$2:J520),$J$2:$J$1001,0),1)&gt;=100000,INDEX($Q$1005:$U$1005,1,MATCH(COLUMNS($Q$1006:Q1006),$Q$1006:$U$1006,0))&gt;=100000), " ",IF(INDEX($Q$2:$U$1001,MATCH(ROWS($J$2:J520),$J$2:$J$1001,0),MATCH(COLUMNS($Q$1006:Q1006),$Q$1006:$U$1006,0)), HYPERLINK("#",""), HYPERLINK(CONCATENATE("#Metadata!", ADDRESS(INDEX($L$2:$L$1001,MATCH(ROWS($J$2:J520),$J$2:$J$1001,0),0), INDEX($Q$1004:$U$1004,1,MATCH(COLUMNS($Q$1006:Q1006),$Q$1006:$U$1006,0)))),"Fix")))</f>
        <v xml:space="preserve"> </v>
      </c>
      <c r="C520" s="3" t="str">
        <f ca="1">IF(OR(INDEX($K$2:$K$1001,MATCH(ROWS($J$2:J520),$J$2:$J$1001,0),1)&gt;=100000,INDEX($Q$1005:$U$1005,1,MATCH(COLUMNS($Q$1006:R1006),$Q$1006:$U$1006,0))&gt;=100000), " ",IF(INDEX($Q$2:$U$1001,MATCH(ROWS($J$2:J520),$J$2:$J$1001,0),MATCH(COLUMNS($Q$1006:R1006),$Q$1006:$U$1006,0)), HYPERLINK("#",""), HYPERLINK(CONCATENATE("#Metadata!", ADDRESS(INDEX($L$2:$L$1001,MATCH(ROWS($J$2:J520),$J$2:$J$1001,0),0), INDEX($Q$1004:$U$1004,1,MATCH(COLUMNS($Q$1006:R1006),$Q$1006:$U$1006,0)))),"Fix")))</f>
        <v xml:space="preserve"> </v>
      </c>
      <c r="D520" s="3" t="str">
        <f ca="1">IF(OR(INDEX($K$2:$K$1001,MATCH(ROWS($J$2:J520),$J$2:$J$1001,0),1)&gt;=100000,INDEX($Q$1005:$U$1005,1,MATCH(COLUMNS($Q$1006:S1006),$Q$1006:$U$1006,0))&gt;=100000), " ",IF(INDEX($Q$2:$U$1001,MATCH(ROWS($J$2:J520),$J$2:$J$1001,0),MATCH(COLUMNS($Q$1006:S1006),$Q$1006:$U$1006,0)), HYPERLINK("#",""), HYPERLINK(CONCATENATE("#Metadata!", ADDRESS(INDEX($L$2:$L$1001,MATCH(ROWS($J$2:J520),$J$2:$J$1001,0),0), INDEX($Q$1004:$U$1004,1,MATCH(COLUMNS($Q$1006:S1006),$Q$1006:$U$1006,0)))),"Fix")))</f>
        <v xml:space="preserve"> </v>
      </c>
      <c r="E520" s="3" t="str">
        <f ca="1">IF(OR(INDEX($K$2:$K$1001,MATCH(ROWS($J$2:J520),$J$2:$J$1001,0),1)&gt;=100000,INDEX($Q$1005:$U$1005,1,MATCH(COLUMNS($Q$1006:T1006),$Q$1006:$U$1006,0))&gt;=100000), " ",IF(INDEX($Q$2:$U$1001,MATCH(ROWS($J$2:J520),$J$2:$J$1001,0),MATCH(COLUMNS($Q$1006:T1006),$Q$1006:$U$1006,0)), HYPERLINK("#",""), HYPERLINK(CONCATENATE("#Metadata!", ADDRESS(INDEX($L$2:$L$1001,MATCH(ROWS($J$2:J520),$J$2:$J$1001,0),0), INDEX($Q$1004:$U$1004,1,MATCH(COLUMNS($Q$1006:T1006),$Q$1006:$U$1006,0)))),"Fix")))</f>
        <v xml:space="preserve"> </v>
      </c>
      <c r="F520" s="3" t="str">
        <f ca="1">IF(OR(INDEX($K$2:$K$1001,MATCH(ROWS($J$2:J520),$J$2:$J$1001,0),1)&gt;=100000,INDEX($Q$1005:$U$1005,1,MATCH(COLUMNS($Q$1006:U1006),$Q$1006:$U$1006,0))&gt;=100000), " ",IF(INDEX($Q$2:$U$1001,MATCH(ROWS($J$2:J520),$J$2:$J$1001,0),MATCH(COLUMNS($Q$1006:U1006),$Q$1006:$U$1006,0)), HYPERLINK("#",""), HYPERLINK(CONCATENATE("#Metadata!", ADDRESS(INDEX($L$2:$L$1001,MATCH(ROWS($J$2:J520),$J$2:$J$1001,0),0), INDEX($Q$1004:$U$1004,1,MATCH(COLUMNS($Q$1006:U1006),$Q$1006:$U$1006,0)))),"Fix")))</f>
        <v xml:space="preserve"> </v>
      </c>
      <c r="J520">
        <f ca="1"/>
        <v>519</v>
      </c>
      <c r="K520">
        <v>100520</v>
      </c>
      <c r="L520">
        <v>520</v>
      </c>
      <c r="M520" t="b">
        <f t="shared" si="8"/>
        <v>1</v>
      </c>
      <c r="N520" t="b">
        <f>COUNTBLANK(Metadata!B520:F520)=COLUMNS(Metadata!B520:F520)</f>
        <v>1</v>
      </c>
      <c r="O520" t="str">
        <v/>
      </c>
      <c r="Q520" t="b">
        <f ca="1"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R520" t="b">
        <f>IF(Metadata!C520="",FALSE,TRUE)</f>
        <v>0</v>
      </c>
      <c r="S520" t="b">
        <f>OR(AND(IF(Metadata!D520="",FALSE,TRUE),EXACT(Metadata!D520,"missing: not collected")),AND(IF(Metadata!D520="",FALSE,TRUE),OR(EXACT(Metadata!D520,"t"),EXACT(Metadata!D520,"f"))))</f>
        <v>0</v>
      </c>
      <c r="T520" t="b">
        <f>AND(IF(Metadata!E520="",FALSE,TRUE),OR(EXACT(Metadata!E520,"a"),EXACT(Metadata!E520,"b")))</f>
        <v>0</v>
      </c>
      <c r="U520" t="b">
        <f>OR(AND(IF(Metadata!F520="",FALSE,TRUE),OR(EXACT(Metadata!F520,"missing: not collected"),EXACT(Metadata!F520,"missing: not provided"))),AND(IF(Metadata!F520="",FALSE,TRUE),OR(EXACT(Metadata!F520,"lo"),EXACT(Metadata!F520,"med"),EXACT(Metadata!F520,"hi"))))</f>
        <v>0</v>
      </c>
    </row>
    <row r="521" spans="1:21" x14ac:dyDescent="0.2">
      <c r="A521" s="4" t="str">
        <f ca="1">IF(B521=" "," ",HYPERLINK(CONCATENATE("#metadata!",ADDRESS(INDEX($L$2:$L$1001,MATCH(ROWS($J$2:J521),$J$2:$J$1001,0),0),1)),INDEX($O$2:$O$1001,MATCH(ROWS($J$2:J521),$J$2:$J$1001,0),0)))</f>
        <v xml:space="preserve"> </v>
      </c>
      <c r="B521" s="3" t="str">
        <f ca="1">IF(OR(INDEX($K$2:$K$1001,MATCH(ROWS($J$2:J521),$J$2:$J$1001,0),1)&gt;=100000,INDEX($Q$1005:$U$1005,1,MATCH(COLUMNS($Q$1006:Q1006),$Q$1006:$U$1006,0))&gt;=100000), " ",IF(INDEX($Q$2:$U$1001,MATCH(ROWS($J$2:J521),$J$2:$J$1001,0),MATCH(COLUMNS($Q$1006:Q1006),$Q$1006:$U$1006,0)), HYPERLINK("#",""), HYPERLINK(CONCATENATE("#Metadata!", ADDRESS(INDEX($L$2:$L$1001,MATCH(ROWS($J$2:J521),$J$2:$J$1001,0),0), INDEX($Q$1004:$U$1004,1,MATCH(COLUMNS($Q$1006:Q1006),$Q$1006:$U$1006,0)))),"Fix")))</f>
        <v xml:space="preserve"> </v>
      </c>
      <c r="C521" s="3" t="str">
        <f ca="1">IF(OR(INDEX($K$2:$K$1001,MATCH(ROWS($J$2:J521),$J$2:$J$1001,0),1)&gt;=100000,INDEX($Q$1005:$U$1005,1,MATCH(COLUMNS($Q$1006:R1006),$Q$1006:$U$1006,0))&gt;=100000), " ",IF(INDEX($Q$2:$U$1001,MATCH(ROWS($J$2:J521),$J$2:$J$1001,0),MATCH(COLUMNS($Q$1006:R1006),$Q$1006:$U$1006,0)), HYPERLINK("#",""), HYPERLINK(CONCATENATE("#Metadata!", ADDRESS(INDEX($L$2:$L$1001,MATCH(ROWS($J$2:J521),$J$2:$J$1001,0),0), INDEX($Q$1004:$U$1004,1,MATCH(COLUMNS($Q$1006:R1006),$Q$1006:$U$1006,0)))),"Fix")))</f>
        <v xml:space="preserve"> </v>
      </c>
      <c r="D521" s="3" t="str">
        <f ca="1">IF(OR(INDEX($K$2:$K$1001,MATCH(ROWS($J$2:J521),$J$2:$J$1001,0),1)&gt;=100000,INDEX($Q$1005:$U$1005,1,MATCH(COLUMNS($Q$1006:S1006),$Q$1006:$U$1006,0))&gt;=100000), " ",IF(INDEX($Q$2:$U$1001,MATCH(ROWS($J$2:J521),$J$2:$J$1001,0),MATCH(COLUMNS($Q$1006:S1006),$Q$1006:$U$1006,0)), HYPERLINK("#",""), HYPERLINK(CONCATENATE("#Metadata!", ADDRESS(INDEX($L$2:$L$1001,MATCH(ROWS($J$2:J521),$J$2:$J$1001,0),0), INDEX($Q$1004:$U$1004,1,MATCH(COLUMNS($Q$1006:S1006),$Q$1006:$U$1006,0)))),"Fix")))</f>
        <v xml:space="preserve"> </v>
      </c>
      <c r="E521" s="3" t="str">
        <f ca="1">IF(OR(INDEX($K$2:$K$1001,MATCH(ROWS($J$2:J521),$J$2:$J$1001,0),1)&gt;=100000,INDEX($Q$1005:$U$1005,1,MATCH(COLUMNS($Q$1006:T1006),$Q$1006:$U$1006,0))&gt;=100000), " ",IF(INDEX($Q$2:$U$1001,MATCH(ROWS($J$2:J521),$J$2:$J$1001,0),MATCH(COLUMNS($Q$1006:T1006),$Q$1006:$U$1006,0)), HYPERLINK("#",""), HYPERLINK(CONCATENATE("#Metadata!", ADDRESS(INDEX($L$2:$L$1001,MATCH(ROWS($J$2:J521),$J$2:$J$1001,0),0), INDEX($Q$1004:$U$1004,1,MATCH(COLUMNS($Q$1006:T1006),$Q$1006:$U$1006,0)))),"Fix")))</f>
        <v xml:space="preserve"> </v>
      </c>
      <c r="F521" s="3" t="str">
        <f ca="1">IF(OR(INDEX($K$2:$K$1001,MATCH(ROWS($J$2:J521),$J$2:$J$1001,0),1)&gt;=100000,INDEX($Q$1005:$U$1005,1,MATCH(COLUMNS($Q$1006:U1006),$Q$1006:$U$1006,0))&gt;=100000), " ",IF(INDEX($Q$2:$U$1001,MATCH(ROWS($J$2:J521),$J$2:$J$1001,0),MATCH(COLUMNS($Q$1006:U1006),$Q$1006:$U$1006,0)), HYPERLINK("#",""), HYPERLINK(CONCATENATE("#Metadata!", ADDRESS(INDEX($L$2:$L$1001,MATCH(ROWS($J$2:J521),$J$2:$J$1001,0),0), INDEX($Q$1004:$U$1004,1,MATCH(COLUMNS($Q$1006:U1006),$Q$1006:$U$1006,0)))),"Fix")))</f>
        <v xml:space="preserve"> </v>
      </c>
      <c r="J521">
        <f ca="1"/>
        <v>520</v>
      </c>
      <c r="K521">
        <v>100521</v>
      </c>
      <c r="L521">
        <v>521</v>
      </c>
      <c r="M521" t="b">
        <f t="shared" si="8"/>
        <v>1</v>
      </c>
      <c r="N521" t="b">
        <f>COUNTBLANK(Metadata!B521:F521)=COLUMNS(Metadata!B521:F521)</f>
        <v>1</v>
      </c>
      <c r="O521" t="str">
        <v/>
      </c>
      <c r="Q521" t="b">
        <f ca="1"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R521" t="b">
        <f>IF(Metadata!C521="",FALSE,TRUE)</f>
        <v>0</v>
      </c>
      <c r="S521" t="b">
        <f>OR(AND(IF(Metadata!D521="",FALSE,TRUE),EXACT(Metadata!D521,"missing: not collected")),AND(IF(Metadata!D521="",FALSE,TRUE),OR(EXACT(Metadata!D521,"t"),EXACT(Metadata!D521,"f"))))</f>
        <v>0</v>
      </c>
      <c r="T521" t="b">
        <f>AND(IF(Metadata!E521="",FALSE,TRUE),OR(EXACT(Metadata!E521,"a"),EXACT(Metadata!E521,"b")))</f>
        <v>0</v>
      </c>
      <c r="U521" t="b">
        <f>OR(AND(IF(Metadata!F521="",FALSE,TRUE),OR(EXACT(Metadata!F521,"missing: not collected"),EXACT(Metadata!F521,"missing: not provided"))),AND(IF(Metadata!F521="",FALSE,TRUE),OR(EXACT(Metadata!F521,"lo"),EXACT(Metadata!F521,"med"),EXACT(Metadata!F521,"hi"))))</f>
        <v>0</v>
      </c>
    </row>
    <row r="522" spans="1:21" x14ac:dyDescent="0.2">
      <c r="A522" s="4" t="str">
        <f ca="1">IF(B522=" "," ",HYPERLINK(CONCATENATE("#metadata!",ADDRESS(INDEX($L$2:$L$1001,MATCH(ROWS($J$2:J522),$J$2:$J$1001,0),0),1)),INDEX($O$2:$O$1001,MATCH(ROWS($J$2:J522),$J$2:$J$1001,0),0)))</f>
        <v xml:space="preserve"> </v>
      </c>
      <c r="B522" s="3" t="str">
        <f ca="1">IF(OR(INDEX($K$2:$K$1001,MATCH(ROWS($J$2:J522),$J$2:$J$1001,0),1)&gt;=100000,INDEX($Q$1005:$U$1005,1,MATCH(COLUMNS($Q$1006:Q1006),$Q$1006:$U$1006,0))&gt;=100000), " ",IF(INDEX($Q$2:$U$1001,MATCH(ROWS($J$2:J522),$J$2:$J$1001,0),MATCH(COLUMNS($Q$1006:Q1006),$Q$1006:$U$1006,0)), HYPERLINK("#",""), HYPERLINK(CONCATENATE("#Metadata!", ADDRESS(INDEX($L$2:$L$1001,MATCH(ROWS($J$2:J522),$J$2:$J$1001,0),0), INDEX($Q$1004:$U$1004,1,MATCH(COLUMNS($Q$1006:Q1006),$Q$1006:$U$1006,0)))),"Fix")))</f>
        <v xml:space="preserve"> </v>
      </c>
      <c r="C522" s="3" t="str">
        <f ca="1">IF(OR(INDEX($K$2:$K$1001,MATCH(ROWS($J$2:J522),$J$2:$J$1001,0),1)&gt;=100000,INDEX($Q$1005:$U$1005,1,MATCH(COLUMNS($Q$1006:R1006),$Q$1006:$U$1006,0))&gt;=100000), " ",IF(INDEX($Q$2:$U$1001,MATCH(ROWS($J$2:J522),$J$2:$J$1001,0),MATCH(COLUMNS($Q$1006:R1006),$Q$1006:$U$1006,0)), HYPERLINK("#",""), HYPERLINK(CONCATENATE("#Metadata!", ADDRESS(INDEX($L$2:$L$1001,MATCH(ROWS($J$2:J522),$J$2:$J$1001,0),0), INDEX($Q$1004:$U$1004,1,MATCH(COLUMNS($Q$1006:R1006),$Q$1006:$U$1006,0)))),"Fix")))</f>
        <v xml:space="preserve"> </v>
      </c>
      <c r="D522" s="3" t="str">
        <f ca="1">IF(OR(INDEX($K$2:$K$1001,MATCH(ROWS($J$2:J522),$J$2:$J$1001,0),1)&gt;=100000,INDEX($Q$1005:$U$1005,1,MATCH(COLUMNS($Q$1006:S1006),$Q$1006:$U$1006,0))&gt;=100000), " ",IF(INDEX($Q$2:$U$1001,MATCH(ROWS($J$2:J522),$J$2:$J$1001,0),MATCH(COLUMNS($Q$1006:S1006),$Q$1006:$U$1006,0)), HYPERLINK("#",""), HYPERLINK(CONCATENATE("#Metadata!", ADDRESS(INDEX($L$2:$L$1001,MATCH(ROWS($J$2:J522),$J$2:$J$1001,0),0), INDEX($Q$1004:$U$1004,1,MATCH(COLUMNS($Q$1006:S1006),$Q$1006:$U$1006,0)))),"Fix")))</f>
        <v xml:space="preserve"> </v>
      </c>
      <c r="E522" s="3" t="str">
        <f ca="1">IF(OR(INDEX($K$2:$K$1001,MATCH(ROWS($J$2:J522),$J$2:$J$1001,0),1)&gt;=100000,INDEX($Q$1005:$U$1005,1,MATCH(COLUMNS($Q$1006:T1006),$Q$1006:$U$1006,0))&gt;=100000), " ",IF(INDEX($Q$2:$U$1001,MATCH(ROWS($J$2:J522),$J$2:$J$1001,0),MATCH(COLUMNS($Q$1006:T1006),$Q$1006:$U$1006,0)), HYPERLINK("#",""), HYPERLINK(CONCATENATE("#Metadata!", ADDRESS(INDEX($L$2:$L$1001,MATCH(ROWS($J$2:J522),$J$2:$J$1001,0),0), INDEX($Q$1004:$U$1004,1,MATCH(COLUMNS($Q$1006:T1006),$Q$1006:$U$1006,0)))),"Fix")))</f>
        <v xml:space="preserve"> </v>
      </c>
      <c r="F522" s="3" t="str">
        <f ca="1">IF(OR(INDEX($K$2:$K$1001,MATCH(ROWS($J$2:J522),$J$2:$J$1001,0),1)&gt;=100000,INDEX($Q$1005:$U$1005,1,MATCH(COLUMNS($Q$1006:U1006),$Q$1006:$U$1006,0))&gt;=100000), " ",IF(INDEX($Q$2:$U$1001,MATCH(ROWS($J$2:J522),$J$2:$J$1001,0),MATCH(COLUMNS($Q$1006:U1006),$Q$1006:$U$1006,0)), HYPERLINK("#",""), HYPERLINK(CONCATENATE("#Metadata!", ADDRESS(INDEX($L$2:$L$1001,MATCH(ROWS($J$2:J522),$J$2:$J$1001,0),0), INDEX($Q$1004:$U$1004,1,MATCH(COLUMNS($Q$1006:U1006),$Q$1006:$U$1006,0)))),"Fix")))</f>
        <v xml:space="preserve"> </v>
      </c>
      <c r="J522">
        <f ca="1"/>
        <v>521</v>
      </c>
      <c r="K522">
        <v>100522</v>
      </c>
      <c r="L522">
        <v>522</v>
      </c>
      <c r="M522" t="b">
        <f t="shared" si="8"/>
        <v>1</v>
      </c>
      <c r="N522" t="b">
        <f>COUNTBLANK(Metadata!B522:F522)=COLUMNS(Metadata!B522:F522)</f>
        <v>1</v>
      </c>
      <c r="O522" t="str">
        <v/>
      </c>
      <c r="Q522" t="b">
        <f ca="1"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R522" t="b">
        <f>IF(Metadata!C522="",FALSE,TRUE)</f>
        <v>0</v>
      </c>
      <c r="S522" t="b">
        <f>OR(AND(IF(Metadata!D522="",FALSE,TRUE),EXACT(Metadata!D522,"missing: not collected")),AND(IF(Metadata!D522="",FALSE,TRUE),OR(EXACT(Metadata!D522,"t"),EXACT(Metadata!D522,"f"))))</f>
        <v>0</v>
      </c>
      <c r="T522" t="b">
        <f>AND(IF(Metadata!E522="",FALSE,TRUE),OR(EXACT(Metadata!E522,"a"),EXACT(Metadata!E522,"b")))</f>
        <v>0</v>
      </c>
      <c r="U522" t="b">
        <f>OR(AND(IF(Metadata!F522="",FALSE,TRUE),OR(EXACT(Metadata!F522,"missing: not collected"),EXACT(Metadata!F522,"missing: not provided"))),AND(IF(Metadata!F522="",FALSE,TRUE),OR(EXACT(Metadata!F522,"lo"),EXACT(Metadata!F522,"med"),EXACT(Metadata!F522,"hi"))))</f>
        <v>0</v>
      </c>
    </row>
    <row r="523" spans="1:21" x14ac:dyDescent="0.2">
      <c r="A523" s="4" t="str">
        <f ca="1">IF(B523=" "," ",HYPERLINK(CONCATENATE("#metadata!",ADDRESS(INDEX($L$2:$L$1001,MATCH(ROWS($J$2:J523),$J$2:$J$1001,0),0),1)),INDEX($O$2:$O$1001,MATCH(ROWS($J$2:J523),$J$2:$J$1001,0),0)))</f>
        <v xml:space="preserve"> </v>
      </c>
      <c r="B523" s="3" t="str">
        <f ca="1">IF(OR(INDEX($K$2:$K$1001,MATCH(ROWS($J$2:J523),$J$2:$J$1001,0),1)&gt;=100000,INDEX($Q$1005:$U$1005,1,MATCH(COLUMNS($Q$1006:Q1006),$Q$1006:$U$1006,0))&gt;=100000), " ",IF(INDEX($Q$2:$U$1001,MATCH(ROWS($J$2:J523),$J$2:$J$1001,0),MATCH(COLUMNS($Q$1006:Q1006),$Q$1006:$U$1006,0)), HYPERLINK("#",""), HYPERLINK(CONCATENATE("#Metadata!", ADDRESS(INDEX($L$2:$L$1001,MATCH(ROWS($J$2:J523),$J$2:$J$1001,0),0), INDEX($Q$1004:$U$1004,1,MATCH(COLUMNS($Q$1006:Q1006),$Q$1006:$U$1006,0)))),"Fix")))</f>
        <v xml:space="preserve"> </v>
      </c>
      <c r="C523" s="3" t="str">
        <f ca="1">IF(OR(INDEX($K$2:$K$1001,MATCH(ROWS($J$2:J523),$J$2:$J$1001,0),1)&gt;=100000,INDEX($Q$1005:$U$1005,1,MATCH(COLUMNS($Q$1006:R1006),$Q$1006:$U$1006,0))&gt;=100000), " ",IF(INDEX($Q$2:$U$1001,MATCH(ROWS($J$2:J523),$J$2:$J$1001,0),MATCH(COLUMNS($Q$1006:R1006),$Q$1006:$U$1006,0)), HYPERLINK("#",""), HYPERLINK(CONCATENATE("#Metadata!", ADDRESS(INDEX($L$2:$L$1001,MATCH(ROWS($J$2:J523),$J$2:$J$1001,0),0), INDEX($Q$1004:$U$1004,1,MATCH(COLUMNS($Q$1006:R1006),$Q$1006:$U$1006,0)))),"Fix")))</f>
        <v xml:space="preserve"> </v>
      </c>
      <c r="D523" s="3" t="str">
        <f ca="1">IF(OR(INDEX($K$2:$K$1001,MATCH(ROWS($J$2:J523),$J$2:$J$1001,0),1)&gt;=100000,INDEX($Q$1005:$U$1005,1,MATCH(COLUMNS($Q$1006:S1006),$Q$1006:$U$1006,0))&gt;=100000), " ",IF(INDEX($Q$2:$U$1001,MATCH(ROWS($J$2:J523),$J$2:$J$1001,0),MATCH(COLUMNS($Q$1006:S1006),$Q$1006:$U$1006,0)), HYPERLINK("#",""), HYPERLINK(CONCATENATE("#Metadata!", ADDRESS(INDEX($L$2:$L$1001,MATCH(ROWS($J$2:J523),$J$2:$J$1001,0),0), INDEX($Q$1004:$U$1004,1,MATCH(COLUMNS($Q$1006:S1006),$Q$1006:$U$1006,0)))),"Fix")))</f>
        <v xml:space="preserve"> </v>
      </c>
      <c r="E523" s="3" t="str">
        <f ca="1">IF(OR(INDEX($K$2:$K$1001,MATCH(ROWS($J$2:J523),$J$2:$J$1001,0),1)&gt;=100000,INDEX($Q$1005:$U$1005,1,MATCH(COLUMNS($Q$1006:T1006),$Q$1006:$U$1006,0))&gt;=100000), " ",IF(INDEX($Q$2:$U$1001,MATCH(ROWS($J$2:J523),$J$2:$J$1001,0),MATCH(COLUMNS($Q$1006:T1006),$Q$1006:$U$1006,0)), HYPERLINK("#",""), HYPERLINK(CONCATENATE("#Metadata!", ADDRESS(INDEX($L$2:$L$1001,MATCH(ROWS($J$2:J523),$J$2:$J$1001,0),0), INDEX($Q$1004:$U$1004,1,MATCH(COLUMNS($Q$1006:T1006),$Q$1006:$U$1006,0)))),"Fix")))</f>
        <v xml:space="preserve"> </v>
      </c>
      <c r="F523" s="3" t="str">
        <f ca="1">IF(OR(INDEX($K$2:$K$1001,MATCH(ROWS($J$2:J523),$J$2:$J$1001,0),1)&gt;=100000,INDEX($Q$1005:$U$1005,1,MATCH(COLUMNS($Q$1006:U1006),$Q$1006:$U$1006,0))&gt;=100000), " ",IF(INDEX($Q$2:$U$1001,MATCH(ROWS($J$2:J523),$J$2:$J$1001,0),MATCH(COLUMNS($Q$1006:U1006),$Q$1006:$U$1006,0)), HYPERLINK("#",""), HYPERLINK(CONCATENATE("#Metadata!", ADDRESS(INDEX($L$2:$L$1001,MATCH(ROWS($J$2:J523),$J$2:$J$1001,0),0), INDEX($Q$1004:$U$1004,1,MATCH(COLUMNS($Q$1006:U1006),$Q$1006:$U$1006,0)))),"Fix")))</f>
        <v xml:space="preserve"> </v>
      </c>
      <c r="J523">
        <f ca="1"/>
        <v>522</v>
      </c>
      <c r="K523">
        <v>100523</v>
      </c>
      <c r="L523">
        <v>523</v>
      </c>
      <c r="M523" t="b">
        <f t="shared" si="8"/>
        <v>1</v>
      </c>
      <c r="N523" t="b">
        <f>COUNTBLANK(Metadata!B523:F523)=COLUMNS(Metadata!B523:F523)</f>
        <v>1</v>
      </c>
      <c r="O523" t="str">
        <v/>
      </c>
      <c r="Q523" t="b">
        <f ca="1"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R523" t="b">
        <f>IF(Metadata!C523="",FALSE,TRUE)</f>
        <v>0</v>
      </c>
      <c r="S523" t="b">
        <f>OR(AND(IF(Metadata!D523="",FALSE,TRUE),EXACT(Metadata!D523,"missing: not collected")),AND(IF(Metadata!D523="",FALSE,TRUE),OR(EXACT(Metadata!D523,"t"),EXACT(Metadata!D523,"f"))))</f>
        <v>0</v>
      </c>
      <c r="T523" t="b">
        <f>AND(IF(Metadata!E523="",FALSE,TRUE),OR(EXACT(Metadata!E523,"a"),EXACT(Metadata!E523,"b")))</f>
        <v>0</v>
      </c>
      <c r="U523" t="b">
        <f>OR(AND(IF(Metadata!F523="",FALSE,TRUE),OR(EXACT(Metadata!F523,"missing: not collected"),EXACT(Metadata!F523,"missing: not provided"))),AND(IF(Metadata!F523="",FALSE,TRUE),OR(EXACT(Metadata!F523,"lo"),EXACT(Metadata!F523,"med"),EXACT(Metadata!F523,"hi"))))</f>
        <v>0</v>
      </c>
    </row>
    <row r="524" spans="1:21" x14ac:dyDescent="0.2">
      <c r="A524" s="4" t="str">
        <f ca="1">IF(B524=" "," ",HYPERLINK(CONCATENATE("#metadata!",ADDRESS(INDEX($L$2:$L$1001,MATCH(ROWS($J$2:J524),$J$2:$J$1001,0),0),1)),INDEX($O$2:$O$1001,MATCH(ROWS($J$2:J524),$J$2:$J$1001,0),0)))</f>
        <v xml:space="preserve"> </v>
      </c>
      <c r="B524" s="3" t="str">
        <f ca="1">IF(OR(INDEX($K$2:$K$1001,MATCH(ROWS($J$2:J524),$J$2:$J$1001,0),1)&gt;=100000,INDEX($Q$1005:$U$1005,1,MATCH(COLUMNS($Q$1006:Q1006),$Q$1006:$U$1006,0))&gt;=100000), " ",IF(INDEX($Q$2:$U$1001,MATCH(ROWS($J$2:J524),$J$2:$J$1001,0),MATCH(COLUMNS($Q$1006:Q1006),$Q$1006:$U$1006,0)), HYPERLINK("#",""), HYPERLINK(CONCATENATE("#Metadata!", ADDRESS(INDEX($L$2:$L$1001,MATCH(ROWS($J$2:J524),$J$2:$J$1001,0),0), INDEX($Q$1004:$U$1004,1,MATCH(COLUMNS($Q$1006:Q1006),$Q$1006:$U$1006,0)))),"Fix")))</f>
        <v xml:space="preserve"> </v>
      </c>
      <c r="C524" s="3" t="str">
        <f ca="1">IF(OR(INDEX($K$2:$K$1001,MATCH(ROWS($J$2:J524),$J$2:$J$1001,0),1)&gt;=100000,INDEX($Q$1005:$U$1005,1,MATCH(COLUMNS($Q$1006:R1006),$Q$1006:$U$1006,0))&gt;=100000), " ",IF(INDEX($Q$2:$U$1001,MATCH(ROWS($J$2:J524),$J$2:$J$1001,0),MATCH(COLUMNS($Q$1006:R1006),$Q$1006:$U$1006,0)), HYPERLINK("#",""), HYPERLINK(CONCATENATE("#Metadata!", ADDRESS(INDEX($L$2:$L$1001,MATCH(ROWS($J$2:J524),$J$2:$J$1001,0),0), INDEX($Q$1004:$U$1004,1,MATCH(COLUMNS($Q$1006:R1006),$Q$1006:$U$1006,0)))),"Fix")))</f>
        <v xml:space="preserve"> </v>
      </c>
      <c r="D524" s="3" t="str">
        <f ca="1">IF(OR(INDEX($K$2:$K$1001,MATCH(ROWS($J$2:J524),$J$2:$J$1001,0),1)&gt;=100000,INDEX($Q$1005:$U$1005,1,MATCH(COLUMNS($Q$1006:S1006),$Q$1006:$U$1006,0))&gt;=100000), " ",IF(INDEX($Q$2:$U$1001,MATCH(ROWS($J$2:J524),$J$2:$J$1001,0),MATCH(COLUMNS($Q$1006:S1006),$Q$1006:$U$1006,0)), HYPERLINK("#",""), HYPERLINK(CONCATENATE("#Metadata!", ADDRESS(INDEX($L$2:$L$1001,MATCH(ROWS($J$2:J524),$J$2:$J$1001,0),0), INDEX($Q$1004:$U$1004,1,MATCH(COLUMNS($Q$1006:S1006),$Q$1006:$U$1006,0)))),"Fix")))</f>
        <v xml:space="preserve"> </v>
      </c>
      <c r="E524" s="3" t="str">
        <f ca="1">IF(OR(INDEX($K$2:$K$1001,MATCH(ROWS($J$2:J524),$J$2:$J$1001,0),1)&gt;=100000,INDEX($Q$1005:$U$1005,1,MATCH(COLUMNS($Q$1006:T1006),$Q$1006:$U$1006,0))&gt;=100000), " ",IF(INDEX($Q$2:$U$1001,MATCH(ROWS($J$2:J524),$J$2:$J$1001,0),MATCH(COLUMNS($Q$1006:T1006),$Q$1006:$U$1006,0)), HYPERLINK("#",""), HYPERLINK(CONCATENATE("#Metadata!", ADDRESS(INDEX($L$2:$L$1001,MATCH(ROWS($J$2:J524),$J$2:$J$1001,0),0), INDEX($Q$1004:$U$1004,1,MATCH(COLUMNS($Q$1006:T1006),$Q$1006:$U$1006,0)))),"Fix")))</f>
        <v xml:space="preserve"> </v>
      </c>
      <c r="F524" s="3" t="str">
        <f ca="1">IF(OR(INDEX($K$2:$K$1001,MATCH(ROWS($J$2:J524),$J$2:$J$1001,0),1)&gt;=100000,INDEX($Q$1005:$U$1005,1,MATCH(COLUMNS($Q$1006:U1006),$Q$1006:$U$1006,0))&gt;=100000), " ",IF(INDEX($Q$2:$U$1001,MATCH(ROWS($J$2:J524),$J$2:$J$1001,0),MATCH(COLUMNS($Q$1006:U1006),$Q$1006:$U$1006,0)), HYPERLINK("#",""), HYPERLINK(CONCATENATE("#Metadata!", ADDRESS(INDEX($L$2:$L$1001,MATCH(ROWS($J$2:J524),$J$2:$J$1001,0),0), INDEX($Q$1004:$U$1004,1,MATCH(COLUMNS($Q$1006:U1006),$Q$1006:$U$1006,0)))),"Fix")))</f>
        <v xml:space="preserve"> </v>
      </c>
      <c r="J524">
        <f ca="1"/>
        <v>523</v>
      </c>
      <c r="K524">
        <v>100524</v>
      </c>
      <c r="L524">
        <v>524</v>
      </c>
      <c r="M524" t="b">
        <f t="shared" si="8"/>
        <v>1</v>
      </c>
      <c r="N524" t="b">
        <f>COUNTBLANK(Metadata!B524:F524)=COLUMNS(Metadata!B524:F524)</f>
        <v>1</v>
      </c>
      <c r="O524" t="str">
        <v/>
      </c>
      <c r="Q524" t="b">
        <f ca="1"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R524" t="b">
        <f>IF(Metadata!C524="",FALSE,TRUE)</f>
        <v>0</v>
      </c>
      <c r="S524" t="b">
        <f>OR(AND(IF(Metadata!D524="",FALSE,TRUE),EXACT(Metadata!D524,"missing: not collected")),AND(IF(Metadata!D524="",FALSE,TRUE),OR(EXACT(Metadata!D524,"t"),EXACT(Metadata!D524,"f"))))</f>
        <v>0</v>
      </c>
      <c r="T524" t="b">
        <f>AND(IF(Metadata!E524="",FALSE,TRUE),OR(EXACT(Metadata!E524,"a"),EXACT(Metadata!E524,"b")))</f>
        <v>0</v>
      </c>
      <c r="U524" t="b">
        <f>OR(AND(IF(Metadata!F524="",FALSE,TRUE),OR(EXACT(Metadata!F524,"missing: not collected"),EXACT(Metadata!F524,"missing: not provided"))),AND(IF(Metadata!F524="",FALSE,TRUE),OR(EXACT(Metadata!F524,"lo"),EXACT(Metadata!F524,"med"),EXACT(Metadata!F524,"hi"))))</f>
        <v>0</v>
      </c>
    </row>
    <row r="525" spans="1:21" x14ac:dyDescent="0.2">
      <c r="A525" s="4" t="str">
        <f ca="1">IF(B525=" "," ",HYPERLINK(CONCATENATE("#metadata!",ADDRESS(INDEX($L$2:$L$1001,MATCH(ROWS($J$2:J525),$J$2:$J$1001,0),0),1)),INDEX($O$2:$O$1001,MATCH(ROWS($J$2:J525),$J$2:$J$1001,0),0)))</f>
        <v xml:space="preserve"> </v>
      </c>
      <c r="B525" s="3" t="str">
        <f ca="1">IF(OR(INDEX($K$2:$K$1001,MATCH(ROWS($J$2:J525),$J$2:$J$1001,0),1)&gt;=100000,INDEX($Q$1005:$U$1005,1,MATCH(COLUMNS($Q$1006:Q1006),$Q$1006:$U$1006,0))&gt;=100000), " ",IF(INDEX($Q$2:$U$1001,MATCH(ROWS($J$2:J525),$J$2:$J$1001,0),MATCH(COLUMNS($Q$1006:Q1006),$Q$1006:$U$1006,0)), HYPERLINK("#",""), HYPERLINK(CONCATENATE("#Metadata!", ADDRESS(INDEX($L$2:$L$1001,MATCH(ROWS($J$2:J525),$J$2:$J$1001,0),0), INDEX($Q$1004:$U$1004,1,MATCH(COLUMNS($Q$1006:Q1006),$Q$1006:$U$1006,0)))),"Fix")))</f>
        <v xml:space="preserve"> </v>
      </c>
      <c r="C525" s="3" t="str">
        <f ca="1">IF(OR(INDEX($K$2:$K$1001,MATCH(ROWS($J$2:J525),$J$2:$J$1001,0),1)&gt;=100000,INDEX($Q$1005:$U$1005,1,MATCH(COLUMNS($Q$1006:R1006),$Q$1006:$U$1006,0))&gt;=100000), " ",IF(INDEX($Q$2:$U$1001,MATCH(ROWS($J$2:J525),$J$2:$J$1001,0),MATCH(COLUMNS($Q$1006:R1006),$Q$1006:$U$1006,0)), HYPERLINK("#",""), HYPERLINK(CONCATENATE("#Metadata!", ADDRESS(INDEX($L$2:$L$1001,MATCH(ROWS($J$2:J525),$J$2:$J$1001,0),0), INDEX($Q$1004:$U$1004,1,MATCH(COLUMNS($Q$1006:R1006),$Q$1006:$U$1006,0)))),"Fix")))</f>
        <v xml:space="preserve"> </v>
      </c>
      <c r="D525" s="3" t="str">
        <f ca="1">IF(OR(INDEX($K$2:$K$1001,MATCH(ROWS($J$2:J525),$J$2:$J$1001,0),1)&gt;=100000,INDEX($Q$1005:$U$1005,1,MATCH(COLUMNS($Q$1006:S1006),$Q$1006:$U$1006,0))&gt;=100000), " ",IF(INDEX($Q$2:$U$1001,MATCH(ROWS($J$2:J525),$J$2:$J$1001,0),MATCH(COLUMNS($Q$1006:S1006),$Q$1006:$U$1006,0)), HYPERLINK("#",""), HYPERLINK(CONCATENATE("#Metadata!", ADDRESS(INDEX($L$2:$L$1001,MATCH(ROWS($J$2:J525),$J$2:$J$1001,0),0), INDEX($Q$1004:$U$1004,1,MATCH(COLUMNS($Q$1006:S1006),$Q$1006:$U$1006,0)))),"Fix")))</f>
        <v xml:space="preserve"> </v>
      </c>
      <c r="E525" s="3" t="str">
        <f ca="1">IF(OR(INDEX($K$2:$K$1001,MATCH(ROWS($J$2:J525),$J$2:$J$1001,0),1)&gt;=100000,INDEX($Q$1005:$U$1005,1,MATCH(COLUMNS($Q$1006:T1006),$Q$1006:$U$1006,0))&gt;=100000), " ",IF(INDEX($Q$2:$U$1001,MATCH(ROWS($J$2:J525),$J$2:$J$1001,0),MATCH(COLUMNS($Q$1006:T1006),$Q$1006:$U$1006,0)), HYPERLINK("#",""), HYPERLINK(CONCATENATE("#Metadata!", ADDRESS(INDEX($L$2:$L$1001,MATCH(ROWS($J$2:J525),$J$2:$J$1001,0),0), INDEX($Q$1004:$U$1004,1,MATCH(COLUMNS($Q$1006:T1006),$Q$1006:$U$1006,0)))),"Fix")))</f>
        <v xml:space="preserve"> </v>
      </c>
      <c r="F525" s="3" t="str">
        <f ca="1">IF(OR(INDEX($K$2:$K$1001,MATCH(ROWS($J$2:J525),$J$2:$J$1001,0),1)&gt;=100000,INDEX($Q$1005:$U$1005,1,MATCH(COLUMNS($Q$1006:U1006),$Q$1006:$U$1006,0))&gt;=100000), " ",IF(INDEX($Q$2:$U$1001,MATCH(ROWS($J$2:J525),$J$2:$J$1001,0),MATCH(COLUMNS($Q$1006:U1006),$Q$1006:$U$1006,0)), HYPERLINK("#",""), HYPERLINK(CONCATENATE("#Metadata!", ADDRESS(INDEX($L$2:$L$1001,MATCH(ROWS($J$2:J525),$J$2:$J$1001,0),0), INDEX($Q$1004:$U$1004,1,MATCH(COLUMNS($Q$1006:U1006),$Q$1006:$U$1006,0)))),"Fix")))</f>
        <v xml:space="preserve"> </v>
      </c>
      <c r="J525">
        <f ca="1"/>
        <v>524</v>
      </c>
      <c r="K525">
        <v>100525</v>
      </c>
      <c r="L525">
        <v>525</v>
      </c>
      <c r="M525" t="b">
        <f t="shared" si="8"/>
        <v>1</v>
      </c>
      <c r="N525" t="b">
        <f>COUNTBLANK(Metadata!B525:F525)=COLUMNS(Metadata!B525:F525)</f>
        <v>1</v>
      </c>
      <c r="O525" t="str">
        <v/>
      </c>
      <c r="Q525" t="b">
        <f ca="1"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R525" t="b">
        <f>IF(Metadata!C525="",FALSE,TRUE)</f>
        <v>0</v>
      </c>
      <c r="S525" t="b">
        <f>OR(AND(IF(Metadata!D525="",FALSE,TRUE),EXACT(Metadata!D525,"missing: not collected")),AND(IF(Metadata!D525="",FALSE,TRUE),OR(EXACT(Metadata!D525,"t"),EXACT(Metadata!D525,"f"))))</f>
        <v>0</v>
      </c>
      <c r="T525" t="b">
        <f>AND(IF(Metadata!E525="",FALSE,TRUE),OR(EXACT(Metadata!E525,"a"),EXACT(Metadata!E525,"b")))</f>
        <v>0</v>
      </c>
      <c r="U525" t="b">
        <f>OR(AND(IF(Metadata!F525="",FALSE,TRUE),OR(EXACT(Metadata!F525,"missing: not collected"),EXACT(Metadata!F525,"missing: not provided"))),AND(IF(Metadata!F525="",FALSE,TRUE),OR(EXACT(Metadata!F525,"lo"),EXACT(Metadata!F525,"med"),EXACT(Metadata!F525,"hi"))))</f>
        <v>0</v>
      </c>
    </row>
    <row r="526" spans="1:21" x14ac:dyDescent="0.2">
      <c r="A526" s="4" t="str">
        <f ca="1">IF(B526=" "," ",HYPERLINK(CONCATENATE("#metadata!",ADDRESS(INDEX($L$2:$L$1001,MATCH(ROWS($J$2:J526),$J$2:$J$1001,0),0),1)),INDEX($O$2:$O$1001,MATCH(ROWS($J$2:J526),$J$2:$J$1001,0),0)))</f>
        <v xml:space="preserve"> </v>
      </c>
      <c r="B526" s="3" t="str">
        <f ca="1">IF(OR(INDEX($K$2:$K$1001,MATCH(ROWS($J$2:J526),$J$2:$J$1001,0),1)&gt;=100000,INDEX($Q$1005:$U$1005,1,MATCH(COLUMNS($Q$1006:Q1006),$Q$1006:$U$1006,0))&gt;=100000), " ",IF(INDEX($Q$2:$U$1001,MATCH(ROWS($J$2:J526),$J$2:$J$1001,0),MATCH(COLUMNS($Q$1006:Q1006),$Q$1006:$U$1006,0)), HYPERLINK("#",""), HYPERLINK(CONCATENATE("#Metadata!", ADDRESS(INDEX($L$2:$L$1001,MATCH(ROWS($J$2:J526),$J$2:$J$1001,0),0), INDEX($Q$1004:$U$1004,1,MATCH(COLUMNS($Q$1006:Q1006),$Q$1006:$U$1006,0)))),"Fix")))</f>
        <v xml:space="preserve"> </v>
      </c>
      <c r="C526" s="3" t="str">
        <f ca="1">IF(OR(INDEX($K$2:$K$1001,MATCH(ROWS($J$2:J526),$J$2:$J$1001,0),1)&gt;=100000,INDEX($Q$1005:$U$1005,1,MATCH(COLUMNS($Q$1006:R1006),$Q$1006:$U$1006,0))&gt;=100000), " ",IF(INDEX($Q$2:$U$1001,MATCH(ROWS($J$2:J526),$J$2:$J$1001,0),MATCH(COLUMNS($Q$1006:R1006),$Q$1006:$U$1006,0)), HYPERLINK("#",""), HYPERLINK(CONCATENATE("#Metadata!", ADDRESS(INDEX($L$2:$L$1001,MATCH(ROWS($J$2:J526),$J$2:$J$1001,0),0), INDEX($Q$1004:$U$1004,1,MATCH(COLUMNS($Q$1006:R1006),$Q$1006:$U$1006,0)))),"Fix")))</f>
        <v xml:space="preserve"> </v>
      </c>
      <c r="D526" s="3" t="str">
        <f ca="1">IF(OR(INDEX($K$2:$K$1001,MATCH(ROWS($J$2:J526),$J$2:$J$1001,0),1)&gt;=100000,INDEX($Q$1005:$U$1005,1,MATCH(COLUMNS($Q$1006:S1006),$Q$1006:$U$1006,0))&gt;=100000), " ",IF(INDEX($Q$2:$U$1001,MATCH(ROWS($J$2:J526),$J$2:$J$1001,0),MATCH(COLUMNS($Q$1006:S1006),$Q$1006:$U$1006,0)), HYPERLINK("#",""), HYPERLINK(CONCATENATE("#Metadata!", ADDRESS(INDEX($L$2:$L$1001,MATCH(ROWS($J$2:J526),$J$2:$J$1001,0),0), INDEX($Q$1004:$U$1004,1,MATCH(COLUMNS($Q$1006:S1006),$Q$1006:$U$1006,0)))),"Fix")))</f>
        <v xml:space="preserve"> </v>
      </c>
      <c r="E526" s="3" t="str">
        <f ca="1">IF(OR(INDEX($K$2:$K$1001,MATCH(ROWS($J$2:J526),$J$2:$J$1001,0),1)&gt;=100000,INDEX($Q$1005:$U$1005,1,MATCH(COLUMNS($Q$1006:T1006),$Q$1006:$U$1006,0))&gt;=100000), " ",IF(INDEX($Q$2:$U$1001,MATCH(ROWS($J$2:J526),$J$2:$J$1001,0),MATCH(COLUMNS($Q$1006:T1006),$Q$1006:$U$1006,0)), HYPERLINK("#",""), HYPERLINK(CONCATENATE("#Metadata!", ADDRESS(INDEX($L$2:$L$1001,MATCH(ROWS($J$2:J526),$J$2:$J$1001,0),0), INDEX($Q$1004:$U$1004,1,MATCH(COLUMNS($Q$1006:T1006),$Q$1006:$U$1006,0)))),"Fix")))</f>
        <v xml:space="preserve"> </v>
      </c>
      <c r="F526" s="3" t="str">
        <f ca="1">IF(OR(INDEX($K$2:$K$1001,MATCH(ROWS($J$2:J526),$J$2:$J$1001,0),1)&gt;=100000,INDEX($Q$1005:$U$1005,1,MATCH(COLUMNS($Q$1006:U1006),$Q$1006:$U$1006,0))&gt;=100000), " ",IF(INDEX($Q$2:$U$1001,MATCH(ROWS($J$2:J526),$J$2:$J$1001,0),MATCH(COLUMNS($Q$1006:U1006),$Q$1006:$U$1006,0)), HYPERLINK("#",""), HYPERLINK(CONCATENATE("#Metadata!", ADDRESS(INDEX($L$2:$L$1001,MATCH(ROWS($J$2:J526),$J$2:$J$1001,0),0), INDEX($Q$1004:$U$1004,1,MATCH(COLUMNS($Q$1006:U1006),$Q$1006:$U$1006,0)))),"Fix")))</f>
        <v xml:space="preserve"> </v>
      </c>
      <c r="J526">
        <f ca="1"/>
        <v>525</v>
      </c>
      <c r="K526">
        <v>100526</v>
      </c>
      <c r="L526">
        <v>526</v>
      </c>
      <c r="M526" t="b">
        <f t="shared" si="8"/>
        <v>1</v>
      </c>
      <c r="N526" t="b">
        <f>COUNTBLANK(Metadata!B526:F526)=COLUMNS(Metadata!B526:F526)</f>
        <v>1</v>
      </c>
      <c r="O526" t="str">
        <v/>
      </c>
      <c r="Q526" t="b">
        <f ca="1"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R526" t="b">
        <f>IF(Metadata!C526="",FALSE,TRUE)</f>
        <v>0</v>
      </c>
      <c r="S526" t="b">
        <f>OR(AND(IF(Metadata!D526="",FALSE,TRUE),EXACT(Metadata!D526,"missing: not collected")),AND(IF(Metadata!D526="",FALSE,TRUE),OR(EXACT(Metadata!D526,"t"),EXACT(Metadata!D526,"f"))))</f>
        <v>0</v>
      </c>
      <c r="T526" t="b">
        <f>AND(IF(Metadata!E526="",FALSE,TRUE),OR(EXACT(Metadata!E526,"a"),EXACT(Metadata!E526,"b")))</f>
        <v>0</v>
      </c>
      <c r="U526" t="b">
        <f>OR(AND(IF(Metadata!F526="",FALSE,TRUE),OR(EXACT(Metadata!F526,"missing: not collected"),EXACT(Metadata!F526,"missing: not provided"))),AND(IF(Metadata!F526="",FALSE,TRUE),OR(EXACT(Metadata!F526,"lo"),EXACT(Metadata!F526,"med"),EXACT(Metadata!F526,"hi"))))</f>
        <v>0</v>
      </c>
    </row>
    <row r="527" spans="1:21" x14ac:dyDescent="0.2">
      <c r="A527" s="4" t="str">
        <f ca="1">IF(B527=" "," ",HYPERLINK(CONCATENATE("#metadata!",ADDRESS(INDEX($L$2:$L$1001,MATCH(ROWS($J$2:J527),$J$2:$J$1001,0),0),1)),INDEX($O$2:$O$1001,MATCH(ROWS($J$2:J527),$J$2:$J$1001,0),0)))</f>
        <v xml:space="preserve"> </v>
      </c>
      <c r="B527" s="3" t="str">
        <f ca="1">IF(OR(INDEX($K$2:$K$1001,MATCH(ROWS($J$2:J527),$J$2:$J$1001,0),1)&gt;=100000,INDEX($Q$1005:$U$1005,1,MATCH(COLUMNS($Q$1006:Q1006),$Q$1006:$U$1006,0))&gt;=100000), " ",IF(INDEX($Q$2:$U$1001,MATCH(ROWS($J$2:J527),$J$2:$J$1001,0),MATCH(COLUMNS($Q$1006:Q1006),$Q$1006:$U$1006,0)), HYPERLINK("#",""), HYPERLINK(CONCATENATE("#Metadata!", ADDRESS(INDEX($L$2:$L$1001,MATCH(ROWS($J$2:J527),$J$2:$J$1001,0),0), INDEX($Q$1004:$U$1004,1,MATCH(COLUMNS($Q$1006:Q1006),$Q$1006:$U$1006,0)))),"Fix")))</f>
        <v xml:space="preserve"> </v>
      </c>
      <c r="C527" s="3" t="str">
        <f ca="1">IF(OR(INDEX($K$2:$K$1001,MATCH(ROWS($J$2:J527),$J$2:$J$1001,0),1)&gt;=100000,INDEX($Q$1005:$U$1005,1,MATCH(COLUMNS($Q$1006:R1006),$Q$1006:$U$1006,0))&gt;=100000), " ",IF(INDEX($Q$2:$U$1001,MATCH(ROWS($J$2:J527),$J$2:$J$1001,0),MATCH(COLUMNS($Q$1006:R1006),$Q$1006:$U$1006,0)), HYPERLINK("#",""), HYPERLINK(CONCATENATE("#Metadata!", ADDRESS(INDEX($L$2:$L$1001,MATCH(ROWS($J$2:J527),$J$2:$J$1001,0),0), INDEX($Q$1004:$U$1004,1,MATCH(COLUMNS($Q$1006:R1006),$Q$1006:$U$1006,0)))),"Fix")))</f>
        <v xml:space="preserve"> </v>
      </c>
      <c r="D527" s="3" t="str">
        <f ca="1">IF(OR(INDEX($K$2:$K$1001,MATCH(ROWS($J$2:J527),$J$2:$J$1001,0),1)&gt;=100000,INDEX($Q$1005:$U$1005,1,MATCH(COLUMNS($Q$1006:S1006),$Q$1006:$U$1006,0))&gt;=100000), " ",IF(INDEX($Q$2:$U$1001,MATCH(ROWS($J$2:J527),$J$2:$J$1001,0),MATCH(COLUMNS($Q$1006:S1006),$Q$1006:$U$1006,0)), HYPERLINK("#",""), HYPERLINK(CONCATENATE("#Metadata!", ADDRESS(INDEX($L$2:$L$1001,MATCH(ROWS($J$2:J527),$J$2:$J$1001,0),0), INDEX($Q$1004:$U$1004,1,MATCH(COLUMNS($Q$1006:S1006),$Q$1006:$U$1006,0)))),"Fix")))</f>
        <v xml:space="preserve"> </v>
      </c>
      <c r="E527" s="3" t="str">
        <f ca="1">IF(OR(INDEX($K$2:$K$1001,MATCH(ROWS($J$2:J527),$J$2:$J$1001,0),1)&gt;=100000,INDEX($Q$1005:$U$1005,1,MATCH(COLUMNS($Q$1006:T1006),$Q$1006:$U$1006,0))&gt;=100000), " ",IF(INDEX($Q$2:$U$1001,MATCH(ROWS($J$2:J527),$J$2:$J$1001,0),MATCH(COLUMNS($Q$1006:T1006),$Q$1006:$U$1006,0)), HYPERLINK("#",""), HYPERLINK(CONCATENATE("#Metadata!", ADDRESS(INDEX($L$2:$L$1001,MATCH(ROWS($J$2:J527),$J$2:$J$1001,0),0), INDEX($Q$1004:$U$1004,1,MATCH(COLUMNS($Q$1006:T1006),$Q$1006:$U$1006,0)))),"Fix")))</f>
        <v xml:space="preserve"> </v>
      </c>
      <c r="F527" s="3" t="str">
        <f ca="1">IF(OR(INDEX($K$2:$K$1001,MATCH(ROWS($J$2:J527),$J$2:$J$1001,0),1)&gt;=100000,INDEX($Q$1005:$U$1005,1,MATCH(COLUMNS($Q$1006:U1006),$Q$1006:$U$1006,0))&gt;=100000), " ",IF(INDEX($Q$2:$U$1001,MATCH(ROWS($J$2:J527),$J$2:$J$1001,0),MATCH(COLUMNS($Q$1006:U1006),$Q$1006:$U$1006,0)), HYPERLINK("#",""), HYPERLINK(CONCATENATE("#Metadata!", ADDRESS(INDEX($L$2:$L$1001,MATCH(ROWS($J$2:J527),$J$2:$J$1001,0),0), INDEX($Q$1004:$U$1004,1,MATCH(COLUMNS($Q$1006:U1006),$Q$1006:$U$1006,0)))),"Fix")))</f>
        <v xml:space="preserve"> </v>
      </c>
      <c r="J527">
        <f ca="1"/>
        <v>526</v>
      </c>
      <c r="K527">
        <v>100527</v>
      </c>
      <c r="L527">
        <v>527</v>
      </c>
      <c r="M527" t="b">
        <f t="shared" si="8"/>
        <v>1</v>
      </c>
      <c r="N527" t="b">
        <f>COUNTBLANK(Metadata!B527:F527)=COLUMNS(Metadata!B527:F527)</f>
        <v>1</v>
      </c>
      <c r="O527" t="str">
        <v/>
      </c>
      <c r="Q527" t="b">
        <f ca="1"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R527" t="b">
        <f>IF(Metadata!C527="",FALSE,TRUE)</f>
        <v>0</v>
      </c>
      <c r="S527" t="b">
        <f>OR(AND(IF(Metadata!D527="",FALSE,TRUE),EXACT(Metadata!D527,"missing: not collected")),AND(IF(Metadata!D527="",FALSE,TRUE),OR(EXACT(Metadata!D527,"t"),EXACT(Metadata!D527,"f"))))</f>
        <v>0</v>
      </c>
      <c r="T527" t="b">
        <f>AND(IF(Metadata!E527="",FALSE,TRUE),OR(EXACT(Metadata!E527,"a"),EXACT(Metadata!E527,"b")))</f>
        <v>0</v>
      </c>
      <c r="U527" t="b">
        <f>OR(AND(IF(Metadata!F527="",FALSE,TRUE),OR(EXACT(Metadata!F527,"missing: not collected"),EXACT(Metadata!F527,"missing: not provided"))),AND(IF(Metadata!F527="",FALSE,TRUE),OR(EXACT(Metadata!F527,"lo"),EXACT(Metadata!F527,"med"),EXACT(Metadata!F527,"hi"))))</f>
        <v>0</v>
      </c>
    </row>
    <row r="528" spans="1:21" x14ac:dyDescent="0.2">
      <c r="A528" s="4" t="str">
        <f ca="1">IF(B528=" "," ",HYPERLINK(CONCATENATE("#metadata!",ADDRESS(INDEX($L$2:$L$1001,MATCH(ROWS($J$2:J528),$J$2:$J$1001,0),0),1)),INDEX($O$2:$O$1001,MATCH(ROWS($J$2:J528),$J$2:$J$1001,0),0)))</f>
        <v xml:space="preserve"> </v>
      </c>
      <c r="B528" s="3" t="str">
        <f ca="1">IF(OR(INDEX($K$2:$K$1001,MATCH(ROWS($J$2:J528),$J$2:$J$1001,0),1)&gt;=100000,INDEX($Q$1005:$U$1005,1,MATCH(COLUMNS($Q$1006:Q1006),$Q$1006:$U$1006,0))&gt;=100000), " ",IF(INDEX($Q$2:$U$1001,MATCH(ROWS($J$2:J528),$J$2:$J$1001,0),MATCH(COLUMNS($Q$1006:Q1006),$Q$1006:$U$1006,0)), HYPERLINK("#",""), HYPERLINK(CONCATENATE("#Metadata!", ADDRESS(INDEX($L$2:$L$1001,MATCH(ROWS($J$2:J528),$J$2:$J$1001,0),0), INDEX($Q$1004:$U$1004,1,MATCH(COLUMNS($Q$1006:Q1006),$Q$1006:$U$1006,0)))),"Fix")))</f>
        <v xml:space="preserve"> </v>
      </c>
      <c r="C528" s="3" t="str">
        <f ca="1">IF(OR(INDEX($K$2:$K$1001,MATCH(ROWS($J$2:J528),$J$2:$J$1001,0),1)&gt;=100000,INDEX($Q$1005:$U$1005,1,MATCH(COLUMNS($Q$1006:R1006),$Q$1006:$U$1006,0))&gt;=100000), " ",IF(INDEX($Q$2:$U$1001,MATCH(ROWS($J$2:J528),$J$2:$J$1001,0),MATCH(COLUMNS($Q$1006:R1006),$Q$1006:$U$1006,0)), HYPERLINK("#",""), HYPERLINK(CONCATENATE("#Metadata!", ADDRESS(INDEX($L$2:$L$1001,MATCH(ROWS($J$2:J528),$J$2:$J$1001,0),0), INDEX($Q$1004:$U$1004,1,MATCH(COLUMNS($Q$1006:R1006),$Q$1006:$U$1006,0)))),"Fix")))</f>
        <v xml:space="preserve"> </v>
      </c>
      <c r="D528" s="3" t="str">
        <f ca="1">IF(OR(INDEX($K$2:$K$1001,MATCH(ROWS($J$2:J528),$J$2:$J$1001,0),1)&gt;=100000,INDEX($Q$1005:$U$1005,1,MATCH(COLUMNS($Q$1006:S1006),$Q$1006:$U$1006,0))&gt;=100000), " ",IF(INDEX($Q$2:$U$1001,MATCH(ROWS($J$2:J528),$J$2:$J$1001,0),MATCH(COLUMNS($Q$1006:S1006),$Q$1006:$U$1006,0)), HYPERLINK("#",""), HYPERLINK(CONCATENATE("#Metadata!", ADDRESS(INDEX($L$2:$L$1001,MATCH(ROWS($J$2:J528),$J$2:$J$1001,0),0), INDEX($Q$1004:$U$1004,1,MATCH(COLUMNS($Q$1006:S1006),$Q$1006:$U$1006,0)))),"Fix")))</f>
        <v xml:space="preserve"> </v>
      </c>
      <c r="E528" s="3" t="str">
        <f ca="1">IF(OR(INDEX($K$2:$K$1001,MATCH(ROWS($J$2:J528),$J$2:$J$1001,0),1)&gt;=100000,INDEX($Q$1005:$U$1005,1,MATCH(COLUMNS($Q$1006:T1006),$Q$1006:$U$1006,0))&gt;=100000), " ",IF(INDEX($Q$2:$U$1001,MATCH(ROWS($J$2:J528),$J$2:$J$1001,0),MATCH(COLUMNS($Q$1006:T1006),$Q$1006:$U$1006,0)), HYPERLINK("#",""), HYPERLINK(CONCATENATE("#Metadata!", ADDRESS(INDEX($L$2:$L$1001,MATCH(ROWS($J$2:J528),$J$2:$J$1001,0),0), INDEX($Q$1004:$U$1004,1,MATCH(COLUMNS($Q$1006:T1006),$Q$1006:$U$1006,0)))),"Fix")))</f>
        <v xml:space="preserve"> </v>
      </c>
      <c r="F528" s="3" t="str">
        <f ca="1">IF(OR(INDEX($K$2:$K$1001,MATCH(ROWS($J$2:J528),$J$2:$J$1001,0),1)&gt;=100000,INDEX($Q$1005:$U$1005,1,MATCH(COLUMNS($Q$1006:U1006),$Q$1006:$U$1006,0))&gt;=100000), " ",IF(INDEX($Q$2:$U$1001,MATCH(ROWS($J$2:J528),$J$2:$J$1001,0),MATCH(COLUMNS($Q$1006:U1006),$Q$1006:$U$1006,0)), HYPERLINK("#",""), HYPERLINK(CONCATENATE("#Metadata!", ADDRESS(INDEX($L$2:$L$1001,MATCH(ROWS($J$2:J528),$J$2:$J$1001,0),0), INDEX($Q$1004:$U$1004,1,MATCH(COLUMNS($Q$1006:U1006),$Q$1006:$U$1006,0)))),"Fix")))</f>
        <v xml:space="preserve"> </v>
      </c>
      <c r="J528">
        <f ca="1"/>
        <v>527</v>
      </c>
      <c r="K528">
        <v>100528</v>
      </c>
      <c r="L528">
        <v>528</v>
      </c>
      <c r="M528" t="b">
        <f t="shared" si="8"/>
        <v>1</v>
      </c>
      <c r="N528" t="b">
        <f>COUNTBLANK(Metadata!B528:F528)=COLUMNS(Metadata!B528:F528)</f>
        <v>1</v>
      </c>
      <c r="O528" t="str">
        <v/>
      </c>
      <c r="Q528" t="b">
        <f ca="1"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R528" t="b">
        <f>IF(Metadata!C528="",FALSE,TRUE)</f>
        <v>0</v>
      </c>
      <c r="S528" t="b">
        <f>OR(AND(IF(Metadata!D528="",FALSE,TRUE),EXACT(Metadata!D528,"missing: not collected")),AND(IF(Metadata!D528="",FALSE,TRUE),OR(EXACT(Metadata!D528,"t"),EXACT(Metadata!D528,"f"))))</f>
        <v>0</v>
      </c>
      <c r="T528" t="b">
        <f>AND(IF(Metadata!E528="",FALSE,TRUE),OR(EXACT(Metadata!E528,"a"),EXACT(Metadata!E528,"b")))</f>
        <v>0</v>
      </c>
      <c r="U528" t="b">
        <f>OR(AND(IF(Metadata!F528="",FALSE,TRUE),OR(EXACT(Metadata!F528,"missing: not collected"),EXACT(Metadata!F528,"missing: not provided"))),AND(IF(Metadata!F528="",FALSE,TRUE),OR(EXACT(Metadata!F528,"lo"),EXACT(Metadata!F528,"med"),EXACT(Metadata!F528,"hi"))))</f>
        <v>0</v>
      </c>
    </row>
    <row r="529" spans="1:21" x14ac:dyDescent="0.2">
      <c r="A529" s="4" t="str">
        <f ca="1">IF(B529=" "," ",HYPERLINK(CONCATENATE("#metadata!",ADDRESS(INDEX($L$2:$L$1001,MATCH(ROWS($J$2:J529),$J$2:$J$1001,0),0),1)),INDEX($O$2:$O$1001,MATCH(ROWS($J$2:J529),$J$2:$J$1001,0),0)))</f>
        <v xml:space="preserve"> </v>
      </c>
      <c r="B529" s="3" t="str">
        <f ca="1">IF(OR(INDEX($K$2:$K$1001,MATCH(ROWS($J$2:J529),$J$2:$J$1001,0),1)&gt;=100000,INDEX($Q$1005:$U$1005,1,MATCH(COLUMNS($Q$1006:Q1006),$Q$1006:$U$1006,0))&gt;=100000), " ",IF(INDEX($Q$2:$U$1001,MATCH(ROWS($J$2:J529),$J$2:$J$1001,0),MATCH(COLUMNS($Q$1006:Q1006),$Q$1006:$U$1006,0)), HYPERLINK("#",""), HYPERLINK(CONCATENATE("#Metadata!", ADDRESS(INDEX($L$2:$L$1001,MATCH(ROWS($J$2:J529),$J$2:$J$1001,0),0), INDEX($Q$1004:$U$1004,1,MATCH(COLUMNS($Q$1006:Q1006),$Q$1006:$U$1006,0)))),"Fix")))</f>
        <v xml:space="preserve"> </v>
      </c>
      <c r="C529" s="3" t="str">
        <f ca="1">IF(OR(INDEX($K$2:$K$1001,MATCH(ROWS($J$2:J529),$J$2:$J$1001,0),1)&gt;=100000,INDEX($Q$1005:$U$1005,1,MATCH(COLUMNS($Q$1006:R1006),$Q$1006:$U$1006,0))&gt;=100000), " ",IF(INDEX($Q$2:$U$1001,MATCH(ROWS($J$2:J529),$J$2:$J$1001,0),MATCH(COLUMNS($Q$1006:R1006),$Q$1006:$U$1006,0)), HYPERLINK("#",""), HYPERLINK(CONCATENATE("#Metadata!", ADDRESS(INDEX($L$2:$L$1001,MATCH(ROWS($J$2:J529),$J$2:$J$1001,0),0), INDEX($Q$1004:$U$1004,1,MATCH(COLUMNS($Q$1006:R1006),$Q$1006:$U$1006,0)))),"Fix")))</f>
        <v xml:space="preserve"> </v>
      </c>
      <c r="D529" s="3" t="str">
        <f ca="1">IF(OR(INDEX($K$2:$K$1001,MATCH(ROWS($J$2:J529),$J$2:$J$1001,0),1)&gt;=100000,INDEX($Q$1005:$U$1005,1,MATCH(COLUMNS($Q$1006:S1006),$Q$1006:$U$1006,0))&gt;=100000), " ",IF(INDEX($Q$2:$U$1001,MATCH(ROWS($J$2:J529),$J$2:$J$1001,0),MATCH(COLUMNS($Q$1006:S1006),$Q$1006:$U$1006,0)), HYPERLINK("#",""), HYPERLINK(CONCATENATE("#Metadata!", ADDRESS(INDEX($L$2:$L$1001,MATCH(ROWS($J$2:J529),$J$2:$J$1001,0),0), INDEX($Q$1004:$U$1004,1,MATCH(COLUMNS($Q$1006:S1006),$Q$1006:$U$1006,0)))),"Fix")))</f>
        <v xml:space="preserve"> </v>
      </c>
      <c r="E529" s="3" t="str">
        <f ca="1">IF(OR(INDEX($K$2:$K$1001,MATCH(ROWS($J$2:J529),$J$2:$J$1001,0),1)&gt;=100000,INDEX($Q$1005:$U$1005,1,MATCH(COLUMNS($Q$1006:T1006),$Q$1006:$U$1006,0))&gt;=100000), " ",IF(INDEX($Q$2:$U$1001,MATCH(ROWS($J$2:J529),$J$2:$J$1001,0),MATCH(COLUMNS($Q$1006:T1006),$Q$1006:$U$1006,0)), HYPERLINK("#",""), HYPERLINK(CONCATENATE("#Metadata!", ADDRESS(INDEX($L$2:$L$1001,MATCH(ROWS($J$2:J529),$J$2:$J$1001,0),0), INDEX($Q$1004:$U$1004,1,MATCH(COLUMNS($Q$1006:T1006),$Q$1006:$U$1006,0)))),"Fix")))</f>
        <v xml:space="preserve"> </v>
      </c>
      <c r="F529" s="3" t="str">
        <f ca="1">IF(OR(INDEX($K$2:$K$1001,MATCH(ROWS($J$2:J529),$J$2:$J$1001,0),1)&gt;=100000,INDEX($Q$1005:$U$1005,1,MATCH(COLUMNS($Q$1006:U1006),$Q$1006:$U$1006,0))&gt;=100000), " ",IF(INDEX($Q$2:$U$1001,MATCH(ROWS($J$2:J529),$J$2:$J$1001,0),MATCH(COLUMNS($Q$1006:U1006),$Q$1006:$U$1006,0)), HYPERLINK("#",""), HYPERLINK(CONCATENATE("#Metadata!", ADDRESS(INDEX($L$2:$L$1001,MATCH(ROWS($J$2:J529),$J$2:$J$1001,0),0), INDEX($Q$1004:$U$1004,1,MATCH(COLUMNS($Q$1006:U1006),$Q$1006:$U$1006,0)))),"Fix")))</f>
        <v xml:space="preserve"> </v>
      </c>
      <c r="J529">
        <f ca="1"/>
        <v>528</v>
      </c>
      <c r="K529">
        <v>100529</v>
      </c>
      <c r="L529">
        <v>529</v>
      </c>
      <c r="M529" t="b">
        <f t="shared" si="8"/>
        <v>1</v>
      </c>
      <c r="N529" t="b">
        <f>COUNTBLANK(Metadata!B529:F529)=COLUMNS(Metadata!B529:F529)</f>
        <v>1</v>
      </c>
      <c r="O529" t="str">
        <v/>
      </c>
      <c r="Q529" t="b">
        <f ca="1"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R529" t="b">
        <f>IF(Metadata!C529="",FALSE,TRUE)</f>
        <v>0</v>
      </c>
      <c r="S529" t="b">
        <f>OR(AND(IF(Metadata!D529="",FALSE,TRUE),EXACT(Metadata!D529,"missing: not collected")),AND(IF(Metadata!D529="",FALSE,TRUE),OR(EXACT(Metadata!D529,"t"),EXACT(Metadata!D529,"f"))))</f>
        <v>0</v>
      </c>
      <c r="T529" t="b">
        <f>AND(IF(Metadata!E529="",FALSE,TRUE),OR(EXACT(Metadata!E529,"a"),EXACT(Metadata!E529,"b")))</f>
        <v>0</v>
      </c>
      <c r="U529" t="b">
        <f>OR(AND(IF(Metadata!F529="",FALSE,TRUE),OR(EXACT(Metadata!F529,"missing: not collected"),EXACT(Metadata!F529,"missing: not provided"))),AND(IF(Metadata!F529="",FALSE,TRUE),OR(EXACT(Metadata!F529,"lo"),EXACT(Metadata!F529,"med"),EXACT(Metadata!F529,"hi"))))</f>
        <v>0</v>
      </c>
    </row>
    <row r="530" spans="1:21" x14ac:dyDescent="0.2">
      <c r="A530" s="4" t="str">
        <f ca="1">IF(B530=" "," ",HYPERLINK(CONCATENATE("#metadata!",ADDRESS(INDEX($L$2:$L$1001,MATCH(ROWS($J$2:J530),$J$2:$J$1001,0),0),1)),INDEX($O$2:$O$1001,MATCH(ROWS($J$2:J530),$J$2:$J$1001,0),0)))</f>
        <v xml:space="preserve"> </v>
      </c>
      <c r="B530" s="3" t="str">
        <f ca="1">IF(OR(INDEX($K$2:$K$1001,MATCH(ROWS($J$2:J530),$J$2:$J$1001,0),1)&gt;=100000,INDEX($Q$1005:$U$1005,1,MATCH(COLUMNS($Q$1006:Q1006),$Q$1006:$U$1006,0))&gt;=100000), " ",IF(INDEX($Q$2:$U$1001,MATCH(ROWS($J$2:J530),$J$2:$J$1001,0),MATCH(COLUMNS($Q$1006:Q1006),$Q$1006:$U$1006,0)), HYPERLINK("#",""), HYPERLINK(CONCATENATE("#Metadata!", ADDRESS(INDEX($L$2:$L$1001,MATCH(ROWS($J$2:J530),$J$2:$J$1001,0),0), INDEX($Q$1004:$U$1004,1,MATCH(COLUMNS($Q$1006:Q1006),$Q$1006:$U$1006,0)))),"Fix")))</f>
        <v xml:space="preserve"> </v>
      </c>
      <c r="C530" s="3" t="str">
        <f ca="1">IF(OR(INDEX($K$2:$K$1001,MATCH(ROWS($J$2:J530),$J$2:$J$1001,0),1)&gt;=100000,INDEX($Q$1005:$U$1005,1,MATCH(COLUMNS($Q$1006:R1006),$Q$1006:$U$1006,0))&gt;=100000), " ",IF(INDEX($Q$2:$U$1001,MATCH(ROWS($J$2:J530),$J$2:$J$1001,0),MATCH(COLUMNS($Q$1006:R1006),$Q$1006:$U$1006,0)), HYPERLINK("#",""), HYPERLINK(CONCATENATE("#Metadata!", ADDRESS(INDEX($L$2:$L$1001,MATCH(ROWS($J$2:J530),$J$2:$J$1001,0),0), INDEX($Q$1004:$U$1004,1,MATCH(COLUMNS($Q$1006:R1006),$Q$1006:$U$1006,0)))),"Fix")))</f>
        <v xml:space="preserve"> </v>
      </c>
      <c r="D530" s="3" t="str">
        <f ca="1">IF(OR(INDEX($K$2:$K$1001,MATCH(ROWS($J$2:J530),$J$2:$J$1001,0),1)&gt;=100000,INDEX($Q$1005:$U$1005,1,MATCH(COLUMNS($Q$1006:S1006),$Q$1006:$U$1006,0))&gt;=100000), " ",IF(INDEX($Q$2:$U$1001,MATCH(ROWS($J$2:J530),$J$2:$J$1001,0),MATCH(COLUMNS($Q$1006:S1006),$Q$1006:$U$1006,0)), HYPERLINK("#",""), HYPERLINK(CONCATENATE("#Metadata!", ADDRESS(INDEX($L$2:$L$1001,MATCH(ROWS($J$2:J530),$J$2:$J$1001,0),0), INDEX($Q$1004:$U$1004,1,MATCH(COLUMNS($Q$1006:S1006),$Q$1006:$U$1006,0)))),"Fix")))</f>
        <v xml:space="preserve"> </v>
      </c>
      <c r="E530" s="3" t="str">
        <f ca="1">IF(OR(INDEX($K$2:$K$1001,MATCH(ROWS($J$2:J530),$J$2:$J$1001,0),1)&gt;=100000,INDEX($Q$1005:$U$1005,1,MATCH(COLUMNS($Q$1006:T1006),$Q$1006:$U$1006,0))&gt;=100000), " ",IF(INDEX($Q$2:$U$1001,MATCH(ROWS($J$2:J530),$J$2:$J$1001,0),MATCH(COLUMNS($Q$1006:T1006),$Q$1006:$U$1006,0)), HYPERLINK("#",""), HYPERLINK(CONCATENATE("#Metadata!", ADDRESS(INDEX($L$2:$L$1001,MATCH(ROWS($J$2:J530),$J$2:$J$1001,0),0), INDEX($Q$1004:$U$1004,1,MATCH(COLUMNS($Q$1006:T1006),$Q$1006:$U$1006,0)))),"Fix")))</f>
        <v xml:space="preserve"> </v>
      </c>
      <c r="F530" s="3" t="str">
        <f ca="1">IF(OR(INDEX($K$2:$K$1001,MATCH(ROWS($J$2:J530),$J$2:$J$1001,0),1)&gt;=100000,INDEX($Q$1005:$U$1005,1,MATCH(COLUMNS($Q$1006:U1006),$Q$1006:$U$1006,0))&gt;=100000), " ",IF(INDEX($Q$2:$U$1001,MATCH(ROWS($J$2:J530),$J$2:$J$1001,0),MATCH(COLUMNS($Q$1006:U1006),$Q$1006:$U$1006,0)), HYPERLINK("#",""), HYPERLINK(CONCATENATE("#Metadata!", ADDRESS(INDEX($L$2:$L$1001,MATCH(ROWS($J$2:J530),$J$2:$J$1001,0),0), INDEX($Q$1004:$U$1004,1,MATCH(COLUMNS($Q$1006:U1006),$Q$1006:$U$1006,0)))),"Fix")))</f>
        <v xml:space="preserve"> </v>
      </c>
      <c r="J530">
        <f ca="1"/>
        <v>529</v>
      </c>
      <c r="K530">
        <v>100530</v>
      </c>
      <c r="L530">
        <v>530</v>
      </c>
      <c r="M530" t="b">
        <f t="shared" si="8"/>
        <v>1</v>
      </c>
      <c r="N530" t="b">
        <f>COUNTBLANK(Metadata!B530:F530)=COLUMNS(Metadata!B530:F530)</f>
        <v>1</v>
      </c>
      <c r="O530" t="str">
        <v/>
      </c>
      <c r="Q530" t="b">
        <f ca="1"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R530" t="b">
        <f>IF(Metadata!C530="",FALSE,TRUE)</f>
        <v>0</v>
      </c>
      <c r="S530" t="b">
        <f>OR(AND(IF(Metadata!D530="",FALSE,TRUE),EXACT(Metadata!D530,"missing: not collected")),AND(IF(Metadata!D530="",FALSE,TRUE),OR(EXACT(Metadata!D530,"t"),EXACT(Metadata!D530,"f"))))</f>
        <v>0</v>
      </c>
      <c r="T530" t="b">
        <f>AND(IF(Metadata!E530="",FALSE,TRUE),OR(EXACT(Metadata!E530,"a"),EXACT(Metadata!E530,"b")))</f>
        <v>0</v>
      </c>
      <c r="U530" t="b">
        <f>OR(AND(IF(Metadata!F530="",FALSE,TRUE),OR(EXACT(Metadata!F530,"missing: not collected"),EXACT(Metadata!F530,"missing: not provided"))),AND(IF(Metadata!F530="",FALSE,TRUE),OR(EXACT(Metadata!F530,"lo"),EXACT(Metadata!F530,"med"),EXACT(Metadata!F530,"hi"))))</f>
        <v>0</v>
      </c>
    </row>
    <row r="531" spans="1:21" x14ac:dyDescent="0.2">
      <c r="A531" s="4" t="str">
        <f ca="1">IF(B531=" "," ",HYPERLINK(CONCATENATE("#metadata!",ADDRESS(INDEX($L$2:$L$1001,MATCH(ROWS($J$2:J531),$J$2:$J$1001,0),0),1)),INDEX($O$2:$O$1001,MATCH(ROWS($J$2:J531),$J$2:$J$1001,0),0)))</f>
        <v xml:space="preserve"> </v>
      </c>
      <c r="B531" s="3" t="str">
        <f ca="1">IF(OR(INDEX($K$2:$K$1001,MATCH(ROWS($J$2:J531),$J$2:$J$1001,0),1)&gt;=100000,INDEX($Q$1005:$U$1005,1,MATCH(COLUMNS($Q$1006:Q1006),$Q$1006:$U$1006,0))&gt;=100000), " ",IF(INDEX($Q$2:$U$1001,MATCH(ROWS($J$2:J531),$J$2:$J$1001,0),MATCH(COLUMNS($Q$1006:Q1006),$Q$1006:$U$1006,0)), HYPERLINK("#",""), HYPERLINK(CONCATENATE("#Metadata!", ADDRESS(INDEX($L$2:$L$1001,MATCH(ROWS($J$2:J531),$J$2:$J$1001,0),0), INDEX($Q$1004:$U$1004,1,MATCH(COLUMNS($Q$1006:Q1006),$Q$1006:$U$1006,0)))),"Fix")))</f>
        <v xml:space="preserve"> </v>
      </c>
      <c r="C531" s="3" t="str">
        <f ca="1">IF(OR(INDEX($K$2:$K$1001,MATCH(ROWS($J$2:J531),$J$2:$J$1001,0),1)&gt;=100000,INDEX($Q$1005:$U$1005,1,MATCH(COLUMNS($Q$1006:R1006),$Q$1006:$U$1006,0))&gt;=100000), " ",IF(INDEX($Q$2:$U$1001,MATCH(ROWS($J$2:J531),$J$2:$J$1001,0),MATCH(COLUMNS($Q$1006:R1006),$Q$1006:$U$1006,0)), HYPERLINK("#",""), HYPERLINK(CONCATENATE("#Metadata!", ADDRESS(INDEX($L$2:$L$1001,MATCH(ROWS($J$2:J531),$J$2:$J$1001,0),0), INDEX($Q$1004:$U$1004,1,MATCH(COLUMNS($Q$1006:R1006),$Q$1006:$U$1006,0)))),"Fix")))</f>
        <v xml:space="preserve"> </v>
      </c>
      <c r="D531" s="3" t="str">
        <f ca="1">IF(OR(INDEX($K$2:$K$1001,MATCH(ROWS($J$2:J531),$J$2:$J$1001,0),1)&gt;=100000,INDEX($Q$1005:$U$1005,1,MATCH(COLUMNS($Q$1006:S1006),$Q$1006:$U$1006,0))&gt;=100000), " ",IF(INDEX($Q$2:$U$1001,MATCH(ROWS($J$2:J531),$J$2:$J$1001,0),MATCH(COLUMNS($Q$1006:S1006),$Q$1006:$U$1006,0)), HYPERLINK("#",""), HYPERLINK(CONCATENATE("#Metadata!", ADDRESS(INDEX($L$2:$L$1001,MATCH(ROWS($J$2:J531),$J$2:$J$1001,0),0), INDEX($Q$1004:$U$1004,1,MATCH(COLUMNS($Q$1006:S1006),$Q$1006:$U$1006,0)))),"Fix")))</f>
        <v xml:space="preserve"> </v>
      </c>
      <c r="E531" s="3" t="str">
        <f ca="1">IF(OR(INDEX($K$2:$K$1001,MATCH(ROWS($J$2:J531),$J$2:$J$1001,0),1)&gt;=100000,INDEX($Q$1005:$U$1005,1,MATCH(COLUMNS($Q$1006:T1006),$Q$1006:$U$1006,0))&gt;=100000), " ",IF(INDEX($Q$2:$U$1001,MATCH(ROWS($J$2:J531),$J$2:$J$1001,0),MATCH(COLUMNS($Q$1006:T1006),$Q$1006:$U$1006,0)), HYPERLINK("#",""), HYPERLINK(CONCATENATE("#Metadata!", ADDRESS(INDEX($L$2:$L$1001,MATCH(ROWS($J$2:J531),$J$2:$J$1001,0),0), INDEX($Q$1004:$U$1004,1,MATCH(COLUMNS($Q$1006:T1006),$Q$1006:$U$1006,0)))),"Fix")))</f>
        <v xml:space="preserve"> </v>
      </c>
      <c r="F531" s="3" t="str">
        <f ca="1">IF(OR(INDEX($K$2:$K$1001,MATCH(ROWS($J$2:J531),$J$2:$J$1001,0),1)&gt;=100000,INDEX($Q$1005:$U$1005,1,MATCH(COLUMNS($Q$1006:U1006),$Q$1006:$U$1006,0))&gt;=100000), " ",IF(INDEX($Q$2:$U$1001,MATCH(ROWS($J$2:J531),$J$2:$J$1001,0),MATCH(COLUMNS($Q$1006:U1006),$Q$1006:$U$1006,0)), HYPERLINK("#",""), HYPERLINK(CONCATENATE("#Metadata!", ADDRESS(INDEX($L$2:$L$1001,MATCH(ROWS($J$2:J531),$J$2:$J$1001,0),0), INDEX($Q$1004:$U$1004,1,MATCH(COLUMNS($Q$1006:U1006),$Q$1006:$U$1006,0)))),"Fix")))</f>
        <v xml:space="preserve"> </v>
      </c>
      <c r="J531">
        <f ca="1"/>
        <v>530</v>
      </c>
      <c r="K531">
        <v>100531</v>
      </c>
      <c r="L531">
        <v>531</v>
      </c>
      <c r="M531" t="b">
        <f t="shared" si="8"/>
        <v>1</v>
      </c>
      <c r="N531" t="b">
        <f>COUNTBLANK(Metadata!B531:F531)=COLUMNS(Metadata!B531:F531)</f>
        <v>1</v>
      </c>
      <c r="O531" t="str">
        <v/>
      </c>
      <c r="Q531" t="b">
        <f ca="1"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R531" t="b">
        <f>IF(Metadata!C531="",FALSE,TRUE)</f>
        <v>0</v>
      </c>
      <c r="S531" t="b">
        <f>OR(AND(IF(Metadata!D531="",FALSE,TRUE),EXACT(Metadata!D531,"missing: not collected")),AND(IF(Metadata!D531="",FALSE,TRUE),OR(EXACT(Metadata!D531,"t"),EXACT(Metadata!D531,"f"))))</f>
        <v>0</v>
      </c>
      <c r="T531" t="b">
        <f>AND(IF(Metadata!E531="",FALSE,TRUE),OR(EXACT(Metadata!E531,"a"),EXACT(Metadata!E531,"b")))</f>
        <v>0</v>
      </c>
      <c r="U531" t="b">
        <f>OR(AND(IF(Metadata!F531="",FALSE,TRUE),OR(EXACT(Metadata!F531,"missing: not collected"),EXACT(Metadata!F531,"missing: not provided"))),AND(IF(Metadata!F531="",FALSE,TRUE),OR(EXACT(Metadata!F531,"lo"),EXACT(Metadata!F531,"med"),EXACT(Metadata!F531,"hi"))))</f>
        <v>0</v>
      </c>
    </row>
    <row r="532" spans="1:21" x14ac:dyDescent="0.2">
      <c r="A532" s="4" t="str">
        <f ca="1">IF(B532=" "," ",HYPERLINK(CONCATENATE("#metadata!",ADDRESS(INDEX($L$2:$L$1001,MATCH(ROWS($J$2:J532),$J$2:$J$1001,0),0),1)),INDEX($O$2:$O$1001,MATCH(ROWS($J$2:J532),$J$2:$J$1001,0),0)))</f>
        <v xml:space="preserve"> </v>
      </c>
      <c r="B532" s="3" t="str">
        <f ca="1">IF(OR(INDEX($K$2:$K$1001,MATCH(ROWS($J$2:J532),$J$2:$J$1001,0),1)&gt;=100000,INDEX($Q$1005:$U$1005,1,MATCH(COLUMNS($Q$1006:Q1006),$Q$1006:$U$1006,0))&gt;=100000), " ",IF(INDEX($Q$2:$U$1001,MATCH(ROWS($J$2:J532),$J$2:$J$1001,0),MATCH(COLUMNS($Q$1006:Q1006),$Q$1006:$U$1006,0)), HYPERLINK("#",""), HYPERLINK(CONCATENATE("#Metadata!", ADDRESS(INDEX($L$2:$L$1001,MATCH(ROWS($J$2:J532),$J$2:$J$1001,0),0), INDEX($Q$1004:$U$1004,1,MATCH(COLUMNS($Q$1006:Q1006),$Q$1006:$U$1006,0)))),"Fix")))</f>
        <v xml:space="preserve"> </v>
      </c>
      <c r="C532" s="3" t="str">
        <f ca="1">IF(OR(INDEX($K$2:$K$1001,MATCH(ROWS($J$2:J532),$J$2:$J$1001,0),1)&gt;=100000,INDEX($Q$1005:$U$1005,1,MATCH(COLUMNS($Q$1006:R1006),$Q$1006:$U$1006,0))&gt;=100000), " ",IF(INDEX($Q$2:$U$1001,MATCH(ROWS($J$2:J532),$J$2:$J$1001,0),MATCH(COLUMNS($Q$1006:R1006),$Q$1006:$U$1006,0)), HYPERLINK("#",""), HYPERLINK(CONCATENATE("#Metadata!", ADDRESS(INDEX($L$2:$L$1001,MATCH(ROWS($J$2:J532),$J$2:$J$1001,0),0), INDEX($Q$1004:$U$1004,1,MATCH(COLUMNS($Q$1006:R1006),$Q$1006:$U$1006,0)))),"Fix")))</f>
        <v xml:space="preserve"> </v>
      </c>
      <c r="D532" s="3" t="str">
        <f ca="1">IF(OR(INDEX($K$2:$K$1001,MATCH(ROWS($J$2:J532),$J$2:$J$1001,0),1)&gt;=100000,INDEX($Q$1005:$U$1005,1,MATCH(COLUMNS($Q$1006:S1006),$Q$1006:$U$1006,0))&gt;=100000), " ",IF(INDEX($Q$2:$U$1001,MATCH(ROWS($J$2:J532),$J$2:$J$1001,0),MATCH(COLUMNS($Q$1006:S1006),$Q$1006:$U$1006,0)), HYPERLINK("#",""), HYPERLINK(CONCATENATE("#Metadata!", ADDRESS(INDEX($L$2:$L$1001,MATCH(ROWS($J$2:J532),$J$2:$J$1001,0),0), INDEX($Q$1004:$U$1004,1,MATCH(COLUMNS($Q$1006:S1006),$Q$1006:$U$1006,0)))),"Fix")))</f>
        <v xml:space="preserve"> </v>
      </c>
      <c r="E532" s="3" t="str">
        <f ca="1">IF(OR(INDEX($K$2:$K$1001,MATCH(ROWS($J$2:J532),$J$2:$J$1001,0),1)&gt;=100000,INDEX($Q$1005:$U$1005,1,MATCH(COLUMNS($Q$1006:T1006),$Q$1006:$U$1006,0))&gt;=100000), " ",IF(INDEX($Q$2:$U$1001,MATCH(ROWS($J$2:J532),$J$2:$J$1001,0),MATCH(COLUMNS($Q$1006:T1006),$Q$1006:$U$1006,0)), HYPERLINK("#",""), HYPERLINK(CONCATENATE("#Metadata!", ADDRESS(INDEX($L$2:$L$1001,MATCH(ROWS($J$2:J532),$J$2:$J$1001,0),0), INDEX($Q$1004:$U$1004,1,MATCH(COLUMNS($Q$1006:T1006),$Q$1006:$U$1006,0)))),"Fix")))</f>
        <v xml:space="preserve"> </v>
      </c>
      <c r="F532" s="3" t="str">
        <f ca="1">IF(OR(INDEX($K$2:$K$1001,MATCH(ROWS($J$2:J532),$J$2:$J$1001,0),1)&gt;=100000,INDEX($Q$1005:$U$1005,1,MATCH(COLUMNS($Q$1006:U1006),$Q$1006:$U$1006,0))&gt;=100000), " ",IF(INDEX($Q$2:$U$1001,MATCH(ROWS($J$2:J532),$J$2:$J$1001,0),MATCH(COLUMNS($Q$1006:U1006),$Q$1006:$U$1006,0)), HYPERLINK("#",""), HYPERLINK(CONCATENATE("#Metadata!", ADDRESS(INDEX($L$2:$L$1001,MATCH(ROWS($J$2:J532),$J$2:$J$1001,0),0), INDEX($Q$1004:$U$1004,1,MATCH(COLUMNS($Q$1006:U1006),$Q$1006:$U$1006,0)))),"Fix")))</f>
        <v xml:space="preserve"> </v>
      </c>
      <c r="J532">
        <f ca="1"/>
        <v>531</v>
      </c>
      <c r="K532">
        <v>100532</v>
      </c>
      <c r="L532">
        <v>532</v>
      </c>
      <c r="M532" t="b">
        <f t="shared" si="8"/>
        <v>1</v>
      </c>
      <c r="N532" t="b">
        <f>COUNTBLANK(Metadata!B532:F532)=COLUMNS(Metadata!B532:F532)</f>
        <v>1</v>
      </c>
      <c r="O532" t="str">
        <v/>
      </c>
      <c r="Q532" t="b">
        <f ca="1"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R532" t="b">
        <f>IF(Metadata!C532="",FALSE,TRUE)</f>
        <v>0</v>
      </c>
      <c r="S532" t="b">
        <f>OR(AND(IF(Metadata!D532="",FALSE,TRUE),EXACT(Metadata!D532,"missing: not collected")),AND(IF(Metadata!D532="",FALSE,TRUE),OR(EXACT(Metadata!D532,"t"),EXACT(Metadata!D532,"f"))))</f>
        <v>0</v>
      </c>
      <c r="T532" t="b">
        <f>AND(IF(Metadata!E532="",FALSE,TRUE),OR(EXACT(Metadata!E532,"a"),EXACT(Metadata!E532,"b")))</f>
        <v>0</v>
      </c>
      <c r="U532" t="b">
        <f>OR(AND(IF(Metadata!F532="",FALSE,TRUE),OR(EXACT(Metadata!F532,"missing: not collected"),EXACT(Metadata!F532,"missing: not provided"))),AND(IF(Metadata!F532="",FALSE,TRUE),OR(EXACT(Metadata!F532,"lo"),EXACT(Metadata!F532,"med"),EXACT(Metadata!F532,"hi"))))</f>
        <v>0</v>
      </c>
    </row>
    <row r="533" spans="1:21" x14ac:dyDescent="0.2">
      <c r="A533" s="4" t="str">
        <f ca="1">IF(B533=" "," ",HYPERLINK(CONCATENATE("#metadata!",ADDRESS(INDEX($L$2:$L$1001,MATCH(ROWS($J$2:J533),$J$2:$J$1001,0),0),1)),INDEX($O$2:$O$1001,MATCH(ROWS($J$2:J533),$J$2:$J$1001,0),0)))</f>
        <v xml:space="preserve"> </v>
      </c>
      <c r="B533" s="3" t="str">
        <f ca="1">IF(OR(INDEX($K$2:$K$1001,MATCH(ROWS($J$2:J533),$J$2:$J$1001,0),1)&gt;=100000,INDEX($Q$1005:$U$1005,1,MATCH(COLUMNS($Q$1006:Q1006),$Q$1006:$U$1006,0))&gt;=100000), " ",IF(INDEX($Q$2:$U$1001,MATCH(ROWS($J$2:J533),$J$2:$J$1001,0),MATCH(COLUMNS($Q$1006:Q1006),$Q$1006:$U$1006,0)), HYPERLINK("#",""), HYPERLINK(CONCATENATE("#Metadata!", ADDRESS(INDEX($L$2:$L$1001,MATCH(ROWS($J$2:J533),$J$2:$J$1001,0),0), INDEX($Q$1004:$U$1004,1,MATCH(COLUMNS($Q$1006:Q1006),$Q$1006:$U$1006,0)))),"Fix")))</f>
        <v xml:space="preserve"> </v>
      </c>
      <c r="C533" s="3" t="str">
        <f ca="1">IF(OR(INDEX($K$2:$K$1001,MATCH(ROWS($J$2:J533),$J$2:$J$1001,0),1)&gt;=100000,INDEX($Q$1005:$U$1005,1,MATCH(COLUMNS($Q$1006:R1006),$Q$1006:$U$1006,0))&gt;=100000), " ",IF(INDEX($Q$2:$U$1001,MATCH(ROWS($J$2:J533),$J$2:$J$1001,0),MATCH(COLUMNS($Q$1006:R1006),$Q$1006:$U$1006,0)), HYPERLINK("#",""), HYPERLINK(CONCATENATE("#Metadata!", ADDRESS(INDEX($L$2:$L$1001,MATCH(ROWS($J$2:J533),$J$2:$J$1001,0),0), INDEX($Q$1004:$U$1004,1,MATCH(COLUMNS($Q$1006:R1006),$Q$1006:$U$1006,0)))),"Fix")))</f>
        <v xml:space="preserve"> </v>
      </c>
      <c r="D533" s="3" t="str">
        <f ca="1">IF(OR(INDEX($K$2:$K$1001,MATCH(ROWS($J$2:J533),$J$2:$J$1001,0),1)&gt;=100000,INDEX($Q$1005:$U$1005,1,MATCH(COLUMNS($Q$1006:S1006),$Q$1006:$U$1006,0))&gt;=100000), " ",IF(INDEX($Q$2:$U$1001,MATCH(ROWS($J$2:J533),$J$2:$J$1001,0),MATCH(COLUMNS($Q$1006:S1006),$Q$1006:$U$1006,0)), HYPERLINK("#",""), HYPERLINK(CONCATENATE("#Metadata!", ADDRESS(INDEX($L$2:$L$1001,MATCH(ROWS($J$2:J533),$J$2:$J$1001,0),0), INDEX($Q$1004:$U$1004,1,MATCH(COLUMNS($Q$1006:S1006),$Q$1006:$U$1006,0)))),"Fix")))</f>
        <v xml:space="preserve"> </v>
      </c>
      <c r="E533" s="3" t="str">
        <f ca="1">IF(OR(INDEX($K$2:$K$1001,MATCH(ROWS($J$2:J533),$J$2:$J$1001,0),1)&gt;=100000,INDEX($Q$1005:$U$1005,1,MATCH(COLUMNS($Q$1006:T1006),$Q$1006:$U$1006,0))&gt;=100000), " ",IF(INDEX($Q$2:$U$1001,MATCH(ROWS($J$2:J533),$J$2:$J$1001,0),MATCH(COLUMNS($Q$1006:T1006),$Q$1006:$U$1006,0)), HYPERLINK("#",""), HYPERLINK(CONCATENATE("#Metadata!", ADDRESS(INDEX($L$2:$L$1001,MATCH(ROWS($J$2:J533),$J$2:$J$1001,0),0), INDEX($Q$1004:$U$1004,1,MATCH(COLUMNS($Q$1006:T1006),$Q$1006:$U$1006,0)))),"Fix")))</f>
        <v xml:space="preserve"> </v>
      </c>
      <c r="F533" s="3" t="str">
        <f ca="1">IF(OR(INDEX($K$2:$K$1001,MATCH(ROWS($J$2:J533),$J$2:$J$1001,0),1)&gt;=100000,INDEX($Q$1005:$U$1005,1,MATCH(COLUMNS($Q$1006:U1006),$Q$1006:$U$1006,0))&gt;=100000), " ",IF(INDEX($Q$2:$U$1001,MATCH(ROWS($J$2:J533),$J$2:$J$1001,0),MATCH(COLUMNS($Q$1006:U1006),$Q$1006:$U$1006,0)), HYPERLINK("#",""), HYPERLINK(CONCATENATE("#Metadata!", ADDRESS(INDEX($L$2:$L$1001,MATCH(ROWS($J$2:J533),$J$2:$J$1001,0),0), INDEX($Q$1004:$U$1004,1,MATCH(COLUMNS($Q$1006:U1006),$Q$1006:$U$1006,0)))),"Fix")))</f>
        <v xml:space="preserve"> </v>
      </c>
      <c r="J533">
        <f ca="1"/>
        <v>532</v>
      </c>
      <c r="K533">
        <v>100533</v>
      </c>
      <c r="L533">
        <v>533</v>
      </c>
      <c r="M533" t="b">
        <f t="shared" si="8"/>
        <v>1</v>
      </c>
      <c r="N533" t="b">
        <f>COUNTBLANK(Metadata!B533:F533)=COLUMNS(Metadata!B533:F533)</f>
        <v>1</v>
      </c>
      <c r="O533" t="str">
        <v/>
      </c>
      <c r="Q533" t="b">
        <f ca="1"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R533" t="b">
        <f>IF(Metadata!C533="",FALSE,TRUE)</f>
        <v>0</v>
      </c>
      <c r="S533" t="b">
        <f>OR(AND(IF(Metadata!D533="",FALSE,TRUE),EXACT(Metadata!D533,"missing: not collected")),AND(IF(Metadata!D533="",FALSE,TRUE),OR(EXACT(Metadata!D533,"t"),EXACT(Metadata!D533,"f"))))</f>
        <v>0</v>
      </c>
      <c r="T533" t="b">
        <f>AND(IF(Metadata!E533="",FALSE,TRUE),OR(EXACT(Metadata!E533,"a"),EXACT(Metadata!E533,"b")))</f>
        <v>0</v>
      </c>
      <c r="U533" t="b">
        <f>OR(AND(IF(Metadata!F533="",FALSE,TRUE),OR(EXACT(Metadata!F533,"missing: not collected"),EXACT(Metadata!F533,"missing: not provided"))),AND(IF(Metadata!F533="",FALSE,TRUE),OR(EXACT(Metadata!F533,"lo"),EXACT(Metadata!F533,"med"),EXACT(Metadata!F533,"hi"))))</f>
        <v>0</v>
      </c>
    </row>
    <row r="534" spans="1:21" x14ac:dyDescent="0.2">
      <c r="A534" s="4" t="str">
        <f ca="1">IF(B534=" "," ",HYPERLINK(CONCATENATE("#metadata!",ADDRESS(INDEX($L$2:$L$1001,MATCH(ROWS($J$2:J534),$J$2:$J$1001,0),0),1)),INDEX($O$2:$O$1001,MATCH(ROWS($J$2:J534),$J$2:$J$1001,0),0)))</f>
        <v xml:space="preserve"> </v>
      </c>
      <c r="B534" s="3" t="str">
        <f ca="1">IF(OR(INDEX($K$2:$K$1001,MATCH(ROWS($J$2:J534),$J$2:$J$1001,0),1)&gt;=100000,INDEX($Q$1005:$U$1005,1,MATCH(COLUMNS($Q$1006:Q1006),$Q$1006:$U$1006,0))&gt;=100000), " ",IF(INDEX($Q$2:$U$1001,MATCH(ROWS($J$2:J534),$J$2:$J$1001,0),MATCH(COLUMNS($Q$1006:Q1006),$Q$1006:$U$1006,0)), HYPERLINK("#",""), HYPERLINK(CONCATENATE("#Metadata!", ADDRESS(INDEX($L$2:$L$1001,MATCH(ROWS($J$2:J534),$J$2:$J$1001,0),0), INDEX($Q$1004:$U$1004,1,MATCH(COLUMNS($Q$1006:Q1006),$Q$1006:$U$1006,0)))),"Fix")))</f>
        <v xml:space="preserve"> </v>
      </c>
      <c r="C534" s="3" t="str">
        <f ca="1">IF(OR(INDEX($K$2:$K$1001,MATCH(ROWS($J$2:J534),$J$2:$J$1001,0),1)&gt;=100000,INDEX($Q$1005:$U$1005,1,MATCH(COLUMNS($Q$1006:R1006),$Q$1006:$U$1006,0))&gt;=100000), " ",IF(INDEX($Q$2:$U$1001,MATCH(ROWS($J$2:J534),$J$2:$J$1001,0),MATCH(COLUMNS($Q$1006:R1006),$Q$1006:$U$1006,0)), HYPERLINK("#",""), HYPERLINK(CONCATENATE("#Metadata!", ADDRESS(INDEX($L$2:$L$1001,MATCH(ROWS($J$2:J534),$J$2:$J$1001,0),0), INDEX($Q$1004:$U$1004,1,MATCH(COLUMNS($Q$1006:R1006),$Q$1006:$U$1006,0)))),"Fix")))</f>
        <v xml:space="preserve"> </v>
      </c>
      <c r="D534" s="3" t="str">
        <f ca="1">IF(OR(INDEX($K$2:$K$1001,MATCH(ROWS($J$2:J534),$J$2:$J$1001,0),1)&gt;=100000,INDEX($Q$1005:$U$1005,1,MATCH(COLUMNS($Q$1006:S1006),$Q$1006:$U$1006,0))&gt;=100000), " ",IF(INDEX($Q$2:$U$1001,MATCH(ROWS($J$2:J534),$J$2:$J$1001,0),MATCH(COLUMNS($Q$1006:S1006),$Q$1006:$U$1006,0)), HYPERLINK("#",""), HYPERLINK(CONCATENATE("#Metadata!", ADDRESS(INDEX($L$2:$L$1001,MATCH(ROWS($J$2:J534),$J$2:$J$1001,0),0), INDEX($Q$1004:$U$1004,1,MATCH(COLUMNS($Q$1006:S1006),$Q$1006:$U$1006,0)))),"Fix")))</f>
        <v xml:space="preserve"> </v>
      </c>
      <c r="E534" s="3" t="str">
        <f ca="1">IF(OR(INDEX($K$2:$K$1001,MATCH(ROWS($J$2:J534),$J$2:$J$1001,0),1)&gt;=100000,INDEX($Q$1005:$U$1005,1,MATCH(COLUMNS($Q$1006:T1006),$Q$1006:$U$1006,0))&gt;=100000), " ",IF(INDEX($Q$2:$U$1001,MATCH(ROWS($J$2:J534),$J$2:$J$1001,0),MATCH(COLUMNS($Q$1006:T1006),$Q$1006:$U$1006,0)), HYPERLINK("#",""), HYPERLINK(CONCATENATE("#Metadata!", ADDRESS(INDEX($L$2:$L$1001,MATCH(ROWS($J$2:J534),$J$2:$J$1001,0),0), INDEX($Q$1004:$U$1004,1,MATCH(COLUMNS($Q$1006:T1006),$Q$1006:$U$1006,0)))),"Fix")))</f>
        <v xml:space="preserve"> </v>
      </c>
      <c r="F534" s="3" t="str">
        <f ca="1">IF(OR(INDEX($K$2:$K$1001,MATCH(ROWS($J$2:J534),$J$2:$J$1001,0),1)&gt;=100000,INDEX($Q$1005:$U$1005,1,MATCH(COLUMNS($Q$1006:U1006),$Q$1006:$U$1006,0))&gt;=100000), " ",IF(INDEX($Q$2:$U$1001,MATCH(ROWS($J$2:J534),$J$2:$J$1001,0),MATCH(COLUMNS($Q$1006:U1006),$Q$1006:$U$1006,0)), HYPERLINK("#",""), HYPERLINK(CONCATENATE("#Metadata!", ADDRESS(INDEX($L$2:$L$1001,MATCH(ROWS($J$2:J534),$J$2:$J$1001,0),0), INDEX($Q$1004:$U$1004,1,MATCH(COLUMNS($Q$1006:U1006),$Q$1006:$U$1006,0)))),"Fix")))</f>
        <v xml:space="preserve"> </v>
      </c>
      <c r="J534">
        <f ca="1"/>
        <v>533</v>
      </c>
      <c r="K534">
        <v>100534</v>
      </c>
      <c r="L534">
        <v>534</v>
      </c>
      <c r="M534" t="b">
        <f t="shared" si="8"/>
        <v>1</v>
      </c>
      <c r="N534" t="b">
        <f>COUNTBLANK(Metadata!B534:F534)=COLUMNS(Metadata!B534:F534)</f>
        <v>1</v>
      </c>
      <c r="O534" t="str">
        <v/>
      </c>
      <c r="Q534" t="b">
        <f ca="1"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R534" t="b">
        <f>IF(Metadata!C534="",FALSE,TRUE)</f>
        <v>0</v>
      </c>
      <c r="S534" t="b">
        <f>OR(AND(IF(Metadata!D534="",FALSE,TRUE),EXACT(Metadata!D534,"missing: not collected")),AND(IF(Metadata!D534="",FALSE,TRUE),OR(EXACT(Metadata!D534,"t"),EXACT(Metadata!D534,"f"))))</f>
        <v>0</v>
      </c>
      <c r="T534" t="b">
        <f>AND(IF(Metadata!E534="",FALSE,TRUE),OR(EXACT(Metadata!E534,"a"),EXACT(Metadata!E534,"b")))</f>
        <v>0</v>
      </c>
      <c r="U534" t="b">
        <f>OR(AND(IF(Metadata!F534="",FALSE,TRUE),OR(EXACT(Metadata!F534,"missing: not collected"),EXACT(Metadata!F534,"missing: not provided"))),AND(IF(Metadata!F534="",FALSE,TRUE),OR(EXACT(Metadata!F534,"lo"),EXACT(Metadata!F534,"med"),EXACT(Metadata!F534,"hi"))))</f>
        <v>0</v>
      </c>
    </row>
    <row r="535" spans="1:21" x14ac:dyDescent="0.2">
      <c r="A535" s="4" t="str">
        <f ca="1">IF(B535=" "," ",HYPERLINK(CONCATENATE("#metadata!",ADDRESS(INDEX($L$2:$L$1001,MATCH(ROWS($J$2:J535),$J$2:$J$1001,0),0),1)),INDEX($O$2:$O$1001,MATCH(ROWS($J$2:J535),$J$2:$J$1001,0),0)))</f>
        <v xml:space="preserve"> </v>
      </c>
      <c r="B535" s="3" t="str">
        <f ca="1">IF(OR(INDEX($K$2:$K$1001,MATCH(ROWS($J$2:J535),$J$2:$J$1001,0),1)&gt;=100000,INDEX($Q$1005:$U$1005,1,MATCH(COLUMNS($Q$1006:Q1006),$Q$1006:$U$1006,0))&gt;=100000), " ",IF(INDEX($Q$2:$U$1001,MATCH(ROWS($J$2:J535),$J$2:$J$1001,0),MATCH(COLUMNS($Q$1006:Q1006),$Q$1006:$U$1006,0)), HYPERLINK("#",""), HYPERLINK(CONCATENATE("#Metadata!", ADDRESS(INDEX($L$2:$L$1001,MATCH(ROWS($J$2:J535),$J$2:$J$1001,0),0), INDEX($Q$1004:$U$1004,1,MATCH(COLUMNS($Q$1006:Q1006),$Q$1006:$U$1006,0)))),"Fix")))</f>
        <v xml:space="preserve"> </v>
      </c>
      <c r="C535" s="3" t="str">
        <f ca="1">IF(OR(INDEX($K$2:$K$1001,MATCH(ROWS($J$2:J535),$J$2:$J$1001,0),1)&gt;=100000,INDEX($Q$1005:$U$1005,1,MATCH(COLUMNS($Q$1006:R1006),$Q$1006:$U$1006,0))&gt;=100000), " ",IF(INDEX($Q$2:$U$1001,MATCH(ROWS($J$2:J535),$J$2:$J$1001,0),MATCH(COLUMNS($Q$1006:R1006),$Q$1006:$U$1006,0)), HYPERLINK("#",""), HYPERLINK(CONCATENATE("#Metadata!", ADDRESS(INDEX($L$2:$L$1001,MATCH(ROWS($J$2:J535),$J$2:$J$1001,0),0), INDEX($Q$1004:$U$1004,1,MATCH(COLUMNS($Q$1006:R1006),$Q$1006:$U$1006,0)))),"Fix")))</f>
        <v xml:space="preserve"> </v>
      </c>
      <c r="D535" s="3" t="str">
        <f ca="1">IF(OR(INDEX($K$2:$K$1001,MATCH(ROWS($J$2:J535),$J$2:$J$1001,0),1)&gt;=100000,INDEX($Q$1005:$U$1005,1,MATCH(COLUMNS($Q$1006:S1006),$Q$1006:$U$1006,0))&gt;=100000), " ",IF(INDEX($Q$2:$U$1001,MATCH(ROWS($J$2:J535),$J$2:$J$1001,0),MATCH(COLUMNS($Q$1006:S1006),$Q$1006:$U$1006,0)), HYPERLINK("#",""), HYPERLINK(CONCATENATE("#Metadata!", ADDRESS(INDEX($L$2:$L$1001,MATCH(ROWS($J$2:J535),$J$2:$J$1001,0),0), INDEX($Q$1004:$U$1004,1,MATCH(COLUMNS($Q$1006:S1006),$Q$1006:$U$1006,0)))),"Fix")))</f>
        <v xml:space="preserve"> </v>
      </c>
      <c r="E535" s="3" t="str">
        <f ca="1">IF(OR(INDEX($K$2:$K$1001,MATCH(ROWS($J$2:J535),$J$2:$J$1001,0),1)&gt;=100000,INDEX($Q$1005:$U$1005,1,MATCH(COLUMNS($Q$1006:T1006),$Q$1006:$U$1006,0))&gt;=100000), " ",IF(INDEX($Q$2:$U$1001,MATCH(ROWS($J$2:J535),$J$2:$J$1001,0),MATCH(COLUMNS($Q$1006:T1006),$Q$1006:$U$1006,0)), HYPERLINK("#",""), HYPERLINK(CONCATENATE("#Metadata!", ADDRESS(INDEX($L$2:$L$1001,MATCH(ROWS($J$2:J535),$J$2:$J$1001,0),0), INDEX($Q$1004:$U$1004,1,MATCH(COLUMNS($Q$1006:T1006),$Q$1006:$U$1006,0)))),"Fix")))</f>
        <v xml:space="preserve"> </v>
      </c>
      <c r="F535" s="3" t="str">
        <f ca="1">IF(OR(INDEX($K$2:$K$1001,MATCH(ROWS($J$2:J535),$J$2:$J$1001,0),1)&gt;=100000,INDEX($Q$1005:$U$1005,1,MATCH(COLUMNS($Q$1006:U1006),$Q$1006:$U$1006,0))&gt;=100000), " ",IF(INDEX($Q$2:$U$1001,MATCH(ROWS($J$2:J535),$J$2:$J$1001,0),MATCH(COLUMNS($Q$1006:U1006),$Q$1006:$U$1006,0)), HYPERLINK("#",""), HYPERLINK(CONCATENATE("#Metadata!", ADDRESS(INDEX($L$2:$L$1001,MATCH(ROWS($J$2:J535),$J$2:$J$1001,0),0), INDEX($Q$1004:$U$1004,1,MATCH(COLUMNS($Q$1006:U1006),$Q$1006:$U$1006,0)))),"Fix")))</f>
        <v xml:space="preserve"> </v>
      </c>
      <c r="J535">
        <f ca="1"/>
        <v>534</v>
      </c>
      <c r="K535">
        <v>100535</v>
      </c>
      <c r="L535">
        <v>535</v>
      </c>
      <c r="M535" t="b">
        <f t="shared" si="8"/>
        <v>1</v>
      </c>
      <c r="N535" t="b">
        <f>COUNTBLANK(Metadata!B535:F535)=COLUMNS(Metadata!B535:F535)</f>
        <v>1</v>
      </c>
      <c r="O535" t="str">
        <v/>
      </c>
      <c r="Q535" t="b">
        <f ca="1"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R535" t="b">
        <f>IF(Metadata!C535="",FALSE,TRUE)</f>
        <v>0</v>
      </c>
      <c r="S535" t="b">
        <f>OR(AND(IF(Metadata!D535="",FALSE,TRUE),EXACT(Metadata!D535,"missing: not collected")),AND(IF(Metadata!D535="",FALSE,TRUE),OR(EXACT(Metadata!D535,"t"),EXACT(Metadata!D535,"f"))))</f>
        <v>0</v>
      </c>
      <c r="T535" t="b">
        <f>AND(IF(Metadata!E535="",FALSE,TRUE),OR(EXACT(Metadata!E535,"a"),EXACT(Metadata!E535,"b")))</f>
        <v>0</v>
      </c>
      <c r="U535" t="b">
        <f>OR(AND(IF(Metadata!F535="",FALSE,TRUE),OR(EXACT(Metadata!F535,"missing: not collected"),EXACT(Metadata!F535,"missing: not provided"))),AND(IF(Metadata!F535="",FALSE,TRUE),OR(EXACT(Metadata!F535,"lo"),EXACT(Metadata!F535,"med"),EXACT(Metadata!F535,"hi"))))</f>
        <v>0</v>
      </c>
    </row>
    <row r="536" spans="1:21" x14ac:dyDescent="0.2">
      <c r="A536" s="4" t="str">
        <f ca="1">IF(B536=" "," ",HYPERLINK(CONCATENATE("#metadata!",ADDRESS(INDEX($L$2:$L$1001,MATCH(ROWS($J$2:J536),$J$2:$J$1001,0),0),1)),INDEX($O$2:$O$1001,MATCH(ROWS($J$2:J536),$J$2:$J$1001,0),0)))</f>
        <v xml:space="preserve"> </v>
      </c>
      <c r="B536" s="3" t="str">
        <f ca="1">IF(OR(INDEX($K$2:$K$1001,MATCH(ROWS($J$2:J536),$J$2:$J$1001,0),1)&gt;=100000,INDEX($Q$1005:$U$1005,1,MATCH(COLUMNS($Q$1006:Q1006),$Q$1006:$U$1006,0))&gt;=100000), " ",IF(INDEX($Q$2:$U$1001,MATCH(ROWS($J$2:J536),$J$2:$J$1001,0),MATCH(COLUMNS($Q$1006:Q1006),$Q$1006:$U$1006,0)), HYPERLINK("#",""), HYPERLINK(CONCATENATE("#Metadata!", ADDRESS(INDEX($L$2:$L$1001,MATCH(ROWS($J$2:J536),$J$2:$J$1001,0),0), INDEX($Q$1004:$U$1004,1,MATCH(COLUMNS($Q$1006:Q1006),$Q$1006:$U$1006,0)))),"Fix")))</f>
        <v xml:space="preserve"> </v>
      </c>
      <c r="C536" s="3" t="str">
        <f ca="1">IF(OR(INDEX($K$2:$K$1001,MATCH(ROWS($J$2:J536),$J$2:$J$1001,0),1)&gt;=100000,INDEX($Q$1005:$U$1005,1,MATCH(COLUMNS($Q$1006:R1006),$Q$1006:$U$1006,0))&gt;=100000), " ",IF(INDEX($Q$2:$U$1001,MATCH(ROWS($J$2:J536),$J$2:$J$1001,0),MATCH(COLUMNS($Q$1006:R1006),$Q$1006:$U$1006,0)), HYPERLINK("#",""), HYPERLINK(CONCATENATE("#Metadata!", ADDRESS(INDEX($L$2:$L$1001,MATCH(ROWS($J$2:J536),$J$2:$J$1001,0),0), INDEX($Q$1004:$U$1004,1,MATCH(COLUMNS($Q$1006:R1006),$Q$1006:$U$1006,0)))),"Fix")))</f>
        <v xml:space="preserve"> </v>
      </c>
      <c r="D536" s="3" t="str">
        <f ca="1">IF(OR(INDEX($K$2:$K$1001,MATCH(ROWS($J$2:J536),$J$2:$J$1001,0),1)&gt;=100000,INDEX($Q$1005:$U$1005,1,MATCH(COLUMNS($Q$1006:S1006),$Q$1006:$U$1006,0))&gt;=100000), " ",IF(INDEX($Q$2:$U$1001,MATCH(ROWS($J$2:J536),$J$2:$J$1001,0),MATCH(COLUMNS($Q$1006:S1006),$Q$1006:$U$1006,0)), HYPERLINK("#",""), HYPERLINK(CONCATENATE("#Metadata!", ADDRESS(INDEX($L$2:$L$1001,MATCH(ROWS($J$2:J536),$J$2:$J$1001,0),0), INDEX($Q$1004:$U$1004,1,MATCH(COLUMNS($Q$1006:S1006),$Q$1006:$U$1006,0)))),"Fix")))</f>
        <v xml:space="preserve"> </v>
      </c>
      <c r="E536" s="3" t="str">
        <f ca="1">IF(OR(INDEX($K$2:$K$1001,MATCH(ROWS($J$2:J536),$J$2:$J$1001,0),1)&gt;=100000,INDEX($Q$1005:$U$1005,1,MATCH(COLUMNS($Q$1006:T1006),$Q$1006:$U$1006,0))&gt;=100000), " ",IF(INDEX($Q$2:$U$1001,MATCH(ROWS($J$2:J536),$J$2:$J$1001,0),MATCH(COLUMNS($Q$1006:T1006),$Q$1006:$U$1006,0)), HYPERLINK("#",""), HYPERLINK(CONCATENATE("#Metadata!", ADDRESS(INDEX($L$2:$L$1001,MATCH(ROWS($J$2:J536),$J$2:$J$1001,0),0), INDEX($Q$1004:$U$1004,1,MATCH(COLUMNS($Q$1006:T1006),$Q$1006:$U$1006,0)))),"Fix")))</f>
        <v xml:space="preserve"> </v>
      </c>
      <c r="F536" s="3" t="str">
        <f ca="1">IF(OR(INDEX($K$2:$K$1001,MATCH(ROWS($J$2:J536),$J$2:$J$1001,0),1)&gt;=100000,INDEX($Q$1005:$U$1005,1,MATCH(COLUMNS($Q$1006:U1006),$Q$1006:$U$1006,0))&gt;=100000), " ",IF(INDEX($Q$2:$U$1001,MATCH(ROWS($J$2:J536),$J$2:$J$1001,0),MATCH(COLUMNS($Q$1006:U1006),$Q$1006:$U$1006,0)), HYPERLINK("#",""), HYPERLINK(CONCATENATE("#Metadata!", ADDRESS(INDEX($L$2:$L$1001,MATCH(ROWS($J$2:J536),$J$2:$J$1001,0),0), INDEX($Q$1004:$U$1004,1,MATCH(COLUMNS($Q$1006:U1006),$Q$1006:$U$1006,0)))),"Fix")))</f>
        <v xml:space="preserve"> </v>
      </c>
      <c r="J536">
        <f ca="1"/>
        <v>535</v>
      </c>
      <c r="K536">
        <v>100536</v>
      </c>
      <c r="L536">
        <v>536</v>
      </c>
      <c r="M536" t="b">
        <f t="shared" si="8"/>
        <v>1</v>
      </c>
      <c r="N536" t="b">
        <f>COUNTBLANK(Metadata!B536:F536)=COLUMNS(Metadata!B536:F536)</f>
        <v>1</v>
      </c>
      <c r="O536" t="str">
        <v/>
      </c>
      <c r="Q536" t="b">
        <f ca="1"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R536" t="b">
        <f>IF(Metadata!C536="",FALSE,TRUE)</f>
        <v>0</v>
      </c>
      <c r="S536" t="b">
        <f>OR(AND(IF(Metadata!D536="",FALSE,TRUE),EXACT(Metadata!D536,"missing: not collected")),AND(IF(Metadata!D536="",FALSE,TRUE),OR(EXACT(Metadata!D536,"t"),EXACT(Metadata!D536,"f"))))</f>
        <v>0</v>
      </c>
      <c r="T536" t="b">
        <f>AND(IF(Metadata!E536="",FALSE,TRUE),OR(EXACT(Metadata!E536,"a"),EXACT(Metadata!E536,"b")))</f>
        <v>0</v>
      </c>
      <c r="U536" t="b">
        <f>OR(AND(IF(Metadata!F536="",FALSE,TRUE),OR(EXACT(Metadata!F536,"missing: not collected"),EXACT(Metadata!F536,"missing: not provided"))),AND(IF(Metadata!F536="",FALSE,TRUE),OR(EXACT(Metadata!F536,"lo"),EXACT(Metadata!F536,"med"),EXACT(Metadata!F536,"hi"))))</f>
        <v>0</v>
      </c>
    </row>
    <row r="537" spans="1:21" x14ac:dyDescent="0.2">
      <c r="A537" s="4" t="str">
        <f ca="1">IF(B537=" "," ",HYPERLINK(CONCATENATE("#metadata!",ADDRESS(INDEX($L$2:$L$1001,MATCH(ROWS($J$2:J537),$J$2:$J$1001,0),0),1)),INDEX($O$2:$O$1001,MATCH(ROWS($J$2:J537),$J$2:$J$1001,0),0)))</f>
        <v xml:space="preserve"> </v>
      </c>
      <c r="B537" s="3" t="str">
        <f ca="1">IF(OR(INDEX($K$2:$K$1001,MATCH(ROWS($J$2:J537),$J$2:$J$1001,0),1)&gt;=100000,INDEX($Q$1005:$U$1005,1,MATCH(COLUMNS($Q$1006:Q1006),$Q$1006:$U$1006,0))&gt;=100000), " ",IF(INDEX($Q$2:$U$1001,MATCH(ROWS($J$2:J537),$J$2:$J$1001,0),MATCH(COLUMNS($Q$1006:Q1006),$Q$1006:$U$1006,0)), HYPERLINK("#",""), HYPERLINK(CONCATENATE("#Metadata!", ADDRESS(INDEX($L$2:$L$1001,MATCH(ROWS($J$2:J537),$J$2:$J$1001,0),0), INDEX($Q$1004:$U$1004,1,MATCH(COLUMNS($Q$1006:Q1006),$Q$1006:$U$1006,0)))),"Fix")))</f>
        <v xml:space="preserve"> </v>
      </c>
      <c r="C537" s="3" t="str">
        <f ca="1">IF(OR(INDEX($K$2:$K$1001,MATCH(ROWS($J$2:J537),$J$2:$J$1001,0),1)&gt;=100000,INDEX($Q$1005:$U$1005,1,MATCH(COLUMNS($Q$1006:R1006),$Q$1006:$U$1006,0))&gt;=100000), " ",IF(INDEX($Q$2:$U$1001,MATCH(ROWS($J$2:J537),$J$2:$J$1001,0),MATCH(COLUMNS($Q$1006:R1006),$Q$1006:$U$1006,0)), HYPERLINK("#",""), HYPERLINK(CONCATENATE("#Metadata!", ADDRESS(INDEX($L$2:$L$1001,MATCH(ROWS($J$2:J537),$J$2:$J$1001,0),0), INDEX($Q$1004:$U$1004,1,MATCH(COLUMNS($Q$1006:R1006),$Q$1006:$U$1006,0)))),"Fix")))</f>
        <v xml:space="preserve"> </v>
      </c>
      <c r="D537" s="3" t="str">
        <f ca="1">IF(OR(INDEX($K$2:$K$1001,MATCH(ROWS($J$2:J537),$J$2:$J$1001,0),1)&gt;=100000,INDEX($Q$1005:$U$1005,1,MATCH(COLUMNS($Q$1006:S1006),$Q$1006:$U$1006,0))&gt;=100000), " ",IF(INDEX($Q$2:$U$1001,MATCH(ROWS($J$2:J537),$J$2:$J$1001,0),MATCH(COLUMNS($Q$1006:S1006),$Q$1006:$U$1006,0)), HYPERLINK("#",""), HYPERLINK(CONCATENATE("#Metadata!", ADDRESS(INDEX($L$2:$L$1001,MATCH(ROWS($J$2:J537),$J$2:$J$1001,0),0), INDEX($Q$1004:$U$1004,1,MATCH(COLUMNS($Q$1006:S1006),$Q$1006:$U$1006,0)))),"Fix")))</f>
        <v xml:space="preserve"> </v>
      </c>
      <c r="E537" s="3" t="str">
        <f ca="1">IF(OR(INDEX($K$2:$K$1001,MATCH(ROWS($J$2:J537),$J$2:$J$1001,0),1)&gt;=100000,INDEX($Q$1005:$U$1005,1,MATCH(COLUMNS($Q$1006:T1006),$Q$1006:$U$1006,0))&gt;=100000), " ",IF(INDEX($Q$2:$U$1001,MATCH(ROWS($J$2:J537),$J$2:$J$1001,0),MATCH(COLUMNS($Q$1006:T1006),$Q$1006:$U$1006,0)), HYPERLINK("#",""), HYPERLINK(CONCATENATE("#Metadata!", ADDRESS(INDEX($L$2:$L$1001,MATCH(ROWS($J$2:J537),$J$2:$J$1001,0),0), INDEX($Q$1004:$U$1004,1,MATCH(COLUMNS($Q$1006:T1006),$Q$1006:$U$1006,0)))),"Fix")))</f>
        <v xml:space="preserve"> </v>
      </c>
      <c r="F537" s="3" t="str">
        <f ca="1">IF(OR(INDEX($K$2:$K$1001,MATCH(ROWS($J$2:J537),$J$2:$J$1001,0),1)&gt;=100000,INDEX($Q$1005:$U$1005,1,MATCH(COLUMNS($Q$1006:U1006),$Q$1006:$U$1006,0))&gt;=100000), " ",IF(INDEX($Q$2:$U$1001,MATCH(ROWS($J$2:J537),$J$2:$J$1001,0),MATCH(COLUMNS($Q$1006:U1006),$Q$1006:$U$1006,0)), HYPERLINK("#",""), HYPERLINK(CONCATENATE("#Metadata!", ADDRESS(INDEX($L$2:$L$1001,MATCH(ROWS($J$2:J537),$J$2:$J$1001,0),0), INDEX($Q$1004:$U$1004,1,MATCH(COLUMNS($Q$1006:U1006),$Q$1006:$U$1006,0)))),"Fix")))</f>
        <v xml:space="preserve"> </v>
      </c>
      <c r="J537">
        <f ca="1"/>
        <v>536</v>
      </c>
      <c r="K537">
        <v>100537</v>
      </c>
      <c r="L537">
        <v>537</v>
      </c>
      <c r="M537" t="b">
        <f t="shared" si="8"/>
        <v>1</v>
      </c>
      <c r="N537" t="b">
        <f>COUNTBLANK(Metadata!B537:F537)=COLUMNS(Metadata!B537:F537)</f>
        <v>1</v>
      </c>
      <c r="O537" t="str">
        <v/>
      </c>
      <c r="Q537" t="b">
        <f ca="1"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R537" t="b">
        <f>IF(Metadata!C537="",FALSE,TRUE)</f>
        <v>0</v>
      </c>
      <c r="S537" t="b">
        <f>OR(AND(IF(Metadata!D537="",FALSE,TRUE),EXACT(Metadata!D537,"missing: not collected")),AND(IF(Metadata!D537="",FALSE,TRUE),OR(EXACT(Metadata!D537,"t"),EXACT(Metadata!D537,"f"))))</f>
        <v>0</v>
      </c>
      <c r="T537" t="b">
        <f>AND(IF(Metadata!E537="",FALSE,TRUE),OR(EXACT(Metadata!E537,"a"),EXACT(Metadata!E537,"b")))</f>
        <v>0</v>
      </c>
      <c r="U537" t="b">
        <f>OR(AND(IF(Metadata!F537="",FALSE,TRUE),OR(EXACT(Metadata!F537,"missing: not collected"),EXACT(Metadata!F537,"missing: not provided"))),AND(IF(Metadata!F537="",FALSE,TRUE),OR(EXACT(Metadata!F537,"lo"),EXACT(Metadata!F537,"med"),EXACT(Metadata!F537,"hi"))))</f>
        <v>0</v>
      </c>
    </row>
    <row r="538" spans="1:21" x14ac:dyDescent="0.2">
      <c r="A538" s="4" t="str">
        <f ca="1">IF(B538=" "," ",HYPERLINK(CONCATENATE("#metadata!",ADDRESS(INDEX($L$2:$L$1001,MATCH(ROWS($J$2:J538),$J$2:$J$1001,0),0),1)),INDEX($O$2:$O$1001,MATCH(ROWS($J$2:J538),$J$2:$J$1001,0),0)))</f>
        <v xml:space="preserve"> </v>
      </c>
      <c r="B538" s="3" t="str">
        <f ca="1">IF(OR(INDEX($K$2:$K$1001,MATCH(ROWS($J$2:J538),$J$2:$J$1001,0),1)&gt;=100000,INDEX($Q$1005:$U$1005,1,MATCH(COLUMNS($Q$1006:Q1006),$Q$1006:$U$1006,0))&gt;=100000), " ",IF(INDEX($Q$2:$U$1001,MATCH(ROWS($J$2:J538),$J$2:$J$1001,0),MATCH(COLUMNS($Q$1006:Q1006),$Q$1006:$U$1006,0)), HYPERLINK("#",""), HYPERLINK(CONCATENATE("#Metadata!", ADDRESS(INDEX($L$2:$L$1001,MATCH(ROWS($J$2:J538),$J$2:$J$1001,0),0), INDEX($Q$1004:$U$1004,1,MATCH(COLUMNS($Q$1006:Q1006),$Q$1006:$U$1006,0)))),"Fix")))</f>
        <v xml:space="preserve"> </v>
      </c>
      <c r="C538" s="3" t="str">
        <f ca="1">IF(OR(INDEX($K$2:$K$1001,MATCH(ROWS($J$2:J538),$J$2:$J$1001,0),1)&gt;=100000,INDEX($Q$1005:$U$1005,1,MATCH(COLUMNS($Q$1006:R1006),$Q$1006:$U$1006,0))&gt;=100000), " ",IF(INDEX($Q$2:$U$1001,MATCH(ROWS($J$2:J538),$J$2:$J$1001,0),MATCH(COLUMNS($Q$1006:R1006),$Q$1006:$U$1006,0)), HYPERLINK("#",""), HYPERLINK(CONCATENATE("#Metadata!", ADDRESS(INDEX($L$2:$L$1001,MATCH(ROWS($J$2:J538),$J$2:$J$1001,0),0), INDEX($Q$1004:$U$1004,1,MATCH(COLUMNS($Q$1006:R1006),$Q$1006:$U$1006,0)))),"Fix")))</f>
        <v xml:space="preserve"> </v>
      </c>
      <c r="D538" s="3" t="str">
        <f ca="1">IF(OR(INDEX($K$2:$K$1001,MATCH(ROWS($J$2:J538),$J$2:$J$1001,0),1)&gt;=100000,INDEX($Q$1005:$U$1005,1,MATCH(COLUMNS($Q$1006:S1006),$Q$1006:$U$1006,0))&gt;=100000), " ",IF(INDEX($Q$2:$U$1001,MATCH(ROWS($J$2:J538),$J$2:$J$1001,0),MATCH(COLUMNS($Q$1006:S1006),$Q$1006:$U$1006,0)), HYPERLINK("#",""), HYPERLINK(CONCATENATE("#Metadata!", ADDRESS(INDEX($L$2:$L$1001,MATCH(ROWS($J$2:J538),$J$2:$J$1001,0),0), INDEX($Q$1004:$U$1004,1,MATCH(COLUMNS($Q$1006:S1006),$Q$1006:$U$1006,0)))),"Fix")))</f>
        <v xml:space="preserve"> </v>
      </c>
      <c r="E538" s="3" t="str">
        <f ca="1">IF(OR(INDEX($K$2:$K$1001,MATCH(ROWS($J$2:J538),$J$2:$J$1001,0),1)&gt;=100000,INDEX($Q$1005:$U$1005,1,MATCH(COLUMNS($Q$1006:T1006),$Q$1006:$U$1006,0))&gt;=100000), " ",IF(INDEX($Q$2:$U$1001,MATCH(ROWS($J$2:J538),$J$2:$J$1001,0),MATCH(COLUMNS($Q$1006:T1006),$Q$1006:$U$1006,0)), HYPERLINK("#",""), HYPERLINK(CONCATENATE("#Metadata!", ADDRESS(INDEX($L$2:$L$1001,MATCH(ROWS($J$2:J538),$J$2:$J$1001,0),0), INDEX($Q$1004:$U$1004,1,MATCH(COLUMNS($Q$1006:T1006),$Q$1006:$U$1006,0)))),"Fix")))</f>
        <v xml:space="preserve"> </v>
      </c>
      <c r="F538" s="3" t="str">
        <f ca="1">IF(OR(INDEX($K$2:$K$1001,MATCH(ROWS($J$2:J538),$J$2:$J$1001,0),1)&gt;=100000,INDEX($Q$1005:$U$1005,1,MATCH(COLUMNS($Q$1006:U1006),$Q$1006:$U$1006,0))&gt;=100000), " ",IF(INDEX($Q$2:$U$1001,MATCH(ROWS($J$2:J538),$J$2:$J$1001,0),MATCH(COLUMNS($Q$1006:U1006),$Q$1006:$U$1006,0)), HYPERLINK("#",""), HYPERLINK(CONCATENATE("#Metadata!", ADDRESS(INDEX($L$2:$L$1001,MATCH(ROWS($J$2:J538),$J$2:$J$1001,0),0), INDEX($Q$1004:$U$1004,1,MATCH(COLUMNS($Q$1006:U1006),$Q$1006:$U$1006,0)))),"Fix")))</f>
        <v xml:space="preserve"> </v>
      </c>
      <c r="J538">
        <f ca="1"/>
        <v>537</v>
      </c>
      <c r="K538">
        <v>100538</v>
      </c>
      <c r="L538">
        <v>538</v>
      </c>
      <c r="M538" t="b">
        <f t="shared" si="8"/>
        <v>1</v>
      </c>
      <c r="N538" t="b">
        <f>COUNTBLANK(Metadata!B538:F538)=COLUMNS(Metadata!B538:F538)</f>
        <v>1</v>
      </c>
      <c r="O538" t="str">
        <v/>
      </c>
      <c r="Q538" t="b">
        <f ca="1"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R538" t="b">
        <f>IF(Metadata!C538="",FALSE,TRUE)</f>
        <v>0</v>
      </c>
      <c r="S538" t="b">
        <f>OR(AND(IF(Metadata!D538="",FALSE,TRUE),EXACT(Metadata!D538,"missing: not collected")),AND(IF(Metadata!D538="",FALSE,TRUE),OR(EXACT(Metadata!D538,"t"),EXACT(Metadata!D538,"f"))))</f>
        <v>0</v>
      </c>
      <c r="T538" t="b">
        <f>AND(IF(Metadata!E538="",FALSE,TRUE),OR(EXACT(Metadata!E538,"a"),EXACT(Metadata!E538,"b")))</f>
        <v>0</v>
      </c>
      <c r="U538" t="b">
        <f>OR(AND(IF(Metadata!F538="",FALSE,TRUE),OR(EXACT(Metadata!F538,"missing: not collected"),EXACT(Metadata!F538,"missing: not provided"))),AND(IF(Metadata!F538="",FALSE,TRUE),OR(EXACT(Metadata!F538,"lo"),EXACT(Metadata!F538,"med"),EXACT(Metadata!F538,"hi"))))</f>
        <v>0</v>
      </c>
    </row>
    <row r="539" spans="1:21" x14ac:dyDescent="0.2">
      <c r="A539" s="4" t="str">
        <f ca="1">IF(B539=" "," ",HYPERLINK(CONCATENATE("#metadata!",ADDRESS(INDEX($L$2:$L$1001,MATCH(ROWS($J$2:J539),$J$2:$J$1001,0),0),1)),INDEX($O$2:$O$1001,MATCH(ROWS($J$2:J539),$J$2:$J$1001,0),0)))</f>
        <v xml:space="preserve"> </v>
      </c>
      <c r="B539" s="3" t="str">
        <f ca="1">IF(OR(INDEX($K$2:$K$1001,MATCH(ROWS($J$2:J539),$J$2:$J$1001,0),1)&gt;=100000,INDEX($Q$1005:$U$1005,1,MATCH(COLUMNS($Q$1006:Q1006),$Q$1006:$U$1006,0))&gt;=100000), " ",IF(INDEX($Q$2:$U$1001,MATCH(ROWS($J$2:J539),$J$2:$J$1001,0),MATCH(COLUMNS($Q$1006:Q1006),$Q$1006:$U$1006,0)), HYPERLINK("#",""), HYPERLINK(CONCATENATE("#Metadata!", ADDRESS(INDEX($L$2:$L$1001,MATCH(ROWS($J$2:J539),$J$2:$J$1001,0),0), INDEX($Q$1004:$U$1004,1,MATCH(COLUMNS($Q$1006:Q1006),$Q$1006:$U$1006,0)))),"Fix")))</f>
        <v xml:space="preserve"> </v>
      </c>
      <c r="C539" s="3" t="str">
        <f ca="1">IF(OR(INDEX($K$2:$K$1001,MATCH(ROWS($J$2:J539),$J$2:$J$1001,0),1)&gt;=100000,INDEX($Q$1005:$U$1005,1,MATCH(COLUMNS($Q$1006:R1006),$Q$1006:$U$1006,0))&gt;=100000), " ",IF(INDEX($Q$2:$U$1001,MATCH(ROWS($J$2:J539),$J$2:$J$1001,0),MATCH(COLUMNS($Q$1006:R1006),$Q$1006:$U$1006,0)), HYPERLINK("#",""), HYPERLINK(CONCATENATE("#Metadata!", ADDRESS(INDEX($L$2:$L$1001,MATCH(ROWS($J$2:J539),$J$2:$J$1001,0),0), INDEX($Q$1004:$U$1004,1,MATCH(COLUMNS($Q$1006:R1006),$Q$1006:$U$1006,0)))),"Fix")))</f>
        <v xml:space="preserve"> </v>
      </c>
      <c r="D539" s="3" t="str">
        <f ca="1">IF(OR(INDEX($K$2:$K$1001,MATCH(ROWS($J$2:J539),$J$2:$J$1001,0),1)&gt;=100000,INDEX($Q$1005:$U$1005,1,MATCH(COLUMNS($Q$1006:S1006),$Q$1006:$U$1006,0))&gt;=100000), " ",IF(INDEX($Q$2:$U$1001,MATCH(ROWS($J$2:J539),$J$2:$J$1001,0),MATCH(COLUMNS($Q$1006:S1006),$Q$1006:$U$1006,0)), HYPERLINK("#",""), HYPERLINK(CONCATENATE("#Metadata!", ADDRESS(INDEX($L$2:$L$1001,MATCH(ROWS($J$2:J539),$J$2:$J$1001,0),0), INDEX($Q$1004:$U$1004,1,MATCH(COLUMNS($Q$1006:S1006),$Q$1006:$U$1006,0)))),"Fix")))</f>
        <v xml:space="preserve"> </v>
      </c>
      <c r="E539" s="3" t="str">
        <f ca="1">IF(OR(INDEX($K$2:$K$1001,MATCH(ROWS($J$2:J539),$J$2:$J$1001,0),1)&gt;=100000,INDEX($Q$1005:$U$1005,1,MATCH(COLUMNS($Q$1006:T1006),$Q$1006:$U$1006,0))&gt;=100000), " ",IF(INDEX($Q$2:$U$1001,MATCH(ROWS($J$2:J539),$J$2:$J$1001,0),MATCH(COLUMNS($Q$1006:T1006),$Q$1006:$U$1006,0)), HYPERLINK("#",""), HYPERLINK(CONCATENATE("#Metadata!", ADDRESS(INDEX($L$2:$L$1001,MATCH(ROWS($J$2:J539),$J$2:$J$1001,0),0), INDEX($Q$1004:$U$1004,1,MATCH(COLUMNS($Q$1006:T1006),$Q$1006:$U$1006,0)))),"Fix")))</f>
        <v xml:space="preserve"> </v>
      </c>
      <c r="F539" s="3" t="str">
        <f ca="1">IF(OR(INDEX($K$2:$K$1001,MATCH(ROWS($J$2:J539),$J$2:$J$1001,0),1)&gt;=100000,INDEX($Q$1005:$U$1005,1,MATCH(COLUMNS($Q$1006:U1006),$Q$1006:$U$1006,0))&gt;=100000), " ",IF(INDEX($Q$2:$U$1001,MATCH(ROWS($J$2:J539),$J$2:$J$1001,0),MATCH(COLUMNS($Q$1006:U1006),$Q$1006:$U$1006,0)), HYPERLINK("#",""), HYPERLINK(CONCATENATE("#Metadata!", ADDRESS(INDEX($L$2:$L$1001,MATCH(ROWS($J$2:J539),$J$2:$J$1001,0),0), INDEX($Q$1004:$U$1004,1,MATCH(COLUMNS($Q$1006:U1006),$Q$1006:$U$1006,0)))),"Fix")))</f>
        <v xml:space="preserve"> </v>
      </c>
      <c r="J539">
        <f ca="1"/>
        <v>538</v>
      </c>
      <c r="K539">
        <v>100539</v>
      </c>
      <c r="L539">
        <v>539</v>
      </c>
      <c r="M539" t="b">
        <f t="shared" si="8"/>
        <v>1</v>
      </c>
      <c r="N539" t="b">
        <f>COUNTBLANK(Metadata!B539:F539)=COLUMNS(Metadata!B539:F539)</f>
        <v>1</v>
      </c>
      <c r="O539" t="str">
        <v/>
      </c>
      <c r="Q539" t="b">
        <f ca="1"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R539" t="b">
        <f>IF(Metadata!C539="",FALSE,TRUE)</f>
        <v>0</v>
      </c>
      <c r="S539" t="b">
        <f>OR(AND(IF(Metadata!D539="",FALSE,TRUE),EXACT(Metadata!D539,"missing: not collected")),AND(IF(Metadata!D539="",FALSE,TRUE),OR(EXACT(Metadata!D539,"t"),EXACT(Metadata!D539,"f"))))</f>
        <v>0</v>
      </c>
      <c r="T539" t="b">
        <f>AND(IF(Metadata!E539="",FALSE,TRUE),OR(EXACT(Metadata!E539,"a"),EXACT(Metadata!E539,"b")))</f>
        <v>0</v>
      </c>
      <c r="U539" t="b">
        <f>OR(AND(IF(Metadata!F539="",FALSE,TRUE),OR(EXACT(Metadata!F539,"missing: not collected"),EXACT(Metadata!F539,"missing: not provided"))),AND(IF(Metadata!F539="",FALSE,TRUE),OR(EXACT(Metadata!F539,"lo"),EXACT(Metadata!F539,"med"),EXACT(Metadata!F539,"hi"))))</f>
        <v>0</v>
      </c>
    </row>
    <row r="540" spans="1:21" x14ac:dyDescent="0.2">
      <c r="A540" s="4" t="str">
        <f ca="1">IF(B540=" "," ",HYPERLINK(CONCATENATE("#metadata!",ADDRESS(INDEX($L$2:$L$1001,MATCH(ROWS($J$2:J540),$J$2:$J$1001,0),0),1)),INDEX($O$2:$O$1001,MATCH(ROWS($J$2:J540),$J$2:$J$1001,0),0)))</f>
        <v xml:space="preserve"> </v>
      </c>
      <c r="B540" s="3" t="str">
        <f ca="1">IF(OR(INDEX($K$2:$K$1001,MATCH(ROWS($J$2:J540),$J$2:$J$1001,0),1)&gt;=100000,INDEX($Q$1005:$U$1005,1,MATCH(COLUMNS($Q$1006:Q1006),$Q$1006:$U$1006,0))&gt;=100000), " ",IF(INDEX($Q$2:$U$1001,MATCH(ROWS($J$2:J540),$J$2:$J$1001,0),MATCH(COLUMNS($Q$1006:Q1006),$Q$1006:$U$1006,0)), HYPERLINK("#",""), HYPERLINK(CONCATENATE("#Metadata!", ADDRESS(INDEX($L$2:$L$1001,MATCH(ROWS($J$2:J540),$J$2:$J$1001,0),0), INDEX($Q$1004:$U$1004,1,MATCH(COLUMNS($Q$1006:Q1006),$Q$1006:$U$1006,0)))),"Fix")))</f>
        <v xml:space="preserve"> </v>
      </c>
      <c r="C540" s="3" t="str">
        <f ca="1">IF(OR(INDEX($K$2:$K$1001,MATCH(ROWS($J$2:J540),$J$2:$J$1001,0),1)&gt;=100000,INDEX($Q$1005:$U$1005,1,MATCH(COLUMNS($Q$1006:R1006),$Q$1006:$U$1006,0))&gt;=100000), " ",IF(INDEX($Q$2:$U$1001,MATCH(ROWS($J$2:J540),$J$2:$J$1001,0),MATCH(COLUMNS($Q$1006:R1006),$Q$1006:$U$1006,0)), HYPERLINK("#",""), HYPERLINK(CONCATENATE("#Metadata!", ADDRESS(INDEX($L$2:$L$1001,MATCH(ROWS($J$2:J540),$J$2:$J$1001,0),0), INDEX($Q$1004:$U$1004,1,MATCH(COLUMNS($Q$1006:R1006),$Q$1006:$U$1006,0)))),"Fix")))</f>
        <v xml:space="preserve"> </v>
      </c>
      <c r="D540" s="3" t="str">
        <f ca="1">IF(OR(INDEX($K$2:$K$1001,MATCH(ROWS($J$2:J540),$J$2:$J$1001,0),1)&gt;=100000,INDEX($Q$1005:$U$1005,1,MATCH(COLUMNS($Q$1006:S1006),$Q$1006:$U$1006,0))&gt;=100000), " ",IF(INDEX($Q$2:$U$1001,MATCH(ROWS($J$2:J540),$J$2:$J$1001,0),MATCH(COLUMNS($Q$1006:S1006),$Q$1006:$U$1006,0)), HYPERLINK("#",""), HYPERLINK(CONCATENATE("#Metadata!", ADDRESS(INDEX($L$2:$L$1001,MATCH(ROWS($J$2:J540),$J$2:$J$1001,0),0), INDEX($Q$1004:$U$1004,1,MATCH(COLUMNS($Q$1006:S1006),$Q$1006:$U$1006,0)))),"Fix")))</f>
        <v xml:space="preserve"> </v>
      </c>
      <c r="E540" s="3" t="str">
        <f ca="1">IF(OR(INDEX($K$2:$K$1001,MATCH(ROWS($J$2:J540),$J$2:$J$1001,0),1)&gt;=100000,INDEX($Q$1005:$U$1005,1,MATCH(COLUMNS($Q$1006:T1006),$Q$1006:$U$1006,0))&gt;=100000), " ",IF(INDEX($Q$2:$U$1001,MATCH(ROWS($J$2:J540),$J$2:$J$1001,0),MATCH(COLUMNS($Q$1006:T1006),$Q$1006:$U$1006,0)), HYPERLINK("#",""), HYPERLINK(CONCATENATE("#Metadata!", ADDRESS(INDEX($L$2:$L$1001,MATCH(ROWS($J$2:J540),$J$2:$J$1001,0),0), INDEX($Q$1004:$U$1004,1,MATCH(COLUMNS($Q$1006:T1006),$Q$1006:$U$1006,0)))),"Fix")))</f>
        <v xml:space="preserve"> </v>
      </c>
      <c r="F540" s="3" t="str">
        <f ca="1">IF(OR(INDEX($K$2:$K$1001,MATCH(ROWS($J$2:J540),$J$2:$J$1001,0),1)&gt;=100000,INDEX($Q$1005:$U$1005,1,MATCH(COLUMNS($Q$1006:U1006),$Q$1006:$U$1006,0))&gt;=100000), " ",IF(INDEX($Q$2:$U$1001,MATCH(ROWS($J$2:J540),$J$2:$J$1001,0),MATCH(COLUMNS($Q$1006:U1006),$Q$1006:$U$1006,0)), HYPERLINK("#",""), HYPERLINK(CONCATENATE("#Metadata!", ADDRESS(INDEX($L$2:$L$1001,MATCH(ROWS($J$2:J540),$J$2:$J$1001,0),0), INDEX($Q$1004:$U$1004,1,MATCH(COLUMNS($Q$1006:U1006),$Q$1006:$U$1006,0)))),"Fix")))</f>
        <v xml:space="preserve"> </v>
      </c>
      <c r="J540">
        <f ca="1"/>
        <v>539</v>
      </c>
      <c r="K540">
        <v>100540</v>
      </c>
      <c r="L540">
        <v>540</v>
      </c>
      <c r="M540" t="b">
        <f t="shared" si="8"/>
        <v>1</v>
      </c>
      <c r="N540" t="b">
        <f>COUNTBLANK(Metadata!B540:F540)=COLUMNS(Metadata!B540:F540)</f>
        <v>1</v>
      </c>
      <c r="O540" t="str">
        <v/>
      </c>
      <c r="Q540" t="b">
        <f ca="1"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R540" t="b">
        <f>IF(Metadata!C540="",FALSE,TRUE)</f>
        <v>0</v>
      </c>
      <c r="S540" t="b">
        <f>OR(AND(IF(Metadata!D540="",FALSE,TRUE),EXACT(Metadata!D540,"missing: not collected")),AND(IF(Metadata!D540="",FALSE,TRUE),OR(EXACT(Metadata!D540,"t"),EXACT(Metadata!D540,"f"))))</f>
        <v>0</v>
      </c>
      <c r="T540" t="b">
        <f>AND(IF(Metadata!E540="",FALSE,TRUE),OR(EXACT(Metadata!E540,"a"),EXACT(Metadata!E540,"b")))</f>
        <v>0</v>
      </c>
      <c r="U540" t="b">
        <f>OR(AND(IF(Metadata!F540="",FALSE,TRUE),OR(EXACT(Metadata!F540,"missing: not collected"),EXACT(Metadata!F540,"missing: not provided"))),AND(IF(Metadata!F540="",FALSE,TRUE),OR(EXACT(Metadata!F540,"lo"),EXACT(Metadata!F540,"med"),EXACT(Metadata!F540,"hi"))))</f>
        <v>0</v>
      </c>
    </row>
    <row r="541" spans="1:21" x14ac:dyDescent="0.2">
      <c r="A541" s="4" t="str">
        <f ca="1">IF(B541=" "," ",HYPERLINK(CONCATENATE("#metadata!",ADDRESS(INDEX($L$2:$L$1001,MATCH(ROWS($J$2:J541),$J$2:$J$1001,0),0),1)),INDEX($O$2:$O$1001,MATCH(ROWS($J$2:J541),$J$2:$J$1001,0),0)))</f>
        <v xml:space="preserve"> </v>
      </c>
      <c r="B541" s="3" t="str">
        <f ca="1">IF(OR(INDEX($K$2:$K$1001,MATCH(ROWS($J$2:J541),$J$2:$J$1001,0),1)&gt;=100000,INDEX($Q$1005:$U$1005,1,MATCH(COLUMNS($Q$1006:Q1006),$Q$1006:$U$1006,0))&gt;=100000), " ",IF(INDEX($Q$2:$U$1001,MATCH(ROWS($J$2:J541),$J$2:$J$1001,0),MATCH(COLUMNS($Q$1006:Q1006),$Q$1006:$U$1006,0)), HYPERLINK("#",""), HYPERLINK(CONCATENATE("#Metadata!", ADDRESS(INDEX($L$2:$L$1001,MATCH(ROWS($J$2:J541),$J$2:$J$1001,0),0), INDEX($Q$1004:$U$1004,1,MATCH(COLUMNS($Q$1006:Q1006),$Q$1006:$U$1006,0)))),"Fix")))</f>
        <v xml:space="preserve"> </v>
      </c>
      <c r="C541" s="3" t="str">
        <f ca="1">IF(OR(INDEX($K$2:$K$1001,MATCH(ROWS($J$2:J541),$J$2:$J$1001,0),1)&gt;=100000,INDEX($Q$1005:$U$1005,1,MATCH(COLUMNS($Q$1006:R1006),$Q$1006:$U$1006,0))&gt;=100000), " ",IF(INDEX($Q$2:$U$1001,MATCH(ROWS($J$2:J541),$J$2:$J$1001,0),MATCH(COLUMNS($Q$1006:R1006),$Q$1006:$U$1006,0)), HYPERLINK("#",""), HYPERLINK(CONCATENATE("#Metadata!", ADDRESS(INDEX($L$2:$L$1001,MATCH(ROWS($J$2:J541),$J$2:$J$1001,0),0), INDEX($Q$1004:$U$1004,1,MATCH(COLUMNS($Q$1006:R1006),$Q$1006:$U$1006,0)))),"Fix")))</f>
        <v xml:space="preserve"> </v>
      </c>
      <c r="D541" s="3" t="str">
        <f ca="1">IF(OR(INDEX($K$2:$K$1001,MATCH(ROWS($J$2:J541),$J$2:$J$1001,0),1)&gt;=100000,INDEX($Q$1005:$U$1005,1,MATCH(COLUMNS($Q$1006:S1006),$Q$1006:$U$1006,0))&gt;=100000), " ",IF(INDEX($Q$2:$U$1001,MATCH(ROWS($J$2:J541),$J$2:$J$1001,0),MATCH(COLUMNS($Q$1006:S1006),$Q$1006:$U$1006,0)), HYPERLINK("#",""), HYPERLINK(CONCATENATE("#Metadata!", ADDRESS(INDEX($L$2:$L$1001,MATCH(ROWS($J$2:J541),$J$2:$J$1001,0),0), INDEX($Q$1004:$U$1004,1,MATCH(COLUMNS($Q$1006:S1006),$Q$1006:$U$1006,0)))),"Fix")))</f>
        <v xml:space="preserve"> </v>
      </c>
      <c r="E541" s="3" t="str">
        <f ca="1">IF(OR(INDEX($K$2:$K$1001,MATCH(ROWS($J$2:J541),$J$2:$J$1001,0),1)&gt;=100000,INDEX($Q$1005:$U$1005,1,MATCH(COLUMNS($Q$1006:T1006),$Q$1006:$U$1006,0))&gt;=100000), " ",IF(INDEX($Q$2:$U$1001,MATCH(ROWS($J$2:J541),$J$2:$J$1001,0),MATCH(COLUMNS($Q$1006:T1006),$Q$1006:$U$1006,0)), HYPERLINK("#",""), HYPERLINK(CONCATENATE("#Metadata!", ADDRESS(INDEX($L$2:$L$1001,MATCH(ROWS($J$2:J541),$J$2:$J$1001,0),0), INDEX($Q$1004:$U$1004,1,MATCH(COLUMNS($Q$1006:T1006),$Q$1006:$U$1006,0)))),"Fix")))</f>
        <v xml:space="preserve"> </v>
      </c>
      <c r="F541" s="3" t="str">
        <f ca="1">IF(OR(INDEX($K$2:$K$1001,MATCH(ROWS($J$2:J541),$J$2:$J$1001,0),1)&gt;=100000,INDEX($Q$1005:$U$1005,1,MATCH(COLUMNS($Q$1006:U1006),$Q$1006:$U$1006,0))&gt;=100000), " ",IF(INDEX($Q$2:$U$1001,MATCH(ROWS($J$2:J541),$J$2:$J$1001,0),MATCH(COLUMNS($Q$1006:U1006),$Q$1006:$U$1006,0)), HYPERLINK("#",""), HYPERLINK(CONCATENATE("#Metadata!", ADDRESS(INDEX($L$2:$L$1001,MATCH(ROWS($J$2:J541),$J$2:$J$1001,0),0), INDEX($Q$1004:$U$1004,1,MATCH(COLUMNS($Q$1006:U1006),$Q$1006:$U$1006,0)))),"Fix")))</f>
        <v xml:space="preserve"> </v>
      </c>
      <c r="J541">
        <f ca="1"/>
        <v>540</v>
      </c>
      <c r="K541">
        <v>100541</v>
      </c>
      <c r="L541">
        <v>541</v>
      </c>
      <c r="M541" t="b">
        <f t="shared" si="8"/>
        <v>1</v>
      </c>
      <c r="N541" t="b">
        <f>COUNTBLANK(Metadata!B541:F541)=COLUMNS(Metadata!B541:F541)</f>
        <v>1</v>
      </c>
      <c r="O541" t="str">
        <v/>
      </c>
      <c r="Q541" t="b">
        <f ca="1"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R541" t="b">
        <f>IF(Metadata!C541="",FALSE,TRUE)</f>
        <v>0</v>
      </c>
      <c r="S541" t="b">
        <f>OR(AND(IF(Metadata!D541="",FALSE,TRUE),EXACT(Metadata!D541,"missing: not collected")),AND(IF(Metadata!D541="",FALSE,TRUE),OR(EXACT(Metadata!D541,"t"),EXACT(Metadata!D541,"f"))))</f>
        <v>0</v>
      </c>
      <c r="T541" t="b">
        <f>AND(IF(Metadata!E541="",FALSE,TRUE),OR(EXACT(Metadata!E541,"a"),EXACT(Metadata!E541,"b")))</f>
        <v>0</v>
      </c>
      <c r="U541" t="b">
        <f>OR(AND(IF(Metadata!F541="",FALSE,TRUE),OR(EXACT(Metadata!F541,"missing: not collected"),EXACT(Metadata!F541,"missing: not provided"))),AND(IF(Metadata!F541="",FALSE,TRUE),OR(EXACT(Metadata!F541,"lo"),EXACT(Metadata!F541,"med"),EXACT(Metadata!F541,"hi"))))</f>
        <v>0</v>
      </c>
    </row>
    <row r="542" spans="1:21" x14ac:dyDescent="0.2">
      <c r="A542" s="4" t="str">
        <f ca="1">IF(B542=" "," ",HYPERLINK(CONCATENATE("#metadata!",ADDRESS(INDEX($L$2:$L$1001,MATCH(ROWS($J$2:J542),$J$2:$J$1001,0),0),1)),INDEX($O$2:$O$1001,MATCH(ROWS($J$2:J542),$J$2:$J$1001,0),0)))</f>
        <v xml:space="preserve"> </v>
      </c>
      <c r="B542" s="3" t="str">
        <f ca="1">IF(OR(INDEX($K$2:$K$1001,MATCH(ROWS($J$2:J542),$J$2:$J$1001,0),1)&gt;=100000,INDEX($Q$1005:$U$1005,1,MATCH(COLUMNS($Q$1006:Q1006),$Q$1006:$U$1006,0))&gt;=100000), " ",IF(INDEX($Q$2:$U$1001,MATCH(ROWS($J$2:J542),$J$2:$J$1001,0),MATCH(COLUMNS($Q$1006:Q1006),$Q$1006:$U$1006,0)), HYPERLINK("#",""), HYPERLINK(CONCATENATE("#Metadata!", ADDRESS(INDEX($L$2:$L$1001,MATCH(ROWS($J$2:J542),$J$2:$J$1001,0),0), INDEX($Q$1004:$U$1004,1,MATCH(COLUMNS($Q$1006:Q1006),$Q$1006:$U$1006,0)))),"Fix")))</f>
        <v xml:space="preserve"> </v>
      </c>
      <c r="C542" s="3" t="str">
        <f ca="1">IF(OR(INDEX($K$2:$K$1001,MATCH(ROWS($J$2:J542),$J$2:$J$1001,0),1)&gt;=100000,INDEX($Q$1005:$U$1005,1,MATCH(COLUMNS($Q$1006:R1006),$Q$1006:$U$1006,0))&gt;=100000), " ",IF(INDEX($Q$2:$U$1001,MATCH(ROWS($J$2:J542),$J$2:$J$1001,0),MATCH(COLUMNS($Q$1006:R1006),$Q$1006:$U$1006,0)), HYPERLINK("#",""), HYPERLINK(CONCATENATE("#Metadata!", ADDRESS(INDEX($L$2:$L$1001,MATCH(ROWS($J$2:J542),$J$2:$J$1001,0),0), INDEX($Q$1004:$U$1004,1,MATCH(COLUMNS($Q$1006:R1006),$Q$1006:$U$1006,0)))),"Fix")))</f>
        <v xml:space="preserve"> </v>
      </c>
      <c r="D542" s="3" t="str">
        <f ca="1">IF(OR(INDEX($K$2:$K$1001,MATCH(ROWS($J$2:J542),$J$2:$J$1001,0),1)&gt;=100000,INDEX($Q$1005:$U$1005,1,MATCH(COLUMNS($Q$1006:S1006),$Q$1006:$U$1006,0))&gt;=100000), " ",IF(INDEX($Q$2:$U$1001,MATCH(ROWS($J$2:J542),$J$2:$J$1001,0),MATCH(COLUMNS($Q$1006:S1006),$Q$1006:$U$1006,0)), HYPERLINK("#",""), HYPERLINK(CONCATENATE("#Metadata!", ADDRESS(INDEX($L$2:$L$1001,MATCH(ROWS($J$2:J542),$J$2:$J$1001,0),0), INDEX($Q$1004:$U$1004,1,MATCH(COLUMNS($Q$1006:S1006),$Q$1006:$U$1006,0)))),"Fix")))</f>
        <v xml:space="preserve"> </v>
      </c>
      <c r="E542" s="3" t="str">
        <f ca="1">IF(OR(INDEX($K$2:$K$1001,MATCH(ROWS($J$2:J542),$J$2:$J$1001,0),1)&gt;=100000,INDEX($Q$1005:$U$1005,1,MATCH(COLUMNS($Q$1006:T1006),$Q$1006:$U$1006,0))&gt;=100000), " ",IF(INDEX($Q$2:$U$1001,MATCH(ROWS($J$2:J542),$J$2:$J$1001,0),MATCH(COLUMNS($Q$1006:T1006),$Q$1006:$U$1006,0)), HYPERLINK("#",""), HYPERLINK(CONCATENATE("#Metadata!", ADDRESS(INDEX($L$2:$L$1001,MATCH(ROWS($J$2:J542),$J$2:$J$1001,0),0), INDEX($Q$1004:$U$1004,1,MATCH(COLUMNS($Q$1006:T1006),$Q$1006:$U$1006,0)))),"Fix")))</f>
        <v xml:space="preserve"> </v>
      </c>
      <c r="F542" s="3" t="str">
        <f ca="1">IF(OR(INDEX($K$2:$K$1001,MATCH(ROWS($J$2:J542),$J$2:$J$1001,0),1)&gt;=100000,INDEX($Q$1005:$U$1005,1,MATCH(COLUMNS($Q$1006:U1006),$Q$1006:$U$1006,0))&gt;=100000), " ",IF(INDEX($Q$2:$U$1001,MATCH(ROWS($J$2:J542),$J$2:$J$1001,0),MATCH(COLUMNS($Q$1006:U1006),$Q$1006:$U$1006,0)), HYPERLINK("#",""), HYPERLINK(CONCATENATE("#Metadata!", ADDRESS(INDEX($L$2:$L$1001,MATCH(ROWS($J$2:J542),$J$2:$J$1001,0),0), INDEX($Q$1004:$U$1004,1,MATCH(COLUMNS($Q$1006:U1006),$Q$1006:$U$1006,0)))),"Fix")))</f>
        <v xml:space="preserve"> </v>
      </c>
      <c r="J542">
        <f ca="1"/>
        <v>541</v>
      </c>
      <c r="K542">
        <v>100542</v>
      </c>
      <c r="L542">
        <v>542</v>
      </c>
      <c r="M542" t="b">
        <f t="shared" si="8"/>
        <v>1</v>
      </c>
      <c r="N542" t="b">
        <f>COUNTBLANK(Metadata!B542:F542)=COLUMNS(Metadata!B542:F542)</f>
        <v>1</v>
      </c>
      <c r="O542" t="str">
        <v/>
      </c>
      <c r="Q542" t="b">
        <f ca="1"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R542" t="b">
        <f>IF(Metadata!C542="",FALSE,TRUE)</f>
        <v>0</v>
      </c>
      <c r="S542" t="b">
        <f>OR(AND(IF(Metadata!D542="",FALSE,TRUE),EXACT(Metadata!D542,"missing: not collected")),AND(IF(Metadata!D542="",FALSE,TRUE),OR(EXACT(Metadata!D542,"t"),EXACT(Metadata!D542,"f"))))</f>
        <v>0</v>
      </c>
      <c r="T542" t="b">
        <f>AND(IF(Metadata!E542="",FALSE,TRUE),OR(EXACT(Metadata!E542,"a"),EXACT(Metadata!E542,"b")))</f>
        <v>0</v>
      </c>
      <c r="U542" t="b">
        <f>OR(AND(IF(Metadata!F542="",FALSE,TRUE),OR(EXACT(Metadata!F542,"missing: not collected"),EXACT(Metadata!F542,"missing: not provided"))),AND(IF(Metadata!F542="",FALSE,TRUE),OR(EXACT(Metadata!F542,"lo"),EXACT(Metadata!F542,"med"),EXACT(Metadata!F542,"hi"))))</f>
        <v>0</v>
      </c>
    </row>
    <row r="543" spans="1:21" x14ac:dyDescent="0.2">
      <c r="A543" s="4" t="str">
        <f ca="1">IF(B543=" "," ",HYPERLINK(CONCATENATE("#metadata!",ADDRESS(INDEX($L$2:$L$1001,MATCH(ROWS($J$2:J543),$J$2:$J$1001,0),0),1)),INDEX($O$2:$O$1001,MATCH(ROWS($J$2:J543),$J$2:$J$1001,0),0)))</f>
        <v xml:space="preserve"> </v>
      </c>
      <c r="B543" s="3" t="str">
        <f ca="1">IF(OR(INDEX($K$2:$K$1001,MATCH(ROWS($J$2:J543),$J$2:$J$1001,0),1)&gt;=100000,INDEX($Q$1005:$U$1005,1,MATCH(COLUMNS($Q$1006:Q1006),$Q$1006:$U$1006,0))&gt;=100000), " ",IF(INDEX($Q$2:$U$1001,MATCH(ROWS($J$2:J543),$J$2:$J$1001,0),MATCH(COLUMNS($Q$1006:Q1006),$Q$1006:$U$1006,0)), HYPERLINK("#",""), HYPERLINK(CONCATENATE("#Metadata!", ADDRESS(INDEX($L$2:$L$1001,MATCH(ROWS($J$2:J543),$J$2:$J$1001,0),0), INDEX($Q$1004:$U$1004,1,MATCH(COLUMNS($Q$1006:Q1006),$Q$1006:$U$1006,0)))),"Fix")))</f>
        <v xml:space="preserve"> </v>
      </c>
      <c r="C543" s="3" t="str">
        <f ca="1">IF(OR(INDEX($K$2:$K$1001,MATCH(ROWS($J$2:J543),$J$2:$J$1001,0),1)&gt;=100000,INDEX($Q$1005:$U$1005,1,MATCH(COLUMNS($Q$1006:R1006),$Q$1006:$U$1006,0))&gt;=100000), " ",IF(INDEX($Q$2:$U$1001,MATCH(ROWS($J$2:J543),$J$2:$J$1001,0),MATCH(COLUMNS($Q$1006:R1006),$Q$1006:$U$1006,0)), HYPERLINK("#",""), HYPERLINK(CONCATENATE("#Metadata!", ADDRESS(INDEX($L$2:$L$1001,MATCH(ROWS($J$2:J543),$J$2:$J$1001,0),0), INDEX($Q$1004:$U$1004,1,MATCH(COLUMNS($Q$1006:R1006),$Q$1006:$U$1006,0)))),"Fix")))</f>
        <v xml:space="preserve"> </v>
      </c>
      <c r="D543" s="3" t="str">
        <f ca="1">IF(OR(INDEX($K$2:$K$1001,MATCH(ROWS($J$2:J543),$J$2:$J$1001,0),1)&gt;=100000,INDEX($Q$1005:$U$1005,1,MATCH(COLUMNS($Q$1006:S1006),$Q$1006:$U$1006,0))&gt;=100000), " ",IF(INDEX($Q$2:$U$1001,MATCH(ROWS($J$2:J543),$J$2:$J$1001,0),MATCH(COLUMNS($Q$1006:S1006),$Q$1006:$U$1006,0)), HYPERLINK("#",""), HYPERLINK(CONCATENATE("#Metadata!", ADDRESS(INDEX($L$2:$L$1001,MATCH(ROWS($J$2:J543),$J$2:$J$1001,0),0), INDEX($Q$1004:$U$1004,1,MATCH(COLUMNS($Q$1006:S1006),$Q$1006:$U$1006,0)))),"Fix")))</f>
        <v xml:space="preserve"> </v>
      </c>
      <c r="E543" s="3" t="str">
        <f ca="1">IF(OR(INDEX($K$2:$K$1001,MATCH(ROWS($J$2:J543),$J$2:$J$1001,0),1)&gt;=100000,INDEX($Q$1005:$U$1005,1,MATCH(COLUMNS($Q$1006:T1006),$Q$1006:$U$1006,0))&gt;=100000), " ",IF(INDEX($Q$2:$U$1001,MATCH(ROWS($J$2:J543),$J$2:$J$1001,0),MATCH(COLUMNS($Q$1006:T1006),$Q$1006:$U$1006,0)), HYPERLINK("#",""), HYPERLINK(CONCATENATE("#Metadata!", ADDRESS(INDEX($L$2:$L$1001,MATCH(ROWS($J$2:J543),$J$2:$J$1001,0),0), INDEX($Q$1004:$U$1004,1,MATCH(COLUMNS($Q$1006:T1006),$Q$1006:$U$1006,0)))),"Fix")))</f>
        <v xml:space="preserve"> </v>
      </c>
      <c r="F543" s="3" t="str">
        <f ca="1">IF(OR(INDEX($K$2:$K$1001,MATCH(ROWS($J$2:J543),$J$2:$J$1001,0),1)&gt;=100000,INDEX($Q$1005:$U$1005,1,MATCH(COLUMNS($Q$1006:U1006),$Q$1006:$U$1006,0))&gt;=100000), " ",IF(INDEX($Q$2:$U$1001,MATCH(ROWS($J$2:J543),$J$2:$J$1001,0),MATCH(COLUMNS($Q$1006:U1006),$Q$1006:$U$1006,0)), HYPERLINK("#",""), HYPERLINK(CONCATENATE("#Metadata!", ADDRESS(INDEX($L$2:$L$1001,MATCH(ROWS($J$2:J543),$J$2:$J$1001,0),0), INDEX($Q$1004:$U$1004,1,MATCH(COLUMNS($Q$1006:U1006),$Q$1006:$U$1006,0)))),"Fix")))</f>
        <v xml:space="preserve"> </v>
      </c>
      <c r="J543">
        <f ca="1"/>
        <v>542</v>
      </c>
      <c r="K543">
        <v>100543</v>
      </c>
      <c r="L543">
        <v>543</v>
      </c>
      <c r="M543" t="b">
        <f t="shared" si="8"/>
        <v>1</v>
      </c>
      <c r="N543" t="b">
        <f>COUNTBLANK(Metadata!B543:F543)=COLUMNS(Metadata!B543:F543)</f>
        <v>1</v>
      </c>
      <c r="O543" t="str">
        <v/>
      </c>
      <c r="Q543" t="b">
        <f ca="1"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R543" t="b">
        <f>IF(Metadata!C543="",FALSE,TRUE)</f>
        <v>0</v>
      </c>
      <c r="S543" t="b">
        <f>OR(AND(IF(Metadata!D543="",FALSE,TRUE),EXACT(Metadata!D543,"missing: not collected")),AND(IF(Metadata!D543="",FALSE,TRUE),OR(EXACT(Metadata!D543,"t"),EXACT(Metadata!D543,"f"))))</f>
        <v>0</v>
      </c>
      <c r="T543" t="b">
        <f>AND(IF(Metadata!E543="",FALSE,TRUE),OR(EXACT(Metadata!E543,"a"),EXACT(Metadata!E543,"b")))</f>
        <v>0</v>
      </c>
      <c r="U543" t="b">
        <f>OR(AND(IF(Metadata!F543="",FALSE,TRUE),OR(EXACT(Metadata!F543,"missing: not collected"),EXACT(Metadata!F543,"missing: not provided"))),AND(IF(Metadata!F543="",FALSE,TRUE),OR(EXACT(Metadata!F543,"lo"),EXACT(Metadata!F543,"med"),EXACT(Metadata!F543,"hi"))))</f>
        <v>0</v>
      </c>
    </row>
    <row r="544" spans="1:21" x14ac:dyDescent="0.2">
      <c r="A544" s="4" t="str">
        <f ca="1">IF(B544=" "," ",HYPERLINK(CONCATENATE("#metadata!",ADDRESS(INDEX($L$2:$L$1001,MATCH(ROWS($J$2:J544),$J$2:$J$1001,0),0),1)),INDEX($O$2:$O$1001,MATCH(ROWS($J$2:J544),$J$2:$J$1001,0),0)))</f>
        <v xml:space="preserve"> </v>
      </c>
      <c r="B544" s="3" t="str">
        <f ca="1">IF(OR(INDEX($K$2:$K$1001,MATCH(ROWS($J$2:J544),$J$2:$J$1001,0),1)&gt;=100000,INDEX($Q$1005:$U$1005,1,MATCH(COLUMNS($Q$1006:Q1006),$Q$1006:$U$1006,0))&gt;=100000), " ",IF(INDEX($Q$2:$U$1001,MATCH(ROWS($J$2:J544),$J$2:$J$1001,0),MATCH(COLUMNS($Q$1006:Q1006),$Q$1006:$U$1006,0)), HYPERLINK("#",""), HYPERLINK(CONCATENATE("#Metadata!", ADDRESS(INDEX($L$2:$L$1001,MATCH(ROWS($J$2:J544),$J$2:$J$1001,0),0), INDEX($Q$1004:$U$1004,1,MATCH(COLUMNS($Q$1006:Q1006),$Q$1006:$U$1006,0)))),"Fix")))</f>
        <v xml:space="preserve"> </v>
      </c>
      <c r="C544" s="3" t="str">
        <f ca="1">IF(OR(INDEX($K$2:$K$1001,MATCH(ROWS($J$2:J544),$J$2:$J$1001,0),1)&gt;=100000,INDEX($Q$1005:$U$1005,1,MATCH(COLUMNS($Q$1006:R1006),$Q$1006:$U$1006,0))&gt;=100000), " ",IF(INDEX($Q$2:$U$1001,MATCH(ROWS($J$2:J544),$J$2:$J$1001,0),MATCH(COLUMNS($Q$1006:R1006),$Q$1006:$U$1006,0)), HYPERLINK("#",""), HYPERLINK(CONCATENATE("#Metadata!", ADDRESS(INDEX($L$2:$L$1001,MATCH(ROWS($J$2:J544),$J$2:$J$1001,0),0), INDEX($Q$1004:$U$1004,1,MATCH(COLUMNS($Q$1006:R1006),$Q$1006:$U$1006,0)))),"Fix")))</f>
        <v xml:space="preserve"> </v>
      </c>
      <c r="D544" s="3" t="str">
        <f ca="1">IF(OR(INDEX($K$2:$K$1001,MATCH(ROWS($J$2:J544),$J$2:$J$1001,0),1)&gt;=100000,INDEX($Q$1005:$U$1005,1,MATCH(COLUMNS($Q$1006:S1006),$Q$1006:$U$1006,0))&gt;=100000), " ",IF(INDEX($Q$2:$U$1001,MATCH(ROWS($J$2:J544),$J$2:$J$1001,0),MATCH(COLUMNS($Q$1006:S1006),$Q$1006:$U$1006,0)), HYPERLINK("#",""), HYPERLINK(CONCATENATE("#Metadata!", ADDRESS(INDEX($L$2:$L$1001,MATCH(ROWS($J$2:J544),$J$2:$J$1001,0),0), INDEX($Q$1004:$U$1004,1,MATCH(COLUMNS($Q$1006:S1006),$Q$1006:$U$1006,0)))),"Fix")))</f>
        <v xml:space="preserve"> </v>
      </c>
      <c r="E544" s="3" t="str">
        <f ca="1">IF(OR(INDEX($K$2:$K$1001,MATCH(ROWS($J$2:J544),$J$2:$J$1001,0),1)&gt;=100000,INDEX($Q$1005:$U$1005,1,MATCH(COLUMNS($Q$1006:T1006),$Q$1006:$U$1006,0))&gt;=100000), " ",IF(INDEX($Q$2:$U$1001,MATCH(ROWS($J$2:J544),$J$2:$J$1001,0),MATCH(COLUMNS($Q$1006:T1006),$Q$1006:$U$1006,0)), HYPERLINK("#",""), HYPERLINK(CONCATENATE("#Metadata!", ADDRESS(INDEX($L$2:$L$1001,MATCH(ROWS($J$2:J544),$J$2:$J$1001,0),0), INDEX($Q$1004:$U$1004,1,MATCH(COLUMNS($Q$1006:T1006),$Q$1006:$U$1006,0)))),"Fix")))</f>
        <v xml:space="preserve"> </v>
      </c>
      <c r="F544" s="3" t="str">
        <f ca="1">IF(OR(INDEX($K$2:$K$1001,MATCH(ROWS($J$2:J544),$J$2:$J$1001,0),1)&gt;=100000,INDEX($Q$1005:$U$1005,1,MATCH(COLUMNS($Q$1006:U1006),$Q$1006:$U$1006,0))&gt;=100000), " ",IF(INDEX($Q$2:$U$1001,MATCH(ROWS($J$2:J544),$J$2:$J$1001,0),MATCH(COLUMNS($Q$1006:U1006),$Q$1006:$U$1006,0)), HYPERLINK("#",""), HYPERLINK(CONCATENATE("#Metadata!", ADDRESS(INDEX($L$2:$L$1001,MATCH(ROWS($J$2:J544),$J$2:$J$1001,0),0), INDEX($Q$1004:$U$1004,1,MATCH(COLUMNS($Q$1006:U1006),$Q$1006:$U$1006,0)))),"Fix")))</f>
        <v xml:space="preserve"> </v>
      </c>
      <c r="J544">
        <f ca="1"/>
        <v>543</v>
      </c>
      <c r="K544">
        <v>100544</v>
      </c>
      <c r="L544">
        <v>544</v>
      </c>
      <c r="M544" t="b">
        <f t="shared" si="8"/>
        <v>1</v>
      </c>
      <c r="N544" t="b">
        <f>COUNTBLANK(Metadata!B544:F544)=COLUMNS(Metadata!B544:F544)</f>
        <v>1</v>
      </c>
      <c r="O544" t="str">
        <v/>
      </c>
      <c r="Q544" t="b">
        <f ca="1"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R544" t="b">
        <f>IF(Metadata!C544="",FALSE,TRUE)</f>
        <v>0</v>
      </c>
      <c r="S544" t="b">
        <f>OR(AND(IF(Metadata!D544="",FALSE,TRUE),EXACT(Metadata!D544,"missing: not collected")),AND(IF(Metadata!D544="",FALSE,TRUE),OR(EXACT(Metadata!D544,"t"),EXACT(Metadata!D544,"f"))))</f>
        <v>0</v>
      </c>
      <c r="T544" t="b">
        <f>AND(IF(Metadata!E544="",FALSE,TRUE),OR(EXACT(Metadata!E544,"a"),EXACT(Metadata!E544,"b")))</f>
        <v>0</v>
      </c>
      <c r="U544" t="b">
        <f>OR(AND(IF(Metadata!F544="",FALSE,TRUE),OR(EXACT(Metadata!F544,"missing: not collected"),EXACT(Metadata!F544,"missing: not provided"))),AND(IF(Metadata!F544="",FALSE,TRUE),OR(EXACT(Metadata!F544,"lo"),EXACT(Metadata!F544,"med"),EXACT(Metadata!F544,"hi"))))</f>
        <v>0</v>
      </c>
    </row>
    <row r="545" spans="1:21" x14ac:dyDescent="0.2">
      <c r="A545" s="4" t="str">
        <f ca="1">IF(B545=" "," ",HYPERLINK(CONCATENATE("#metadata!",ADDRESS(INDEX($L$2:$L$1001,MATCH(ROWS($J$2:J545),$J$2:$J$1001,0),0),1)),INDEX($O$2:$O$1001,MATCH(ROWS($J$2:J545),$J$2:$J$1001,0),0)))</f>
        <v xml:space="preserve"> </v>
      </c>
      <c r="B545" s="3" t="str">
        <f ca="1">IF(OR(INDEX($K$2:$K$1001,MATCH(ROWS($J$2:J545),$J$2:$J$1001,0),1)&gt;=100000,INDEX($Q$1005:$U$1005,1,MATCH(COLUMNS($Q$1006:Q1006),$Q$1006:$U$1006,0))&gt;=100000), " ",IF(INDEX($Q$2:$U$1001,MATCH(ROWS($J$2:J545),$J$2:$J$1001,0),MATCH(COLUMNS($Q$1006:Q1006),$Q$1006:$U$1006,0)), HYPERLINK("#",""), HYPERLINK(CONCATENATE("#Metadata!", ADDRESS(INDEX($L$2:$L$1001,MATCH(ROWS($J$2:J545),$J$2:$J$1001,0),0), INDEX($Q$1004:$U$1004,1,MATCH(COLUMNS($Q$1006:Q1006),$Q$1006:$U$1006,0)))),"Fix")))</f>
        <v xml:space="preserve"> </v>
      </c>
      <c r="C545" s="3" t="str">
        <f ca="1">IF(OR(INDEX($K$2:$K$1001,MATCH(ROWS($J$2:J545),$J$2:$J$1001,0),1)&gt;=100000,INDEX($Q$1005:$U$1005,1,MATCH(COLUMNS($Q$1006:R1006),$Q$1006:$U$1006,0))&gt;=100000), " ",IF(INDEX($Q$2:$U$1001,MATCH(ROWS($J$2:J545),$J$2:$J$1001,0),MATCH(COLUMNS($Q$1006:R1006),$Q$1006:$U$1006,0)), HYPERLINK("#",""), HYPERLINK(CONCATENATE("#Metadata!", ADDRESS(INDEX($L$2:$L$1001,MATCH(ROWS($J$2:J545),$J$2:$J$1001,0),0), INDEX($Q$1004:$U$1004,1,MATCH(COLUMNS($Q$1006:R1006),$Q$1006:$U$1006,0)))),"Fix")))</f>
        <v xml:space="preserve"> </v>
      </c>
      <c r="D545" s="3" t="str">
        <f ca="1">IF(OR(INDEX($K$2:$K$1001,MATCH(ROWS($J$2:J545),$J$2:$J$1001,0),1)&gt;=100000,INDEX($Q$1005:$U$1005,1,MATCH(COLUMNS($Q$1006:S1006),$Q$1006:$U$1006,0))&gt;=100000), " ",IF(INDEX($Q$2:$U$1001,MATCH(ROWS($J$2:J545),$J$2:$J$1001,0),MATCH(COLUMNS($Q$1006:S1006),$Q$1006:$U$1006,0)), HYPERLINK("#",""), HYPERLINK(CONCATENATE("#Metadata!", ADDRESS(INDEX($L$2:$L$1001,MATCH(ROWS($J$2:J545),$J$2:$J$1001,0),0), INDEX($Q$1004:$U$1004,1,MATCH(COLUMNS($Q$1006:S1006),$Q$1006:$U$1006,0)))),"Fix")))</f>
        <v xml:space="preserve"> </v>
      </c>
      <c r="E545" s="3" t="str">
        <f ca="1">IF(OR(INDEX($K$2:$K$1001,MATCH(ROWS($J$2:J545),$J$2:$J$1001,0),1)&gt;=100000,INDEX($Q$1005:$U$1005,1,MATCH(COLUMNS($Q$1006:T1006),$Q$1006:$U$1006,0))&gt;=100000), " ",IF(INDEX($Q$2:$U$1001,MATCH(ROWS($J$2:J545),$J$2:$J$1001,0),MATCH(COLUMNS($Q$1006:T1006),$Q$1006:$U$1006,0)), HYPERLINK("#",""), HYPERLINK(CONCATENATE("#Metadata!", ADDRESS(INDEX($L$2:$L$1001,MATCH(ROWS($J$2:J545),$J$2:$J$1001,0),0), INDEX($Q$1004:$U$1004,1,MATCH(COLUMNS($Q$1006:T1006),$Q$1006:$U$1006,0)))),"Fix")))</f>
        <v xml:space="preserve"> </v>
      </c>
      <c r="F545" s="3" t="str">
        <f ca="1">IF(OR(INDEX($K$2:$K$1001,MATCH(ROWS($J$2:J545),$J$2:$J$1001,0),1)&gt;=100000,INDEX($Q$1005:$U$1005,1,MATCH(COLUMNS($Q$1006:U1006),$Q$1006:$U$1006,0))&gt;=100000), " ",IF(INDEX($Q$2:$U$1001,MATCH(ROWS($J$2:J545),$J$2:$J$1001,0),MATCH(COLUMNS($Q$1006:U1006),$Q$1006:$U$1006,0)), HYPERLINK("#",""), HYPERLINK(CONCATENATE("#Metadata!", ADDRESS(INDEX($L$2:$L$1001,MATCH(ROWS($J$2:J545),$J$2:$J$1001,0),0), INDEX($Q$1004:$U$1004,1,MATCH(COLUMNS($Q$1006:U1006),$Q$1006:$U$1006,0)))),"Fix")))</f>
        <v xml:space="preserve"> </v>
      </c>
      <c r="J545">
        <f ca="1"/>
        <v>544</v>
      </c>
      <c r="K545">
        <v>100545</v>
      </c>
      <c r="L545">
        <v>545</v>
      </c>
      <c r="M545" t="b">
        <f t="shared" si="8"/>
        <v>1</v>
      </c>
      <c r="N545" t="b">
        <f>COUNTBLANK(Metadata!B545:F545)=COLUMNS(Metadata!B545:F545)</f>
        <v>1</v>
      </c>
      <c r="O545" t="str">
        <v/>
      </c>
      <c r="Q545" t="b">
        <f ca="1"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R545" t="b">
        <f>IF(Metadata!C545="",FALSE,TRUE)</f>
        <v>0</v>
      </c>
      <c r="S545" t="b">
        <f>OR(AND(IF(Metadata!D545="",FALSE,TRUE),EXACT(Metadata!D545,"missing: not collected")),AND(IF(Metadata!D545="",FALSE,TRUE),OR(EXACT(Metadata!D545,"t"),EXACT(Metadata!D545,"f"))))</f>
        <v>0</v>
      </c>
      <c r="T545" t="b">
        <f>AND(IF(Metadata!E545="",FALSE,TRUE),OR(EXACT(Metadata!E545,"a"),EXACT(Metadata!E545,"b")))</f>
        <v>0</v>
      </c>
      <c r="U545" t="b">
        <f>OR(AND(IF(Metadata!F545="",FALSE,TRUE),OR(EXACT(Metadata!F545,"missing: not collected"),EXACT(Metadata!F545,"missing: not provided"))),AND(IF(Metadata!F545="",FALSE,TRUE),OR(EXACT(Metadata!F545,"lo"),EXACT(Metadata!F545,"med"),EXACT(Metadata!F545,"hi"))))</f>
        <v>0</v>
      </c>
    </row>
    <row r="546" spans="1:21" x14ac:dyDescent="0.2">
      <c r="A546" s="4" t="str">
        <f ca="1">IF(B546=" "," ",HYPERLINK(CONCATENATE("#metadata!",ADDRESS(INDEX($L$2:$L$1001,MATCH(ROWS($J$2:J546),$J$2:$J$1001,0),0),1)),INDEX($O$2:$O$1001,MATCH(ROWS($J$2:J546),$J$2:$J$1001,0),0)))</f>
        <v xml:space="preserve"> </v>
      </c>
      <c r="B546" s="3" t="str">
        <f ca="1">IF(OR(INDEX($K$2:$K$1001,MATCH(ROWS($J$2:J546),$J$2:$J$1001,0),1)&gt;=100000,INDEX($Q$1005:$U$1005,1,MATCH(COLUMNS($Q$1006:Q1006),$Q$1006:$U$1006,0))&gt;=100000), " ",IF(INDEX($Q$2:$U$1001,MATCH(ROWS($J$2:J546),$J$2:$J$1001,0),MATCH(COLUMNS($Q$1006:Q1006),$Q$1006:$U$1006,0)), HYPERLINK("#",""), HYPERLINK(CONCATENATE("#Metadata!", ADDRESS(INDEX($L$2:$L$1001,MATCH(ROWS($J$2:J546),$J$2:$J$1001,0),0), INDEX($Q$1004:$U$1004,1,MATCH(COLUMNS($Q$1006:Q1006),$Q$1006:$U$1006,0)))),"Fix")))</f>
        <v xml:space="preserve"> </v>
      </c>
      <c r="C546" s="3" t="str">
        <f ca="1">IF(OR(INDEX($K$2:$K$1001,MATCH(ROWS($J$2:J546),$J$2:$J$1001,0),1)&gt;=100000,INDEX($Q$1005:$U$1005,1,MATCH(COLUMNS($Q$1006:R1006),$Q$1006:$U$1006,0))&gt;=100000), " ",IF(INDEX($Q$2:$U$1001,MATCH(ROWS($J$2:J546),$J$2:$J$1001,0),MATCH(COLUMNS($Q$1006:R1006),$Q$1006:$U$1006,0)), HYPERLINK("#",""), HYPERLINK(CONCATENATE("#Metadata!", ADDRESS(INDEX($L$2:$L$1001,MATCH(ROWS($J$2:J546),$J$2:$J$1001,0),0), INDEX($Q$1004:$U$1004,1,MATCH(COLUMNS($Q$1006:R1006),$Q$1006:$U$1006,0)))),"Fix")))</f>
        <v xml:space="preserve"> </v>
      </c>
      <c r="D546" s="3" t="str">
        <f ca="1">IF(OR(INDEX($K$2:$K$1001,MATCH(ROWS($J$2:J546),$J$2:$J$1001,0),1)&gt;=100000,INDEX($Q$1005:$U$1005,1,MATCH(COLUMNS($Q$1006:S1006),$Q$1006:$U$1006,0))&gt;=100000), " ",IF(INDEX($Q$2:$U$1001,MATCH(ROWS($J$2:J546),$J$2:$J$1001,0),MATCH(COLUMNS($Q$1006:S1006),$Q$1006:$U$1006,0)), HYPERLINK("#",""), HYPERLINK(CONCATENATE("#Metadata!", ADDRESS(INDEX($L$2:$L$1001,MATCH(ROWS($J$2:J546),$J$2:$J$1001,0),0), INDEX($Q$1004:$U$1004,1,MATCH(COLUMNS($Q$1006:S1006),$Q$1006:$U$1006,0)))),"Fix")))</f>
        <v xml:space="preserve"> </v>
      </c>
      <c r="E546" s="3" t="str">
        <f ca="1">IF(OR(INDEX($K$2:$K$1001,MATCH(ROWS($J$2:J546),$J$2:$J$1001,0),1)&gt;=100000,INDEX($Q$1005:$U$1005,1,MATCH(COLUMNS($Q$1006:T1006),$Q$1006:$U$1006,0))&gt;=100000), " ",IF(INDEX($Q$2:$U$1001,MATCH(ROWS($J$2:J546),$J$2:$J$1001,0),MATCH(COLUMNS($Q$1006:T1006),$Q$1006:$U$1006,0)), HYPERLINK("#",""), HYPERLINK(CONCATENATE("#Metadata!", ADDRESS(INDEX($L$2:$L$1001,MATCH(ROWS($J$2:J546),$J$2:$J$1001,0),0), INDEX($Q$1004:$U$1004,1,MATCH(COLUMNS($Q$1006:T1006),$Q$1006:$U$1006,0)))),"Fix")))</f>
        <v xml:space="preserve"> </v>
      </c>
      <c r="F546" s="3" t="str">
        <f ca="1">IF(OR(INDEX($K$2:$K$1001,MATCH(ROWS($J$2:J546),$J$2:$J$1001,0),1)&gt;=100000,INDEX($Q$1005:$U$1005,1,MATCH(COLUMNS($Q$1006:U1006),$Q$1006:$U$1006,0))&gt;=100000), " ",IF(INDEX($Q$2:$U$1001,MATCH(ROWS($J$2:J546),$J$2:$J$1001,0),MATCH(COLUMNS($Q$1006:U1006),$Q$1006:$U$1006,0)), HYPERLINK("#",""), HYPERLINK(CONCATENATE("#Metadata!", ADDRESS(INDEX($L$2:$L$1001,MATCH(ROWS($J$2:J546),$J$2:$J$1001,0),0), INDEX($Q$1004:$U$1004,1,MATCH(COLUMNS($Q$1006:U1006),$Q$1006:$U$1006,0)))),"Fix")))</f>
        <v xml:space="preserve"> </v>
      </c>
      <c r="J546">
        <f ca="1"/>
        <v>545</v>
      </c>
      <c r="K546">
        <v>100546</v>
      </c>
      <c r="L546">
        <v>546</v>
      </c>
      <c r="M546" t="b">
        <f t="shared" si="8"/>
        <v>1</v>
      </c>
      <c r="N546" t="b">
        <f>COUNTBLANK(Metadata!B546:F546)=COLUMNS(Metadata!B546:F546)</f>
        <v>1</v>
      </c>
      <c r="O546" t="str">
        <v/>
      </c>
      <c r="Q546" t="b">
        <f ca="1"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R546" t="b">
        <f>IF(Metadata!C546="",FALSE,TRUE)</f>
        <v>0</v>
      </c>
      <c r="S546" t="b">
        <f>OR(AND(IF(Metadata!D546="",FALSE,TRUE),EXACT(Metadata!D546,"missing: not collected")),AND(IF(Metadata!D546="",FALSE,TRUE),OR(EXACT(Metadata!D546,"t"),EXACT(Metadata!D546,"f"))))</f>
        <v>0</v>
      </c>
      <c r="T546" t="b">
        <f>AND(IF(Metadata!E546="",FALSE,TRUE),OR(EXACT(Metadata!E546,"a"),EXACT(Metadata!E546,"b")))</f>
        <v>0</v>
      </c>
      <c r="U546" t="b">
        <f>OR(AND(IF(Metadata!F546="",FALSE,TRUE),OR(EXACT(Metadata!F546,"missing: not collected"),EXACT(Metadata!F546,"missing: not provided"))),AND(IF(Metadata!F546="",FALSE,TRUE),OR(EXACT(Metadata!F546,"lo"),EXACT(Metadata!F546,"med"),EXACT(Metadata!F546,"hi"))))</f>
        <v>0</v>
      </c>
    </row>
    <row r="547" spans="1:21" x14ac:dyDescent="0.2">
      <c r="A547" s="4" t="str">
        <f ca="1">IF(B547=" "," ",HYPERLINK(CONCATENATE("#metadata!",ADDRESS(INDEX($L$2:$L$1001,MATCH(ROWS($J$2:J547),$J$2:$J$1001,0),0),1)),INDEX($O$2:$O$1001,MATCH(ROWS($J$2:J547),$J$2:$J$1001,0),0)))</f>
        <v xml:space="preserve"> </v>
      </c>
      <c r="B547" s="3" t="str">
        <f ca="1">IF(OR(INDEX($K$2:$K$1001,MATCH(ROWS($J$2:J547),$J$2:$J$1001,0),1)&gt;=100000,INDEX($Q$1005:$U$1005,1,MATCH(COLUMNS($Q$1006:Q1006),$Q$1006:$U$1006,0))&gt;=100000), " ",IF(INDEX($Q$2:$U$1001,MATCH(ROWS($J$2:J547),$J$2:$J$1001,0),MATCH(COLUMNS($Q$1006:Q1006),$Q$1006:$U$1006,0)), HYPERLINK("#",""), HYPERLINK(CONCATENATE("#Metadata!", ADDRESS(INDEX($L$2:$L$1001,MATCH(ROWS($J$2:J547),$J$2:$J$1001,0),0), INDEX($Q$1004:$U$1004,1,MATCH(COLUMNS($Q$1006:Q1006),$Q$1006:$U$1006,0)))),"Fix")))</f>
        <v xml:space="preserve"> </v>
      </c>
      <c r="C547" s="3" t="str">
        <f ca="1">IF(OR(INDEX($K$2:$K$1001,MATCH(ROWS($J$2:J547),$J$2:$J$1001,0),1)&gt;=100000,INDEX($Q$1005:$U$1005,1,MATCH(COLUMNS($Q$1006:R1006),$Q$1006:$U$1006,0))&gt;=100000), " ",IF(INDEX($Q$2:$U$1001,MATCH(ROWS($J$2:J547),$J$2:$J$1001,0),MATCH(COLUMNS($Q$1006:R1006),$Q$1006:$U$1006,0)), HYPERLINK("#",""), HYPERLINK(CONCATENATE("#Metadata!", ADDRESS(INDEX($L$2:$L$1001,MATCH(ROWS($J$2:J547),$J$2:$J$1001,0),0), INDEX($Q$1004:$U$1004,1,MATCH(COLUMNS($Q$1006:R1006),$Q$1006:$U$1006,0)))),"Fix")))</f>
        <v xml:space="preserve"> </v>
      </c>
      <c r="D547" s="3" t="str">
        <f ca="1">IF(OR(INDEX($K$2:$K$1001,MATCH(ROWS($J$2:J547),$J$2:$J$1001,0),1)&gt;=100000,INDEX($Q$1005:$U$1005,1,MATCH(COLUMNS($Q$1006:S1006),$Q$1006:$U$1006,0))&gt;=100000), " ",IF(INDEX($Q$2:$U$1001,MATCH(ROWS($J$2:J547),$J$2:$J$1001,0),MATCH(COLUMNS($Q$1006:S1006),$Q$1006:$U$1006,0)), HYPERLINK("#",""), HYPERLINK(CONCATENATE("#Metadata!", ADDRESS(INDEX($L$2:$L$1001,MATCH(ROWS($J$2:J547),$J$2:$J$1001,0),0), INDEX($Q$1004:$U$1004,1,MATCH(COLUMNS($Q$1006:S1006),$Q$1006:$U$1006,0)))),"Fix")))</f>
        <v xml:space="preserve"> </v>
      </c>
      <c r="E547" s="3" t="str">
        <f ca="1">IF(OR(INDEX($K$2:$K$1001,MATCH(ROWS($J$2:J547),$J$2:$J$1001,0),1)&gt;=100000,INDEX($Q$1005:$U$1005,1,MATCH(COLUMNS($Q$1006:T1006),$Q$1006:$U$1006,0))&gt;=100000), " ",IF(INDEX($Q$2:$U$1001,MATCH(ROWS($J$2:J547),$J$2:$J$1001,0),MATCH(COLUMNS($Q$1006:T1006),$Q$1006:$U$1006,0)), HYPERLINK("#",""), HYPERLINK(CONCATENATE("#Metadata!", ADDRESS(INDEX($L$2:$L$1001,MATCH(ROWS($J$2:J547),$J$2:$J$1001,0),0), INDEX($Q$1004:$U$1004,1,MATCH(COLUMNS($Q$1006:T1006),$Q$1006:$U$1006,0)))),"Fix")))</f>
        <v xml:space="preserve"> </v>
      </c>
      <c r="F547" s="3" t="str">
        <f ca="1">IF(OR(INDEX($K$2:$K$1001,MATCH(ROWS($J$2:J547),$J$2:$J$1001,0),1)&gt;=100000,INDEX($Q$1005:$U$1005,1,MATCH(COLUMNS($Q$1006:U1006),$Q$1006:$U$1006,0))&gt;=100000), " ",IF(INDEX($Q$2:$U$1001,MATCH(ROWS($J$2:J547),$J$2:$J$1001,0),MATCH(COLUMNS($Q$1006:U1006),$Q$1006:$U$1006,0)), HYPERLINK("#",""), HYPERLINK(CONCATENATE("#Metadata!", ADDRESS(INDEX($L$2:$L$1001,MATCH(ROWS($J$2:J547),$J$2:$J$1001,0),0), INDEX($Q$1004:$U$1004,1,MATCH(COLUMNS($Q$1006:U1006),$Q$1006:$U$1006,0)))),"Fix")))</f>
        <v xml:space="preserve"> </v>
      </c>
      <c r="J547">
        <f ca="1"/>
        <v>546</v>
      </c>
      <c r="K547">
        <v>100547</v>
      </c>
      <c r="L547">
        <v>547</v>
      </c>
      <c r="M547" t="b">
        <f t="shared" si="8"/>
        <v>1</v>
      </c>
      <c r="N547" t="b">
        <f>COUNTBLANK(Metadata!B547:F547)=COLUMNS(Metadata!B547:F547)</f>
        <v>1</v>
      </c>
      <c r="O547" t="str">
        <v/>
      </c>
      <c r="Q547" t="b">
        <f ca="1"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R547" t="b">
        <f>IF(Metadata!C547="",FALSE,TRUE)</f>
        <v>0</v>
      </c>
      <c r="S547" t="b">
        <f>OR(AND(IF(Metadata!D547="",FALSE,TRUE),EXACT(Metadata!D547,"missing: not collected")),AND(IF(Metadata!D547="",FALSE,TRUE),OR(EXACT(Metadata!D547,"t"),EXACT(Metadata!D547,"f"))))</f>
        <v>0</v>
      </c>
      <c r="T547" t="b">
        <f>AND(IF(Metadata!E547="",FALSE,TRUE),OR(EXACT(Metadata!E547,"a"),EXACT(Metadata!E547,"b")))</f>
        <v>0</v>
      </c>
      <c r="U547" t="b">
        <f>OR(AND(IF(Metadata!F547="",FALSE,TRUE),OR(EXACT(Metadata!F547,"missing: not collected"),EXACT(Metadata!F547,"missing: not provided"))),AND(IF(Metadata!F547="",FALSE,TRUE),OR(EXACT(Metadata!F547,"lo"),EXACT(Metadata!F547,"med"),EXACT(Metadata!F547,"hi"))))</f>
        <v>0</v>
      </c>
    </row>
    <row r="548" spans="1:21" x14ac:dyDescent="0.2">
      <c r="A548" s="4" t="str">
        <f ca="1">IF(B548=" "," ",HYPERLINK(CONCATENATE("#metadata!",ADDRESS(INDEX($L$2:$L$1001,MATCH(ROWS($J$2:J548),$J$2:$J$1001,0),0),1)),INDEX($O$2:$O$1001,MATCH(ROWS($J$2:J548),$J$2:$J$1001,0),0)))</f>
        <v xml:space="preserve"> </v>
      </c>
      <c r="B548" s="3" t="str">
        <f ca="1">IF(OR(INDEX($K$2:$K$1001,MATCH(ROWS($J$2:J548),$J$2:$J$1001,0),1)&gt;=100000,INDEX($Q$1005:$U$1005,1,MATCH(COLUMNS($Q$1006:Q1006),$Q$1006:$U$1006,0))&gt;=100000), " ",IF(INDEX($Q$2:$U$1001,MATCH(ROWS($J$2:J548),$J$2:$J$1001,0),MATCH(COLUMNS($Q$1006:Q1006),$Q$1006:$U$1006,0)), HYPERLINK("#",""), HYPERLINK(CONCATENATE("#Metadata!", ADDRESS(INDEX($L$2:$L$1001,MATCH(ROWS($J$2:J548),$J$2:$J$1001,0),0), INDEX($Q$1004:$U$1004,1,MATCH(COLUMNS($Q$1006:Q1006),$Q$1006:$U$1006,0)))),"Fix")))</f>
        <v xml:space="preserve"> </v>
      </c>
      <c r="C548" s="3" t="str">
        <f ca="1">IF(OR(INDEX($K$2:$K$1001,MATCH(ROWS($J$2:J548),$J$2:$J$1001,0),1)&gt;=100000,INDEX($Q$1005:$U$1005,1,MATCH(COLUMNS($Q$1006:R1006),$Q$1006:$U$1006,0))&gt;=100000), " ",IF(INDEX($Q$2:$U$1001,MATCH(ROWS($J$2:J548),$J$2:$J$1001,0),MATCH(COLUMNS($Q$1006:R1006),$Q$1006:$U$1006,0)), HYPERLINK("#",""), HYPERLINK(CONCATENATE("#Metadata!", ADDRESS(INDEX($L$2:$L$1001,MATCH(ROWS($J$2:J548),$J$2:$J$1001,0),0), INDEX($Q$1004:$U$1004,1,MATCH(COLUMNS($Q$1006:R1006),$Q$1006:$U$1006,0)))),"Fix")))</f>
        <v xml:space="preserve"> </v>
      </c>
      <c r="D548" s="3" t="str">
        <f ca="1">IF(OR(INDEX($K$2:$K$1001,MATCH(ROWS($J$2:J548),$J$2:$J$1001,0),1)&gt;=100000,INDEX($Q$1005:$U$1005,1,MATCH(COLUMNS($Q$1006:S1006),$Q$1006:$U$1006,0))&gt;=100000), " ",IF(INDEX($Q$2:$U$1001,MATCH(ROWS($J$2:J548),$J$2:$J$1001,0),MATCH(COLUMNS($Q$1006:S1006),$Q$1006:$U$1006,0)), HYPERLINK("#",""), HYPERLINK(CONCATENATE("#Metadata!", ADDRESS(INDEX($L$2:$L$1001,MATCH(ROWS($J$2:J548),$J$2:$J$1001,0),0), INDEX($Q$1004:$U$1004,1,MATCH(COLUMNS($Q$1006:S1006),$Q$1006:$U$1006,0)))),"Fix")))</f>
        <v xml:space="preserve"> </v>
      </c>
      <c r="E548" s="3" t="str">
        <f ca="1">IF(OR(INDEX($K$2:$K$1001,MATCH(ROWS($J$2:J548),$J$2:$J$1001,0),1)&gt;=100000,INDEX($Q$1005:$U$1005,1,MATCH(COLUMNS($Q$1006:T1006),$Q$1006:$U$1006,0))&gt;=100000), " ",IF(INDEX($Q$2:$U$1001,MATCH(ROWS($J$2:J548),$J$2:$J$1001,0),MATCH(COLUMNS($Q$1006:T1006),$Q$1006:$U$1006,0)), HYPERLINK("#",""), HYPERLINK(CONCATENATE("#Metadata!", ADDRESS(INDEX($L$2:$L$1001,MATCH(ROWS($J$2:J548),$J$2:$J$1001,0),0), INDEX($Q$1004:$U$1004,1,MATCH(COLUMNS($Q$1006:T1006),$Q$1006:$U$1006,0)))),"Fix")))</f>
        <v xml:space="preserve"> </v>
      </c>
      <c r="F548" s="3" t="str">
        <f ca="1">IF(OR(INDEX($K$2:$K$1001,MATCH(ROWS($J$2:J548),$J$2:$J$1001,0),1)&gt;=100000,INDEX($Q$1005:$U$1005,1,MATCH(COLUMNS($Q$1006:U1006),$Q$1006:$U$1006,0))&gt;=100000), " ",IF(INDEX($Q$2:$U$1001,MATCH(ROWS($J$2:J548),$J$2:$J$1001,0),MATCH(COLUMNS($Q$1006:U1006),$Q$1006:$U$1006,0)), HYPERLINK("#",""), HYPERLINK(CONCATENATE("#Metadata!", ADDRESS(INDEX($L$2:$L$1001,MATCH(ROWS($J$2:J548),$J$2:$J$1001,0),0), INDEX($Q$1004:$U$1004,1,MATCH(COLUMNS($Q$1006:U1006),$Q$1006:$U$1006,0)))),"Fix")))</f>
        <v xml:space="preserve"> </v>
      </c>
      <c r="J548">
        <f ca="1"/>
        <v>547</v>
      </c>
      <c r="K548">
        <v>100548</v>
      </c>
      <c r="L548">
        <v>548</v>
      </c>
      <c r="M548" t="b">
        <f t="shared" si="8"/>
        <v>1</v>
      </c>
      <c r="N548" t="b">
        <f>COUNTBLANK(Metadata!B548:F548)=COLUMNS(Metadata!B548:F548)</f>
        <v>1</v>
      </c>
      <c r="O548" t="str">
        <v/>
      </c>
      <c r="Q548" t="b">
        <f ca="1"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R548" t="b">
        <f>IF(Metadata!C548="",FALSE,TRUE)</f>
        <v>0</v>
      </c>
      <c r="S548" t="b">
        <f>OR(AND(IF(Metadata!D548="",FALSE,TRUE),EXACT(Metadata!D548,"missing: not collected")),AND(IF(Metadata!D548="",FALSE,TRUE),OR(EXACT(Metadata!D548,"t"),EXACT(Metadata!D548,"f"))))</f>
        <v>0</v>
      </c>
      <c r="T548" t="b">
        <f>AND(IF(Metadata!E548="",FALSE,TRUE),OR(EXACT(Metadata!E548,"a"),EXACT(Metadata!E548,"b")))</f>
        <v>0</v>
      </c>
      <c r="U548" t="b">
        <f>OR(AND(IF(Metadata!F548="",FALSE,TRUE),OR(EXACT(Metadata!F548,"missing: not collected"),EXACT(Metadata!F548,"missing: not provided"))),AND(IF(Metadata!F548="",FALSE,TRUE),OR(EXACT(Metadata!F548,"lo"),EXACT(Metadata!F548,"med"),EXACT(Metadata!F548,"hi"))))</f>
        <v>0</v>
      </c>
    </row>
    <row r="549" spans="1:21" x14ac:dyDescent="0.2">
      <c r="A549" s="4" t="str">
        <f ca="1">IF(B549=" "," ",HYPERLINK(CONCATENATE("#metadata!",ADDRESS(INDEX($L$2:$L$1001,MATCH(ROWS($J$2:J549),$J$2:$J$1001,0),0),1)),INDEX($O$2:$O$1001,MATCH(ROWS($J$2:J549),$J$2:$J$1001,0),0)))</f>
        <v xml:space="preserve"> </v>
      </c>
      <c r="B549" s="3" t="str">
        <f ca="1">IF(OR(INDEX($K$2:$K$1001,MATCH(ROWS($J$2:J549),$J$2:$J$1001,0),1)&gt;=100000,INDEX($Q$1005:$U$1005,1,MATCH(COLUMNS($Q$1006:Q1006),$Q$1006:$U$1006,0))&gt;=100000), " ",IF(INDEX($Q$2:$U$1001,MATCH(ROWS($J$2:J549),$J$2:$J$1001,0),MATCH(COLUMNS($Q$1006:Q1006),$Q$1006:$U$1006,0)), HYPERLINK("#",""), HYPERLINK(CONCATENATE("#Metadata!", ADDRESS(INDEX($L$2:$L$1001,MATCH(ROWS($J$2:J549),$J$2:$J$1001,0),0), INDEX($Q$1004:$U$1004,1,MATCH(COLUMNS($Q$1006:Q1006),$Q$1006:$U$1006,0)))),"Fix")))</f>
        <v xml:space="preserve"> </v>
      </c>
      <c r="C549" s="3" t="str">
        <f ca="1">IF(OR(INDEX($K$2:$K$1001,MATCH(ROWS($J$2:J549),$J$2:$J$1001,0),1)&gt;=100000,INDEX($Q$1005:$U$1005,1,MATCH(COLUMNS($Q$1006:R1006),$Q$1006:$U$1006,0))&gt;=100000), " ",IF(INDEX($Q$2:$U$1001,MATCH(ROWS($J$2:J549),$J$2:$J$1001,0),MATCH(COLUMNS($Q$1006:R1006),$Q$1006:$U$1006,0)), HYPERLINK("#",""), HYPERLINK(CONCATENATE("#Metadata!", ADDRESS(INDEX($L$2:$L$1001,MATCH(ROWS($J$2:J549),$J$2:$J$1001,0),0), INDEX($Q$1004:$U$1004,1,MATCH(COLUMNS($Q$1006:R1006),$Q$1006:$U$1006,0)))),"Fix")))</f>
        <v xml:space="preserve"> </v>
      </c>
      <c r="D549" s="3" t="str">
        <f ca="1">IF(OR(INDEX($K$2:$K$1001,MATCH(ROWS($J$2:J549),$J$2:$J$1001,0),1)&gt;=100000,INDEX($Q$1005:$U$1005,1,MATCH(COLUMNS($Q$1006:S1006),$Q$1006:$U$1006,0))&gt;=100000), " ",IF(INDEX($Q$2:$U$1001,MATCH(ROWS($J$2:J549),$J$2:$J$1001,0),MATCH(COLUMNS($Q$1006:S1006),$Q$1006:$U$1006,0)), HYPERLINK("#",""), HYPERLINK(CONCATENATE("#Metadata!", ADDRESS(INDEX($L$2:$L$1001,MATCH(ROWS($J$2:J549),$J$2:$J$1001,0),0), INDEX($Q$1004:$U$1004,1,MATCH(COLUMNS($Q$1006:S1006),$Q$1006:$U$1006,0)))),"Fix")))</f>
        <v xml:space="preserve"> </v>
      </c>
      <c r="E549" s="3" t="str">
        <f ca="1">IF(OR(INDEX($K$2:$K$1001,MATCH(ROWS($J$2:J549),$J$2:$J$1001,0),1)&gt;=100000,INDEX($Q$1005:$U$1005,1,MATCH(COLUMNS($Q$1006:T1006),$Q$1006:$U$1006,0))&gt;=100000), " ",IF(INDEX($Q$2:$U$1001,MATCH(ROWS($J$2:J549),$J$2:$J$1001,0),MATCH(COLUMNS($Q$1006:T1006),$Q$1006:$U$1006,0)), HYPERLINK("#",""), HYPERLINK(CONCATENATE("#Metadata!", ADDRESS(INDEX($L$2:$L$1001,MATCH(ROWS($J$2:J549),$J$2:$J$1001,0),0), INDEX($Q$1004:$U$1004,1,MATCH(COLUMNS($Q$1006:T1006),$Q$1006:$U$1006,0)))),"Fix")))</f>
        <v xml:space="preserve"> </v>
      </c>
      <c r="F549" s="3" t="str">
        <f ca="1">IF(OR(INDEX($K$2:$K$1001,MATCH(ROWS($J$2:J549),$J$2:$J$1001,0),1)&gt;=100000,INDEX($Q$1005:$U$1005,1,MATCH(COLUMNS($Q$1006:U1006),$Q$1006:$U$1006,0))&gt;=100000), " ",IF(INDEX($Q$2:$U$1001,MATCH(ROWS($J$2:J549),$J$2:$J$1001,0),MATCH(COLUMNS($Q$1006:U1006),$Q$1006:$U$1006,0)), HYPERLINK("#",""), HYPERLINK(CONCATENATE("#Metadata!", ADDRESS(INDEX($L$2:$L$1001,MATCH(ROWS($J$2:J549),$J$2:$J$1001,0),0), INDEX($Q$1004:$U$1004,1,MATCH(COLUMNS($Q$1006:U1006),$Q$1006:$U$1006,0)))),"Fix")))</f>
        <v xml:space="preserve"> </v>
      </c>
      <c r="J549">
        <f ca="1"/>
        <v>548</v>
      </c>
      <c r="K549">
        <v>100549</v>
      </c>
      <c r="L549">
        <v>549</v>
      </c>
      <c r="M549" t="b">
        <f t="shared" si="8"/>
        <v>1</v>
      </c>
      <c r="N549" t="b">
        <f>COUNTBLANK(Metadata!B549:F549)=COLUMNS(Metadata!B549:F549)</f>
        <v>1</v>
      </c>
      <c r="O549" t="str">
        <v/>
      </c>
      <c r="Q549" t="b">
        <f ca="1"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R549" t="b">
        <f>IF(Metadata!C549="",FALSE,TRUE)</f>
        <v>0</v>
      </c>
      <c r="S549" t="b">
        <f>OR(AND(IF(Metadata!D549="",FALSE,TRUE),EXACT(Metadata!D549,"missing: not collected")),AND(IF(Metadata!D549="",FALSE,TRUE),OR(EXACT(Metadata!D549,"t"),EXACT(Metadata!D549,"f"))))</f>
        <v>0</v>
      </c>
      <c r="T549" t="b">
        <f>AND(IF(Metadata!E549="",FALSE,TRUE),OR(EXACT(Metadata!E549,"a"),EXACT(Metadata!E549,"b")))</f>
        <v>0</v>
      </c>
      <c r="U549" t="b">
        <f>OR(AND(IF(Metadata!F549="",FALSE,TRUE),OR(EXACT(Metadata!F549,"missing: not collected"),EXACT(Metadata!F549,"missing: not provided"))),AND(IF(Metadata!F549="",FALSE,TRUE),OR(EXACT(Metadata!F549,"lo"),EXACT(Metadata!F549,"med"),EXACT(Metadata!F549,"hi"))))</f>
        <v>0</v>
      </c>
    </row>
    <row r="550" spans="1:21" x14ac:dyDescent="0.2">
      <c r="A550" s="4" t="str">
        <f ca="1">IF(B550=" "," ",HYPERLINK(CONCATENATE("#metadata!",ADDRESS(INDEX($L$2:$L$1001,MATCH(ROWS($J$2:J550),$J$2:$J$1001,0),0),1)),INDEX($O$2:$O$1001,MATCH(ROWS($J$2:J550),$J$2:$J$1001,0),0)))</f>
        <v xml:space="preserve"> </v>
      </c>
      <c r="B550" s="3" t="str">
        <f ca="1">IF(OR(INDEX($K$2:$K$1001,MATCH(ROWS($J$2:J550),$J$2:$J$1001,0),1)&gt;=100000,INDEX($Q$1005:$U$1005,1,MATCH(COLUMNS($Q$1006:Q1006),$Q$1006:$U$1006,0))&gt;=100000), " ",IF(INDEX($Q$2:$U$1001,MATCH(ROWS($J$2:J550),$J$2:$J$1001,0),MATCH(COLUMNS($Q$1006:Q1006),$Q$1006:$U$1006,0)), HYPERLINK("#",""), HYPERLINK(CONCATENATE("#Metadata!", ADDRESS(INDEX($L$2:$L$1001,MATCH(ROWS($J$2:J550),$J$2:$J$1001,0),0), INDEX($Q$1004:$U$1004,1,MATCH(COLUMNS($Q$1006:Q1006),$Q$1006:$U$1006,0)))),"Fix")))</f>
        <v xml:space="preserve"> </v>
      </c>
      <c r="C550" s="3" t="str">
        <f ca="1">IF(OR(INDEX($K$2:$K$1001,MATCH(ROWS($J$2:J550),$J$2:$J$1001,0),1)&gt;=100000,INDEX($Q$1005:$U$1005,1,MATCH(COLUMNS($Q$1006:R1006),$Q$1006:$U$1006,0))&gt;=100000), " ",IF(INDEX($Q$2:$U$1001,MATCH(ROWS($J$2:J550),$J$2:$J$1001,0),MATCH(COLUMNS($Q$1006:R1006),$Q$1006:$U$1006,0)), HYPERLINK("#",""), HYPERLINK(CONCATENATE("#Metadata!", ADDRESS(INDEX($L$2:$L$1001,MATCH(ROWS($J$2:J550),$J$2:$J$1001,0),0), INDEX($Q$1004:$U$1004,1,MATCH(COLUMNS($Q$1006:R1006),$Q$1006:$U$1006,0)))),"Fix")))</f>
        <v xml:space="preserve"> </v>
      </c>
      <c r="D550" s="3" t="str">
        <f ca="1">IF(OR(INDEX($K$2:$K$1001,MATCH(ROWS($J$2:J550),$J$2:$J$1001,0),1)&gt;=100000,INDEX($Q$1005:$U$1005,1,MATCH(COLUMNS($Q$1006:S1006),$Q$1006:$U$1006,0))&gt;=100000), " ",IF(INDEX($Q$2:$U$1001,MATCH(ROWS($J$2:J550),$J$2:$J$1001,0),MATCH(COLUMNS($Q$1006:S1006),$Q$1006:$U$1006,0)), HYPERLINK("#",""), HYPERLINK(CONCATENATE("#Metadata!", ADDRESS(INDEX($L$2:$L$1001,MATCH(ROWS($J$2:J550),$J$2:$J$1001,0),0), INDEX($Q$1004:$U$1004,1,MATCH(COLUMNS($Q$1006:S1006),$Q$1006:$U$1006,0)))),"Fix")))</f>
        <v xml:space="preserve"> </v>
      </c>
      <c r="E550" s="3" t="str">
        <f ca="1">IF(OR(INDEX($K$2:$K$1001,MATCH(ROWS($J$2:J550),$J$2:$J$1001,0),1)&gt;=100000,INDEX($Q$1005:$U$1005,1,MATCH(COLUMNS($Q$1006:T1006),$Q$1006:$U$1006,0))&gt;=100000), " ",IF(INDEX($Q$2:$U$1001,MATCH(ROWS($J$2:J550),$J$2:$J$1001,0),MATCH(COLUMNS($Q$1006:T1006),$Q$1006:$U$1006,0)), HYPERLINK("#",""), HYPERLINK(CONCATENATE("#Metadata!", ADDRESS(INDEX($L$2:$L$1001,MATCH(ROWS($J$2:J550),$J$2:$J$1001,0),0), INDEX($Q$1004:$U$1004,1,MATCH(COLUMNS($Q$1006:T1006),$Q$1006:$U$1006,0)))),"Fix")))</f>
        <v xml:space="preserve"> </v>
      </c>
      <c r="F550" s="3" t="str">
        <f ca="1">IF(OR(INDEX($K$2:$K$1001,MATCH(ROWS($J$2:J550),$J$2:$J$1001,0),1)&gt;=100000,INDEX($Q$1005:$U$1005,1,MATCH(COLUMNS($Q$1006:U1006),$Q$1006:$U$1006,0))&gt;=100000), " ",IF(INDEX($Q$2:$U$1001,MATCH(ROWS($J$2:J550),$J$2:$J$1001,0),MATCH(COLUMNS($Q$1006:U1006),$Q$1006:$U$1006,0)), HYPERLINK("#",""), HYPERLINK(CONCATENATE("#Metadata!", ADDRESS(INDEX($L$2:$L$1001,MATCH(ROWS($J$2:J550),$J$2:$J$1001,0),0), INDEX($Q$1004:$U$1004,1,MATCH(COLUMNS($Q$1006:U1006),$Q$1006:$U$1006,0)))),"Fix")))</f>
        <v xml:space="preserve"> </v>
      </c>
      <c r="J550">
        <f ca="1"/>
        <v>549</v>
      </c>
      <c r="K550">
        <v>100550</v>
      </c>
      <c r="L550">
        <v>550</v>
      </c>
      <c r="M550" t="b">
        <f t="shared" si="8"/>
        <v>1</v>
      </c>
      <c r="N550" t="b">
        <f>COUNTBLANK(Metadata!B550:F550)=COLUMNS(Metadata!B550:F550)</f>
        <v>1</v>
      </c>
      <c r="O550" t="str">
        <v/>
      </c>
      <c r="Q550" t="b">
        <f ca="1"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R550" t="b">
        <f>IF(Metadata!C550="",FALSE,TRUE)</f>
        <v>0</v>
      </c>
      <c r="S550" t="b">
        <f>OR(AND(IF(Metadata!D550="",FALSE,TRUE),EXACT(Metadata!D550,"missing: not collected")),AND(IF(Metadata!D550="",FALSE,TRUE),OR(EXACT(Metadata!D550,"t"),EXACT(Metadata!D550,"f"))))</f>
        <v>0</v>
      </c>
      <c r="T550" t="b">
        <f>AND(IF(Metadata!E550="",FALSE,TRUE),OR(EXACT(Metadata!E550,"a"),EXACT(Metadata!E550,"b")))</f>
        <v>0</v>
      </c>
      <c r="U550" t="b">
        <f>OR(AND(IF(Metadata!F550="",FALSE,TRUE),OR(EXACT(Metadata!F550,"missing: not collected"),EXACT(Metadata!F550,"missing: not provided"))),AND(IF(Metadata!F550="",FALSE,TRUE),OR(EXACT(Metadata!F550,"lo"),EXACT(Metadata!F550,"med"),EXACT(Metadata!F550,"hi"))))</f>
        <v>0</v>
      </c>
    </row>
    <row r="551" spans="1:21" x14ac:dyDescent="0.2">
      <c r="A551" s="4" t="str">
        <f ca="1">IF(B551=" "," ",HYPERLINK(CONCATENATE("#metadata!",ADDRESS(INDEX($L$2:$L$1001,MATCH(ROWS($J$2:J551),$J$2:$J$1001,0),0),1)),INDEX($O$2:$O$1001,MATCH(ROWS($J$2:J551),$J$2:$J$1001,0),0)))</f>
        <v xml:space="preserve"> </v>
      </c>
      <c r="B551" s="3" t="str">
        <f ca="1">IF(OR(INDEX($K$2:$K$1001,MATCH(ROWS($J$2:J551),$J$2:$J$1001,0),1)&gt;=100000,INDEX($Q$1005:$U$1005,1,MATCH(COLUMNS($Q$1006:Q1006),$Q$1006:$U$1006,0))&gt;=100000), " ",IF(INDEX($Q$2:$U$1001,MATCH(ROWS($J$2:J551),$J$2:$J$1001,0),MATCH(COLUMNS($Q$1006:Q1006),$Q$1006:$U$1006,0)), HYPERLINK("#",""), HYPERLINK(CONCATENATE("#Metadata!", ADDRESS(INDEX($L$2:$L$1001,MATCH(ROWS($J$2:J551),$J$2:$J$1001,0),0), INDEX($Q$1004:$U$1004,1,MATCH(COLUMNS($Q$1006:Q1006),$Q$1006:$U$1006,0)))),"Fix")))</f>
        <v xml:space="preserve"> </v>
      </c>
      <c r="C551" s="3" t="str">
        <f ca="1">IF(OR(INDEX($K$2:$K$1001,MATCH(ROWS($J$2:J551),$J$2:$J$1001,0),1)&gt;=100000,INDEX($Q$1005:$U$1005,1,MATCH(COLUMNS($Q$1006:R1006),$Q$1006:$U$1006,0))&gt;=100000), " ",IF(INDEX($Q$2:$U$1001,MATCH(ROWS($J$2:J551),$J$2:$J$1001,0),MATCH(COLUMNS($Q$1006:R1006),$Q$1006:$U$1006,0)), HYPERLINK("#",""), HYPERLINK(CONCATENATE("#Metadata!", ADDRESS(INDEX($L$2:$L$1001,MATCH(ROWS($J$2:J551),$J$2:$J$1001,0),0), INDEX($Q$1004:$U$1004,1,MATCH(COLUMNS($Q$1006:R1006),$Q$1006:$U$1006,0)))),"Fix")))</f>
        <v xml:space="preserve"> </v>
      </c>
      <c r="D551" s="3" t="str">
        <f ca="1">IF(OR(INDEX($K$2:$K$1001,MATCH(ROWS($J$2:J551),$J$2:$J$1001,0),1)&gt;=100000,INDEX($Q$1005:$U$1005,1,MATCH(COLUMNS($Q$1006:S1006),$Q$1006:$U$1006,0))&gt;=100000), " ",IF(INDEX($Q$2:$U$1001,MATCH(ROWS($J$2:J551),$J$2:$J$1001,0),MATCH(COLUMNS($Q$1006:S1006),$Q$1006:$U$1006,0)), HYPERLINK("#",""), HYPERLINK(CONCATENATE("#Metadata!", ADDRESS(INDEX($L$2:$L$1001,MATCH(ROWS($J$2:J551),$J$2:$J$1001,0),0), INDEX($Q$1004:$U$1004,1,MATCH(COLUMNS($Q$1006:S1006),$Q$1006:$U$1006,0)))),"Fix")))</f>
        <v xml:space="preserve"> </v>
      </c>
      <c r="E551" s="3" t="str">
        <f ca="1">IF(OR(INDEX($K$2:$K$1001,MATCH(ROWS($J$2:J551),$J$2:$J$1001,0),1)&gt;=100000,INDEX($Q$1005:$U$1005,1,MATCH(COLUMNS($Q$1006:T1006),$Q$1006:$U$1006,0))&gt;=100000), " ",IF(INDEX($Q$2:$U$1001,MATCH(ROWS($J$2:J551),$J$2:$J$1001,0),MATCH(COLUMNS($Q$1006:T1006),$Q$1006:$U$1006,0)), HYPERLINK("#",""), HYPERLINK(CONCATENATE("#Metadata!", ADDRESS(INDEX($L$2:$L$1001,MATCH(ROWS($J$2:J551),$J$2:$J$1001,0),0), INDEX($Q$1004:$U$1004,1,MATCH(COLUMNS($Q$1006:T1006),$Q$1006:$U$1006,0)))),"Fix")))</f>
        <v xml:space="preserve"> </v>
      </c>
      <c r="F551" s="3" t="str">
        <f ca="1">IF(OR(INDEX($K$2:$K$1001,MATCH(ROWS($J$2:J551),$J$2:$J$1001,0),1)&gt;=100000,INDEX($Q$1005:$U$1005,1,MATCH(COLUMNS($Q$1006:U1006),$Q$1006:$U$1006,0))&gt;=100000), " ",IF(INDEX($Q$2:$U$1001,MATCH(ROWS($J$2:J551),$J$2:$J$1001,0),MATCH(COLUMNS($Q$1006:U1006),$Q$1006:$U$1006,0)), HYPERLINK("#",""), HYPERLINK(CONCATENATE("#Metadata!", ADDRESS(INDEX($L$2:$L$1001,MATCH(ROWS($J$2:J551),$J$2:$J$1001,0),0), INDEX($Q$1004:$U$1004,1,MATCH(COLUMNS($Q$1006:U1006),$Q$1006:$U$1006,0)))),"Fix")))</f>
        <v xml:space="preserve"> </v>
      </c>
      <c r="J551">
        <f ca="1"/>
        <v>550</v>
      </c>
      <c r="K551">
        <v>100551</v>
      </c>
      <c r="L551">
        <v>551</v>
      </c>
      <c r="M551" t="b">
        <f t="shared" si="8"/>
        <v>1</v>
      </c>
      <c r="N551" t="b">
        <f>COUNTBLANK(Metadata!B551:F551)=COLUMNS(Metadata!B551:F551)</f>
        <v>1</v>
      </c>
      <c r="O551" t="str">
        <v/>
      </c>
      <c r="Q551" t="b">
        <f ca="1"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R551" t="b">
        <f>IF(Metadata!C551="",FALSE,TRUE)</f>
        <v>0</v>
      </c>
      <c r="S551" t="b">
        <f>OR(AND(IF(Metadata!D551="",FALSE,TRUE),EXACT(Metadata!D551,"missing: not collected")),AND(IF(Metadata!D551="",FALSE,TRUE),OR(EXACT(Metadata!D551,"t"),EXACT(Metadata!D551,"f"))))</f>
        <v>0</v>
      </c>
      <c r="T551" t="b">
        <f>AND(IF(Metadata!E551="",FALSE,TRUE),OR(EXACT(Metadata!E551,"a"),EXACT(Metadata!E551,"b")))</f>
        <v>0</v>
      </c>
      <c r="U551" t="b">
        <f>OR(AND(IF(Metadata!F551="",FALSE,TRUE),OR(EXACT(Metadata!F551,"missing: not collected"),EXACT(Metadata!F551,"missing: not provided"))),AND(IF(Metadata!F551="",FALSE,TRUE),OR(EXACT(Metadata!F551,"lo"),EXACT(Metadata!F551,"med"),EXACT(Metadata!F551,"hi"))))</f>
        <v>0</v>
      </c>
    </row>
    <row r="552" spans="1:21" x14ac:dyDescent="0.2">
      <c r="A552" s="4" t="str">
        <f ca="1">IF(B552=" "," ",HYPERLINK(CONCATENATE("#metadata!",ADDRESS(INDEX($L$2:$L$1001,MATCH(ROWS($J$2:J552),$J$2:$J$1001,0),0),1)),INDEX($O$2:$O$1001,MATCH(ROWS($J$2:J552),$J$2:$J$1001,0),0)))</f>
        <v xml:space="preserve"> </v>
      </c>
      <c r="B552" s="3" t="str">
        <f ca="1">IF(OR(INDEX($K$2:$K$1001,MATCH(ROWS($J$2:J552),$J$2:$J$1001,0),1)&gt;=100000,INDEX($Q$1005:$U$1005,1,MATCH(COLUMNS($Q$1006:Q1006),$Q$1006:$U$1006,0))&gt;=100000), " ",IF(INDEX($Q$2:$U$1001,MATCH(ROWS($J$2:J552),$J$2:$J$1001,0),MATCH(COLUMNS($Q$1006:Q1006),$Q$1006:$U$1006,0)), HYPERLINK("#",""), HYPERLINK(CONCATENATE("#Metadata!", ADDRESS(INDEX($L$2:$L$1001,MATCH(ROWS($J$2:J552),$J$2:$J$1001,0),0), INDEX($Q$1004:$U$1004,1,MATCH(COLUMNS($Q$1006:Q1006),$Q$1006:$U$1006,0)))),"Fix")))</f>
        <v xml:space="preserve"> </v>
      </c>
      <c r="C552" s="3" t="str">
        <f ca="1">IF(OR(INDEX($K$2:$K$1001,MATCH(ROWS($J$2:J552),$J$2:$J$1001,0),1)&gt;=100000,INDEX($Q$1005:$U$1005,1,MATCH(COLUMNS($Q$1006:R1006),$Q$1006:$U$1006,0))&gt;=100000), " ",IF(INDEX($Q$2:$U$1001,MATCH(ROWS($J$2:J552),$J$2:$J$1001,0),MATCH(COLUMNS($Q$1006:R1006),$Q$1006:$U$1006,0)), HYPERLINK("#",""), HYPERLINK(CONCATENATE("#Metadata!", ADDRESS(INDEX($L$2:$L$1001,MATCH(ROWS($J$2:J552),$J$2:$J$1001,0),0), INDEX($Q$1004:$U$1004,1,MATCH(COLUMNS($Q$1006:R1006),$Q$1006:$U$1006,0)))),"Fix")))</f>
        <v xml:space="preserve"> </v>
      </c>
      <c r="D552" s="3" t="str">
        <f ca="1">IF(OR(INDEX($K$2:$K$1001,MATCH(ROWS($J$2:J552),$J$2:$J$1001,0),1)&gt;=100000,INDEX($Q$1005:$U$1005,1,MATCH(COLUMNS($Q$1006:S1006),$Q$1006:$U$1006,0))&gt;=100000), " ",IF(INDEX($Q$2:$U$1001,MATCH(ROWS($J$2:J552),$J$2:$J$1001,0),MATCH(COLUMNS($Q$1006:S1006),$Q$1006:$U$1006,0)), HYPERLINK("#",""), HYPERLINK(CONCATENATE("#Metadata!", ADDRESS(INDEX($L$2:$L$1001,MATCH(ROWS($J$2:J552),$J$2:$J$1001,0),0), INDEX($Q$1004:$U$1004,1,MATCH(COLUMNS($Q$1006:S1006),$Q$1006:$U$1006,0)))),"Fix")))</f>
        <v xml:space="preserve"> </v>
      </c>
      <c r="E552" s="3" t="str">
        <f ca="1">IF(OR(INDEX($K$2:$K$1001,MATCH(ROWS($J$2:J552),$J$2:$J$1001,0),1)&gt;=100000,INDEX($Q$1005:$U$1005,1,MATCH(COLUMNS($Q$1006:T1006),$Q$1006:$U$1006,0))&gt;=100000), " ",IF(INDEX($Q$2:$U$1001,MATCH(ROWS($J$2:J552),$J$2:$J$1001,0),MATCH(COLUMNS($Q$1006:T1006),$Q$1006:$U$1006,0)), HYPERLINK("#",""), HYPERLINK(CONCATENATE("#Metadata!", ADDRESS(INDEX($L$2:$L$1001,MATCH(ROWS($J$2:J552),$J$2:$J$1001,0),0), INDEX($Q$1004:$U$1004,1,MATCH(COLUMNS($Q$1006:T1006),$Q$1006:$U$1006,0)))),"Fix")))</f>
        <v xml:space="preserve"> </v>
      </c>
      <c r="F552" s="3" t="str">
        <f ca="1">IF(OR(INDEX($K$2:$K$1001,MATCH(ROWS($J$2:J552),$J$2:$J$1001,0),1)&gt;=100000,INDEX($Q$1005:$U$1005,1,MATCH(COLUMNS($Q$1006:U1006),$Q$1006:$U$1006,0))&gt;=100000), " ",IF(INDEX($Q$2:$U$1001,MATCH(ROWS($J$2:J552),$J$2:$J$1001,0),MATCH(COLUMNS($Q$1006:U1006),$Q$1006:$U$1006,0)), HYPERLINK("#",""), HYPERLINK(CONCATENATE("#Metadata!", ADDRESS(INDEX($L$2:$L$1001,MATCH(ROWS($J$2:J552),$J$2:$J$1001,0),0), INDEX($Q$1004:$U$1004,1,MATCH(COLUMNS($Q$1006:U1006),$Q$1006:$U$1006,0)))),"Fix")))</f>
        <v xml:space="preserve"> </v>
      </c>
      <c r="J552">
        <f ca="1"/>
        <v>551</v>
      </c>
      <c r="K552">
        <v>100552</v>
      </c>
      <c r="L552">
        <v>552</v>
      </c>
      <c r="M552" t="b">
        <f t="shared" si="8"/>
        <v>1</v>
      </c>
      <c r="N552" t="b">
        <f>COUNTBLANK(Metadata!B552:F552)=COLUMNS(Metadata!B552:F552)</f>
        <v>1</v>
      </c>
      <c r="O552" t="str">
        <v/>
      </c>
      <c r="Q552" t="b">
        <f ca="1"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R552" t="b">
        <f>IF(Metadata!C552="",FALSE,TRUE)</f>
        <v>0</v>
      </c>
      <c r="S552" t="b">
        <f>OR(AND(IF(Metadata!D552="",FALSE,TRUE),EXACT(Metadata!D552,"missing: not collected")),AND(IF(Metadata!D552="",FALSE,TRUE),OR(EXACT(Metadata!D552,"t"),EXACT(Metadata!D552,"f"))))</f>
        <v>0</v>
      </c>
      <c r="T552" t="b">
        <f>AND(IF(Metadata!E552="",FALSE,TRUE),OR(EXACT(Metadata!E552,"a"),EXACT(Metadata!E552,"b")))</f>
        <v>0</v>
      </c>
      <c r="U552" t="b">
        <f>OR(AND(IF(Metadata!F552="",FALSE,TRUE),OR(EXACT(Metadata!F552,"missing: not collected"),EXACT(Metadata!F552,"missing: not provided"))),AND(IF(Metadata!F552="",FALSE,TRUE),OR(EXACT(Metadata!F552,"lo"),EXACT(Metadata!F552,"med"),EXACT(Metadata!F552,"hi"))))</f>
        <v>0</v>
      </c>
    </row>
    <row r="553" spans="1:21" x14ac:dyDescent="0.2">
      <c r="A553" s="4" t="str">
        <f ca="1">IF(B553=" "," ",HYPERLINK(CONCATENATE("#metadata!",ADDRESS(INDEX($L$2:$L$1001,MATCH(ROWS($J$2:J553),$J$2:$J$1001,0),0),1)),INDEX($O$2:$O$1001,MATCH(ROWS($J$2:J553),$J$2:$J$1001,0),0)))</f>
        <v xml:space="preserve"> </v>
      </c>
      <c r="B553" s="3" t="str">
        <f ca="1">IF(OR(INDEX($K$2:$K$1001,MATCH(ROWS($J$2:J553),$J$2:$J$1001,0),1)&gt;=100000,INDEX($Q$1005:$U$1005,1,MATCH(COLUMNS($Q$1006:Q1006),$Q$1006:$U$1006,0))&gt;=100000), " ",IF(INDEX($Q$2:$U$1001,MATCH(ROWS($J$2:J553),$J$2:$J$1001,0),MATCH(COLUMNS($Q$1006:Q1006),$Q$1006:$U$1006,0)), HYPERLINK("#",""), HYPERLINK(CONCATENATE("#Metadata!", ADDRESS(INDEX($L$2:$L$1001,MATCH(ROWS($J$2:J553),$J$2:$J$1001,0),0), INDEX($Q$1004:$U$1004,1,MATCH(COLUMNS($Q$1006:Q1006),$Q$1006:$U$1006,0)))),"Fix")))</f>
        <v xml:space="preserve"> </v>
      </c>
      <c r="C553" s="3" t="str">
        <f ca="1">IF(OR(INDEX($K$2:$K$1001,MATCH(ROWS($J$2:J553),$J$2:$J$1001,0),1)&gt;=100000,INDEX($Q$1005:$U$1005,1,MATCH(COLUMNS($Q$1006:R1006),$Q$1006:$U$1006,0))&gt;=100000), " ",IF(INDEX($Q$2:$U$1001,MATCH(ROWS($J$2:J553),$J$2:$J$1001,0),MATCH(COLUMNS($Q$1006:R1006),$Q$1006:$U$1006,0)), HYPERLINK("#",""), HYPERLINK(CONCATENATE("#Metadata!", ADDRESS(INDEX($L$2:$L$1001,MATCH(ROWS($J$2:J553),$J$2:$J$1001,0),0), INDEX($Q$1004:$U$1004,1,MATCH(COLUMNS($Q$1006:R1006),$Q$1006:$U$1006,0)))),"Fix")))</f>
        <v xml:space="preserve"> </v>
      </c>
      <c r="D553" s="3" t="str">
        <f ca="1">IF(OR(INDEX($K$2:$K$1001,MATCH(ROWS($J$2:J553),$J$2:$J$1001,0),1)&gt;=100000,INDEX($Q$1005:$U$1005,1,MATCH(COLUMNS($Q$1006:S1006),$Q$1006:$U$1006,0))&gt;=100000), " ",IF(INDEX($Q$2:$U$1001,MATCH(ROWS($J$2:J553),$J$2:$J$1001,0),MATCH(COLUMNS($Q$1006:S1006),$Q$1006:$U$1006,0)), HYPERLINK("#",""), HYPERLINK(CONCATENATE("#Metadata!", ADDRESS(INDEX($L$2:$L$1001,MATCH(ROWS($J$2:J553),$J$2:$J$1001,0),0), INDEX($Q$1004:$U$1004,1,MATCH(COLUMNS($Q$1006:S1006),$Q$1006:$U$1006,0)))),"Fix")))</f>
        <v xml:space="preserve"> </v>
      </c>
      <c r="E553" s="3" t="str">
        <f ca="1">IF(OR(INDEX($K$2:$K$1001,MATCH(ROWS($J$2:J553),$J$2:$J$1001,0),1)&gt;=100000,INDEX($Q$1005:$U$1005,1,MATCH(COLUMNS($Q$1006:T1006),$Q$1006:$U$1006,0))&gt;=100000), " ",IF(INDEX($Q$2:$U$1001,MATCH(ROWS($J$2:J553),$J$2:$J$1001,0),MATCH(COLUMNS($Q$1006:T1006),$Q$1006:$U$1006,0)), HYPERLINK("#",""), HYPERLINK(CONCATENATE("#Metadata!", ADDRESS(INDEX($L$2:$L$1001,MATCH(ROWS($J$2:J553),$J$2:$J$1001,0),0), INDEX($Q$1004:$U$1004,1,MATCH(COLUMNS($Q$1006:T1006),$Q$1006:$U$1006,0)))),"Fix")))</f>
        <v xml:space="preserve"> </v>
      </c>
      <c r="F553" s="3" t="str">
        <f ca="1">IF(OR(INDEX($K$2:$K$1001,MATCH(ROWS($J$2:J553),$J$2:$J$1001,0),1)&gt;=100000,INDEX($Q$1005:$U$1005,1,MATCH(COLUMNS($Q$1006:U1006),$Q$1006:$U$1006,0))&gt;=100000), " ",IF(INDEX($Q$2:$U$1001,MATCH(ROWS($J$2:J553),$J$2:$J$1001,0),MATCH(COLUMNS($Q$1006:U1006),$Q$1006:$U$1006,0)), HYPERLINK("#",""), HYPERLINK(CONCATENATE("#Metadata!", ADDRESS(INDEX($L$2:$L$1001,MATCH(ROWS($J$2:J553),$J$2:$J$1001,0),0), INDEX($Q$1004:$U$1004,1,MATCH(COLUMNS($Q$1006:U1006),$Q$1006:$U$1006,0)))),"Fix")))</f>
        <v xml:space="preserve"> </v>
      </c>
      <c r="J553">
        <f ca="1"/>
        <v>552</v>
      </c>
      <c r="K553">
        <v>100553</v>
      </c>
      <c r="L553">
        <v>553</v>
      </c>
      <c r="M553" t="b">
        <f t="shared" si="8"/>
        <v>1</v>
      </c>
      <c r="N553" t="b">
        <f>COUNTBLANK(Metadata!B553:F553)=COLUMNS(Metadata!B553:F553)</f>
        <v>1</v>
      </c>
      <c r="O553" t="str">
        <v/>
      </c>
      <c r="Q553" t="b">
        <f ca="1"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R553" t="b">
        <f>IF(Metadata!C553="",FALSE,TRUE)</f>
        <v>0</v>
      </c>
      <c r="S553" t="b">
        <f>OR(AND(IF(Metadata!D553="",FALSE,TRUE),EXACT(Metadata!D553,"missing: not collected")),AND(IF(Metadata!D553="",FALSE,TRUE),OR(EXACT(Metadata!D553,"t"),EXACT(Metadata!D553,"f"))))</f>
        <v>0</v>
      </c>
      <c r="T553" t="b">
        <f>AND(IF(Metadata!E553="",FALSE,TRUE),OR(EXACT(Metadata!E553,"a"),EXACT(Metadata!E553,"b")))</f>
        <v>0</v>
      </c>
      <c r="U553" t="b">
        <f>OR(AND(IF(Metadata!F553="",FALSE,TRUE),OR(EXACT(Metadata!F553,"missing: not collected"),EXACT(Metadata!F553,"missing: not provided"))),AND(IF(Metadata!F553="",FALSE,TRUE),OR(EXACT(Metadata!F553,"lo"),EXACT(Metadata!F553,"med"),EXACT(Metadata!F553,"hi"))))</f>
        <v>0</v>
      </c>
    </row>
    <row r="554" spans="1:21" x14ac:dyDescent="0.2">
      <c r="A554" s="4" t="str">
        <f ca="1">IF(B554=" "," ",HYPERLINK(CONCATENATE("#metadata!",ADDRESS(INDEX($L$2:$L$1001,MATCH(ROWS($J$2:J554),$J$2:$J$1001,0),0),1)),INDEX($O$2:$O$1001,MATCH(ROWS($J$2:J554),$J$2:$J$1001,0),0)))</f>
        <v xml:space="preserve"> </v>
      </c>
      <c r="B554" s="3" t="str">
        <f ca="1">IF(OR(INDEX($K$2:$K$1001,MATCH(ROWS($J$2:J554),$J$2:$J$1001,0),1)&gt;=100000,INDEX($Q$1005:$U$1005,1,MATCH(COLUMNS($Q$1006:Q1006),$Q$1006:$U$1006,0))&gt;=100000), " ",IF(INDEX($Q$2:$U$1001,MATCH(ROWS($J$2:J554),$J$2:$J$1001,0),MATCH(COLUMNS($Q$1006:Q1006),$Q$1006:$U$1006,0)), HYPERLINK("#",""), HYPERLINK(CONCATENATE("#Metadata!", ADDRESS(INDEX($L$2:$L$1001,MATCH(ROWS($J$2:J554),$J$2:$J$1001,0),0), INDEX($Q$1004:$U$1004,1,MATCH(COLUMNS($Q$1006:Q1006),$Q$1006:$U$1006,0)))),"Fix")))</f>
        <v xml:space="preserve"> </v>
      </c>
      <c r="C554" s="3" t="str">
        <f ca="1">IF(OR(INDEX($K$2:$K$1001,MATCH(ROWS($J$2:J554),$J$2:$J$1001,0),1)&gt;=100000,INDEX($Q$1005:$U$1005,1,MATCH(COLUMNS($Q$1006:R1006),$Q$1006:$U$1006,0))&gt;=100000), " ",IF(INDEX($Q$2:$U$1001,MATCH(ROWS($J$2:J554),$J$2:$J$1001,0),MATCH(COLUMNS($Q$1006:R1006),$Q$1006:$U$1006,0)), HYPERLINK("#",""), HYPERLINK(CONCATENATE("#Metadata!", ADDRESS(INDEX($L$2:$L$1001,MATCH(ROWS($J$2:J554),$J$2:$J$1001,0),0), INDEX($Q$1004:$U$1004,1,MATCH(COLUMNS($Q$1006:R1006),$Q$1006:$U$1006,0)))),"Fix")))</f>
        <v xml:space="preserve"> </v>
      </c>
      <c r="D554" s="3" t="str">
        <f ca="1">IF(OR(INDEX($K$2:$K$1001,MATCH(ROWS($J$2:J554),$J$2:$J$1001,0),1)&gt;=100000,INDEX($Q$1005:$U$1005,1,MATCH(COLUMNS($Q$1006:S1006),$Q$1006:$U$1006,0))&gt;=100000), " ",IF(INDEX($Q$2:$U$1001,MATCH(ROWS($J$2:J554),$J$2:$J$1001,0),MATCH(COLUMNS($Q$1006:S1006),$Q$1006:$U$1006,0)), HYPERLINK("#",""), HYPERLINK(CONCATENATE("#Metadata!", ADDRESS(INDEX($L$2:$L$1001,MATCH(ROWS($J$2:J554),$J$2:$J$1001,0),0), INDEX($Q$1004:$U$1004,1,MATCH(COLUMNS($Q$1006:S1006),$Q$1006:$U$1006,0)))),"Fix")))</f>
        <v xml:space="preserve"> </v>
      </c>
      <c r="E554" s="3" t="str">
        <f ca="1">IF(OR(INDEX($K$2:$K$1001,MATCH(ROWS($J$2:J554),$J$2:$J$1001,0),1)&gt;=100000,INDEX($Q$1005:$U$1005,1,MATCH(COLUMNS($Q$1006:T1006),$Q$1006:$U$1006,0))&gt;=100000), " ",IF(INDEX($Q$2:$U$1001,MATCH(ROWS($J$2:J554),$J$2:$J$1001,0),MATCH(COLUMNS($Q$1006:T1006),$Q$1006:$U$1006,0)), HYPERLINK("#",""), HYPERLINK(CONCATENATE("#Metadata!", ADDRESS(INDEX($L$2:$L$1001,MATCH(ROWS($J$2:J554),$J$2:$J$1001,0),0), INDEX($Q$1004:$U$1004,1,MATCH(COLUMNS($Q$1006:T1006),$Q$1006:$U$1006,0)))),"Fix")))</f>
        <v xml:space="preserve"> </v>
      </c>
      <c r="F554" s="3" t="str">
        <f ca="1">IF(OR(INDEX($K$2:$K$1001,MATCH(ROWS($J$2:J554),$J$2:$J$1001,0),1)&gt;=100000,INDEX($Q$1005:$U$1005,1,MATCH(COLUMNS($Q$1006:U1006),$Q$1006:$U$1006,0))&gt;=100000), " ",IF(INDEX($Q$2:$U$1001,MATCH(ROWS($J$2:J554),$J$2:$J$1001,0),MATCH(COLUMNS($Q$1006:U1006),$Q$1006:$U$1006,0)), HYPERLINK("#",""), HYPERLINK(CONCATENATE("#Metadata!", ADDRESS(INDEX($L$2:$L$1001,MATCH(ROWS($J$2:J554),$J$2:$J$1001,0),0), INDEX($Q$1004:$U$1004,1,MATCH(COLUMNS($Q$1006:U1006),$Q$1006:$U$1006,0)))),"Fix")))</f>
        <v xml:space="preserve"> </v>
      </c>
      <c r="J554">
        <f ca="1"/>
        <v>553</v>
      </c>
      <c r="K554">
        <v>100554</v>
      </c>
      <c r="L554">
        <v>554</v>
      </c>
      <c r="M554" t="b">
        <f t="shared" si="8"/>
        <v>1</v>
      </c>
      <c r="N554" t="b">
        <f>COUNTBLANK(Metadata!B554:F554)=COLUMNS(Metadata!B554:F554)</f>
        <v>1</v>
      </c>
      <c r="O554" t="str">
        <v/>
      </c>
      <c r="Q554" t="b">
        <f ca="1"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R554" t="b">
        <f>IF(Metadata!C554="",FALSE,TRUE)</f>
        <v>0</v>
      </c>
      <c r="S554" t="b">
        <f>OR(AND(IF(Metadata!D554="",FALSE,TRUE),EXACT(Metadata!D554,"missing: not collected")),AND(IF(Metadata!D554="",FALSE,TRUE),OR(EXACT(Metadata!D554,"t"),EXACT(Metadata!D554,"f"))))</f>
        <v>0</v>
      </c>
      <c r="T554" t="b">
        <f>AND(IF(Metadata!E554="",FALSE,TRUE),OR(EXACT(Metadata!E554,"a"),EXACT(Metadata!E554,"b")))</f>
        <v>0</v>
      </c>
      <c r="U554" t="b">
        <f>OR(AND(IF(Metadata!F554="",FALSE,TRUE),OR(EXACT(Metadata!F554,"missing: not collected"),EXACT(Metadata!F554,"missing: not provided"))),AND(IF(Metadata!F554="",FALSE,TRUE),OR(EXACT(Metadata!F554,"lo"),EXACT(Metadata!F554,"med"),EXACT(Metadata!F554,"hi"))))</f>
        <v>0</v>
      </c>
    </row>
    <row r="555" spans="1:21" x14ac:dyDescent="0.2">
      <c r="A555" s="4" t="str">
        <f ca="1">IF(B555=" "," ",HYPERLINK(CONCATENATE("#metadata!",ADDRESS(INDEX($L$2:$L$1001,MATCH(ROWS($J$2:J555),$J$2:$J$1001,0),0),1)),INDEX($O$2:$O$1001,MATCH(ROWS($J$2:J555),$J$2:$J$1001,0),0)))</f>
        <v xml:space="preserve"> </v>
      </c>
      <c r="B555" s="3" t="str">
        <f ca="1">IF(OR(INDEX($K$2:$K$1001,MATCH(ROWS($J$2:J555),$J$2:$J$1001,0),1)&gt;=100000,INDEX($Q$1005:$U$1005,1,MATCH(COLUMNS($Q$1006:Q1006),$Q$1006:$U$1006,0))&gt;=100000), " ",IF(INDEX($Q$2:$U$1001,MATCH(ROWS($J$2:J555),$J$2:$J$1001,0),MATCH(COLUMNS($Q$1006:Q1006),$Q$1006:$U$1006,0)), HYPERLINK("#",""), HYPERLINK(CONCATENATE("#Metadata!", ADDRESS(INDEX($L$2:$L$1001,MATCH(ROWS($J$2:J555),$J$2:$J$1001,0),0), INDEX($Q$1004:$U$1004,1,MATCH(COLUMNS($Q$1006:Q1006),$Q$1006:$U$1006,0)))),"Fix")))</f>
        <v xml:space="preserve"> </v>
      </c>
      <c r="C555" s="3" t="str">
        <f ca="1">IF(OR(INDEX($K$2:$K$1001,MATCH(ROWS($J$2:J555),$J$2:$J$1001,0),1)&gt;=100000,INDEX($Q$1005:$U$1005,1,MATCH(COLUMNS($Q$1006:R1006),$Q$1006:$U$1006,0))&gt;=100000), " ",IF(INDEX($Q$2:$U$1001,MATCH(ROWS($J$2:J555),$J$2:$J$1001,0),MATCH(COLUMNS($Q$1006:R1006),$Q$1006:$U$1006,0)), HYPERLINK("#",""), HYPERLINK(CONCATENATE("#Metadata!", ADDRESS(INDEX($L$2:$L$1001,MATCH(ROWS($J$2:J555),$J$2:$J$1001,0),0), INDEX($Q$1004:$U$1004,1,MATCH(COLUMNS($Q$1006:R1006),$Q$1006:$U$1006,0)))),"Fix")))</f>
        <v xml:space="preserve"> </v>
      </c>
      <c r="D555" s="3" t="str">
        <f ca="1">IF(OR(INDEX($K$2:$K$1001,MATCH(ROWS($J$2:J555),$J$2:$J$1001,0),1)&gt;=100000,INDEX($Q$1005:$U$1005,1,MATCH(COLUMNS($Q$1006:S1006),$Q$1006:$U$1006,0))&gt;=100000), " ",IF(INDEX($Q$2:$U$1001,MATCH(ROWS($J$2:J555),$J$2:$J$1001,0),MATCH(COLUMNS($Q$1006:S1006),$Q$1006:$U$1006,0)), HYPERLINK("#",""), HYPERLINK(CONCATENATE("#Metadata!", ADDRESS(INDEX($L$2:$L$1001,MATCH(ROWS($J$2:J555),$J$2:$J$1001,0),0), INDEX($Q$1004:$U$1004,1,MATCH(COLUMNS($Q$1006:S1006),$Q$1006:$U$1006,0)))),"Fix")))</f>
        <v xml:space="preserve"> </v>
      </c>
      <c r="E555" s="3" t="str">
        <f ca="1">IF(OR(INDEX($K$2:$K$1001,MATCH(ROWS($J$2:J555),$J$2:$J$1001,0),1)&gt;=100000,INDEX($Q$1005:$U$1005,1,MATCH(COLUMNS($Q$1006:T1006),$Q$1006:$U$1006,0))&gt;=100000), " ",IF(INDEX($Q$2:$U$1001,MATCH(ROWS($J$2:J555),$J$2:$J$1001,0),MATCH(COLUMNS($Q$1006:T1006),$Q$1006:$U$1006,0)), HYPERLINK("#",""), HYPERLINK(CONCATENATE("#Metadata!", ADDRESS(INDEX($L$2:$L$1001,MATCH(ROWS($J$2:J555),$J$2:$J$1001,0),0), INDEX($Q$1004:$U$1004,1,MATCH(COLUMNS($Q$1006:T1006),$Q$1006:$U$1006,0)))),"Fix")))</f>
        <v xml:space="preserve"> </v>
      </c>
      <c r="F555" s="3" t="str">
        <f ca="1">IF(OR(INDEX($K$2:$K$1001,MATCH(ROWS($J$2:J555),$J$2:$J$1001,0),1)&gt;=100000,INDEX($Q$1005:$U$1005,1,MATCH(COLUMNS($Q$1006:U1006),$Q$1006:$U$1006,0))&gt;=100000), " ",IF(INDEX($Q$2:$U$1001,MATCH(ROWS($J$2:J555),$J$2:$J$1001,0),MATCH(COLUMNS($Q$1006:U1006),$Q$1006:$U$1006,0)), HYPERLINK("#",""), HYPERLINK(CONCATENATE("#Metadata!", ADDRESS(INDEX($L$2:$L$1001,MATCH(ROWS($J$2:J555),$J$2:$J$1001,0),0), INDEX($Q$1004:$U$1004,1,MATCH(COLUMNS($Q$1006:U1006),$Q$1006:$U$1006,0)))),"Fix")))</f>
        <v xml:space="preserve"> </v>
      </c>
      <c r="J555">
        <f ca="1"/>
        <v>554</v>
      </c>
      <c r="K555">
        <v>100555</v>
      </c>
      <c r="L555">
        <v>555</v>
      </c>
      <c r="M555" t="b">
        <f t="shared" si="8"/>
        <v>1</v>
      </c>
      <c r="N555" t="b">
        <f>COUNTBLANK(Metadata!B555:F555)=COLUMNS(Metadata!B555:F555)</f>
        <v>1</v>
      </c>
      <c r="O555" t="str">
        <v/>
      </c>
      <c r="Q555" t="b">
        <f ca="1"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R555" t="b">
        <f>IF(Metadata!C555="",FALSE,TRUE)</f>
        <v>0</v>
      </c>
      <c r="S555" t="b">
        <f>OR(AND(IF(Metadata!D555="",FALSE,TRUE),EXACT(Metadata!D555,"missing: not collected")),AND(IF(Metadata!D555="",FALSE,TRUE),OR(EXACT(Metadata!D555,"t"),EXACT(Metadata!D555,"f"))))</f>
        <v>0</v>
      </c>
      <c r="T555" t="b">
        <f>AND(IF(Metadata!E555="",FALSE,TRUE),OR(EXACT(Metadata!E555,"a"),EXACT(Metadata!E555,"b")))</f>
        <v>0</v>
      </c>
      <c r="U555" t="b">
        <f>OR(AND(IF(Metadata!F555="",FALSE,TRUE),OR(EXACT(Metadata!F555,"missing: not collected"),EXACT(Metadata!F555,"missing: not provided"))),AND(IF(Metadata!F555="",FALSE,TRUE),OR(EXACT(Metadata!F555,"lo"),EXACT(Metadata!F555,"med"),EXACT(Metadata!F555,"hi"))))</f>
        <v>0</v>
      </c>
    </row>
    <row r="556" spans="1:21" x14ac:dyDescent="0.2">
      <c r="A556" s="4" t="str">
        <f ca="1">IF(B556=" "," ",HYPERLINK(CONCATENATE("#metadata!",ADDRESS(INDEX($L$2:$L$1001,MATCH(ROWS($J$2:J556),$J$2:$J$1001,0),0),1)),INDEX($O$2:$O$1001,MATCH(ROWS($J$2:J556),$J$2:$J$1001,0),0)))</f>
        <v xml:space="preserve"> </v>
      </c>
      <c r="B556" s="3" t="str">
        <f ca="1">IF(OR(INDEX($K$2:$K$1001,MATCH(ROWS($J$2:J556),$J$2:$J$1001,0),1)&gt;=100000,INDEX($Q$1005:$U$1005,1,MATCH(COLUMNS($Q$1006:Q1006),$Q$1006:$U$1006,0))&gt;=100000), " ",IF(INDEX($Q$2:$U$1001,MATCH(ROWS($J$2:J556),$J$2:$J$1001,0),MATCH(COLUMNS($Q$1006:Q1006),$Q$1006:$U$1006,0)), HYPERLINK("#",""), HYPERLINK(CONCATENATE("#Metadata!", ADDRESS(INDEX($L$2:$L$1001,MATCH(ROWS($J$2:J556),$J$2:$J$1001,0),0), INDEX($Q$1004:$U$1004,1,MATCH(COLUMNS($Q$1006:Q1006),$Q$1006:$U$1006,0)))),"Fix")))</f>
        <v xml:space="preserve"> </v>
      </c>
      <c r="C556" s="3" t="str">
        <f ca="1">IF(OR(INDEX($K$2:$K$1001,MATCH(ROWS($J$2:J556),$J$2:$J$1001,0),1)&gt;=100000,INDEX($Q$1005:$U$1005,1,MATCH(COLUMNS($Q$1006:R1006),$Q$1006:$U$1006,0))&gt;=100000), " ",IF(INDEX($Q$2:$U$1001,MATCH(ROWS($J$2:J556),$J$2:$J$1001,0),MATCH(COLUMNS($Q$1006:R1006),$Q$1006:$U$1006,0)), HYPERLINK("#",""), HYPERLINK(CONCATENATE("#Metadata!", ADDRESS(INDEX($L$2:$L$1001,MATCH(ROWS($J$2:J556),$J$2:$J$1001,0),0), INDEX($Q$1004:$U$1004,1,MATCH(COLUMNS($Q$1006:R1006),$Q$1006:$U$1006,0)))),"Fix")))</f>
        <v xml:space="preserve"> </v>
      </c>
      <c r="D556" s="3" t="str">
        <f ca="1">IF(OR(INDEX($K$2:$K$1001,MATCH(ROWS($J$2:J556),$J$2:$J$1001,0),1)&gt;=100000,INDEX($Q$1005:$U$1005,1,MATCH(COLUMNS($Q$1006:S1006),$Q$1006:$U$1006,0))&gt;=100000), " ",IF(INDEX($Q$2:$U$1001,MATCH(ROWS($J$2:J556),$J$2:$J$1001,0),MATCH(COLUMNS($Q$1006:S1006),$Q$1006:$U$1006,0)), HYPERLINK("#",""), HYPERLINK(CONCATENATE("#Metadata!", ADDRESS(INDEX($L$2:$L$1001,MATCH(ROWS($J$2:J556),$J$2:$J$1001,0),0), INDEX($Q$1004:$U$1004,1,MATCH(COLUMNS($Q$1006:S1006),$Q$1006:$U$1006,0)))),"Fix")))</f>
        <v xml:space="preserve"> </v>
      </c>
      <c r="E556" s="3" t="str">
        <f ca="1">IF(OR(INDEX($K$2:$K$1001,MATCH(ROWS($J$2:J556),$J$2:$J$1001,0),1)&gt;=100000,INDEX($Q$1005:$U$1005,1,MATCH(COLUMNS($Q$1006:T1006),$Q$1006:$U$1006,0))&gt;=100000), " ",IF(INDEX($Q$2:$U$1001,MATCH(ROWS($J$2:J556),$J$2:$J$1001,0),MATCH(COLUMNS($Q$1006:T1006),$Q$1006:$U$1006,0)), HYPERLINK("#",""), HYPERLINK(CONCATENATE("#Metadata!", ADDRESS(INDEX($L$2:$L$1001,MATCH(ROWS($J$2:J556),$J$2:$J$1001,0),0), INDEX($Q$1004:$U$1004,1,MATCH(COLUMNS($Q$1006:T1006),$Q$1006:$U$1006,0)))),"Fix")))</f>
        <v xml:space="preserve"> </v>
      </c>
      <c r="F556" s="3" t="str">
        <f ca="1">IF(OR(INDEX($K$2:$K$1001,MATCH(ROWS($J$2:J556),$J$2:$J$1001,0),1)&gt;=100000,INDEX($Q$1005:$U$1005,1,MATCH(COLUMNS($Q$1006:U1006),$Q$1006:$U$1006,0))&gt;=100000), " ",IF(INDEX($Q$2:$U$1001,MATCH(ROWS($J$2:J556),$J$2:$J$1001,0),MATCH(COLUMNS($Q$1006:U1006),$Q$1006:$U$1006,0)), HYPERLINK("#",""), HYPERLINK(CONCATENATE("#Metadata!", ADDRESS(INDEX($L$2:$L$1001,MATCH(ROWS($J$2:J556),$J$2:$J$1001,0),0), INDEX($Q$1004:$U$1004,1,MATCH(COLUMNS($Q$1006:U1006),$Q$1006:$U$1006,0)))),"Fix")))</f>
        <v xml:space="preserve"> </v>
      </c>
      <c r="J556">
        <f ca="1"/>
        <v>555</v>
      </c>
      <c r="K556">
        <v>100556</v>
      </c>
      <c r="L556">
        <v>556</v>
      </c>
      <c r="M556" t="b">
        <f t="shared" si="8"/>
        <v>1</v>
      </c>
      <c r="N556" t="b">
        <f>COUNTBLANK(Metadata!B556:F556)=COLUMNS(Metadata!B556:F556)</f>
        <v>1</v>
      </c>
      <c r="O556" t="str">
        <v/>
      </c>
      <c r="Q556" t="b">
        <f ca="1"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R556" t="b">
        <f>IF(Metadata!C556="",FALSE,TRUE)</f>
        <v>0</v>
      </c>
      <c r="S556" t="b">
        <f>OR(AND(IF(Metadata!D556="",FALSE,TRUE),EXACT(Metadata!D556,"missing: not collected")),AND(IF(Metadata!D556="",FALSE,TRUE),OR(EXACT(Metadata!D556,"t"),EXACT(Metadata!D556,"f"))))</f>
        <v>0</v>
      </c>
      <c r="T556" t="b">
        <f>AND(IF(Metadata!E556="",FALSE,TRUE),OR(EXACT(Metadata!E556,"a"),EXACT(Metadata!E556,"b")))</f>
        <v>0</v>
      </c>
      <c r="U556" t="b">
        <f>OR(AND(IF(Metadata!F556="",FALSE,TRUE),OR(EXACT(Metadata!F556,"missing: not collected"),EXACT(Metadata!F556,"missing: not provided"))),AND(IF(Metadata!F556="",FALSE,TRUE),OR(EXACT(Metadata!F556,"lo"),EXACT(Metadata!F556,"med"),EXACT(Metadata!F556,"hi"))))</f>
        <v>0</v>
      </c>
    </row>
    <row r="557" spans="1:21" x14ac:dyDescent="0.2">
      <c r="A557" s="4" t="str">
        <f ca="1">IF(B557=" "," ",HYPERLINK(CONCATENATE("#metadata!",ADDRESS(INDEX($L$2:$L$1001,MATCH(ROWS($J$2:J557),$J$2:$J$1001,0),0),1)),INDEX($O$2:$O$1001,MATCH(ROWS($J$2:J557),$J$2:$J$1001,0),0)))</f>
        <v xml:space="preserve"> </v>
      </c>
      <c r="B557" s="3" t="str">
        <f ca="1">IF(OR(INDEX($K$2:$K$1001,MATCH(ROWS($J$2:J557),$J$2:$J$1001,0),1)&gt;=100000,INDEX($Q$1005:$U$1005,1,MATCH(COLUMNS($Q$1006:Q1006),$Q$1006:$U$1006,0))&gt;=100000), " ",IF(INDEX($Q$2:$U$1001,MATCH(ROWS($J$2:J557),$J$2:$J$1001,0),MATCH(COLUMNS($Q$1006:Q1006),$Q$1006:$U$1006,0)), HYPERLINK("#",""), HYPERLINK(CONCATENATE("#Metadata!", ADDRESS(INDEX($L$2:$L$1001,MATCH(ROWS($J$2:J557),$J$2:$J$1001,0),0), INDEX($Q$1004:$U$1004,1,MATCH(COLUMNS($Q$1006:Q1006),$Q$1006:$U$1006,0)))),"Fix")))</f>
        <v xml:space="preserve"> </v>
      </c>
      <c r="C557" s="3" t="str">
        <f ca="1">IF(OR(INDEX($K$2:$K$1001,MATCH(ROWS($J$2:J557),$J$2:$J$1001,0),1)&gt;=100000,INDEX($Q$1005:$U$1005,1,MATCH(COLUMNS($Q$1006:R1006),$Q$1006:$U$1006,0))&gt;=100000), " ",IF(INDEX($Q$2:$U$1001,MATCH(ROWS($J$2:J557),$J$2:$J$1001,0),MATCH(COLUMNS($Q$1006:R1006),$Q$1006:$U$1006,0)), HYPERLINK("#",""), HYPERLINK(CONCATENATE("#Metadata!", ADDRESS(INDEX($L$2:$L$1001,MATCH(ROWS($J$2:J557),$J$2:$J$1001,0),0), INDEX($Q$1004:$U$1004,1,MATCH(COLUMNS($Q$1006:R1006),$Q$1006:$U$1006,0)))),"Fix")))</f>
        <v xml:space="preserve"> </v>
      </c>
      <c r="D557" s="3" t="str">
        <f ca="1">IF(OR(INDEX($K$2:$K$1001,MATCH(ROWS($J$2:J557),$J$2:$J$1001,0),1)&gt;=100000,INDEX($Q$1005:$U$1005,1,MATCH(COLUMNS($Q$1006:S1006),$Q$1006:$U$1006,0))&gt;=100000), " ",IF(INDEX($Q$2:$U$1001,MATCH(ROWS($J$2:J557),$J$2:$J$1001,0),MATCH(COLUMNS($Q$1006:S1006),$Q$1006:$U$1006,0)), HYPERLINK("#",""), HYPERLINK(CONCATENATE("#Metadata!", ADDRESS(INDEX($L$2:$L$1001,MATCH(ROWS($J$2:J557),$J$2:$J$1001,0),0), INDEX($Q$1004:$U$1004,1,MATCH(COLUMNS($Q$1006:S1006),$Q$1006:$U$1006,0)))),"Fix")))</f>
        <v xml:space="preserve"> </v>
      </c>
      <c r="E557" s="3" t="str">
        <f ca="1">IF(OR(INDEX($K$2:$K$1001,MATCH(ROWS($J$2:J557),$J$2:$J$1001,0),1)&gt;=100000,INDEX($Q$1005:$U$1005,1,MATCH(COLUMNS($Q$1006:T1006),$Q$1006:$U$1006,0))&gt;=100000), " ",IF(INDEX($Q$2:$U$1001,MATCH(ROWS($J$2:J557),$J$2:$J$1001,0),MATCH(COLUMNS($Q$1006:T1006),$Q$1006:$U$1006,0)), HYPERLINK("#",""), HYPERLINK(CONCATENATE("#Metadata!", ADDRESS(INDEX($L$2:$L$1001,MATCH(ROWS($J$2:J557),$J$2:$J$1001,0),0), INDEX($Q$1004:$U$1004,1,MATCH(COLUMNS($Q$1006:T1006),$Q$1006:$U$1006,0)))),"Fix")))</f>
        <v xml:space="preserve"> </v>
      </c>
      <c r="F557" s="3" t="str">
        <f ca="1">IF(OR(INDEX($K$2:$K$1001,MATCH(ROWS($J$2:J557),$J$2:$J$1001,0),1)&gt;=100000,INDEX($Q$1005:$U$1005,1,MATCH(COLUMNS($Q$1006:U1006),$Q$1006:$U$1006,0))&gt;=100000), " ",IF(INDEX($Q$2:$U$1001,MATCH(ROWS($J$2:J557),$J$2:$J$1001,0),MATCH(COLUMNS($Q$1006:U1006),$Q$1006:$U$1006,0)), HYPERLINK("#",""), HYPERLINK(CONCATENATE("#Metadata!", ADDRESS(INDEX($L$2:$L$1001,MATCH(ROWS($J$2:J557),$J$2:$J$1001,0),0), INDEX($Q$1004:$U$1004,1,MATCH(COLUMNS($Q$1006:U1006),$Q$1006:$U$1006,0)))),"Fix")))</f>
        <v xml:space="preserve"> </v>
      </c>
      <c r="J557">
        <f ca="1"/>
        <v>556</v>
      </c>
      <c r="K557">
        <v>100557</v>
      </c>
      <c r="L557">
        <v>557</v>
      </c>
      <c r="M557" t="b">
        <f t="shared" si="8"/>
        <v>1</v>
      </c>
      <c r="N557" t="b">
        <f>COUNTBLANK(Metadata!B557:F557)=COLUMNS(Metadata!B557:F557)</f>
        <v>1</v>
      </c>
      <c r="O557" t="str">
        <v/>
      </c>
      <c r="Q557" t="b">
        <f ca="1"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R557" t="b">
        <f>IF(Metadata!C557="",FALSE,TRUE)</f>
        <v>0</v>
      </c>
      <c r="S557" t="b">
        <f>OR(AND(IF(Metadata!D557="",FALSE,TRUE),EXACT(Metadata!D557,"missing: not collected")),AND(IF(Metadata!D557="",FALSE,TRUE),OR(EXACT(Metadata!D557,"t"),EXACT(Metadata!D557,"f"))))</f>
        <v>0</v>
      </c>
      <c r="T557" t="b">
        <f>AND(IF(Metadata!E557="",FALSE,TRUE),OR(EXACT(Metadata!E557,"a"),EXACT(Metadata!E557,"b")))</f>
        <v>0</v>
      </c>
      <c r="U557" t="b">
        <f>OR(AND(IF(Metadata!F557="",FALSE,TRUE),OR(EXACT(Metadata!F557,"missing: not collected"),EXACT(Metadata!F557,"missing: not provided"))),AND(IF(Metadata!F557="",FALSE,TRUE),OR(EXACT(Metadata!F557,"lo"),EXACT(Metadata!F557,"med"),EXACT(Metadata!F557,"hi"))))</f>
        <v>0</v>
      </c>
    </row>
    <row r="558" spans="1:21" x14ac:dyDescent="0.2">
      <c r="A558" s="4" t="str">
        <f ca="1">IF(B558=" "," ",HYPERLINK(CONCATENATE("#metadata!",ADDRESS(INDEX($L$2:$L$1001,MATCH(ROWS($J$2:J558),$J$2:$J$1001,0),0),1)),INDEX($O$2:$O$1001,MATCH(ROWS($J$2:J558),$J$2:$J$1001,0),0)))</f>
        <v xml:space="preserve"> </v>
      </c>
      <c r="B558" s="3" t="str">
        <f ca="1">IF(OR(INDEX($K$2:$K$1001,MATCH(ROWS($J$2:J558),$J$2:$J$1001,0),1)&gt;=100000,INDEX($Q$1005:$U$1005,1,MATCH(COLUMNS($Q$1006:Q1006),$Q$1006:$U$1006,0))&gt;=100000), " ",IF(INDEX($Q$2:$U$1001,MATCH(ROWS($J$2:J558),$J$2:$J$1001,0),MATCH(COLUMNS($Q$1006:Q1006),$Q$1006:$U$1006,0)), HYPERLINK("#",""), HYPERLINK(CONCATENATE("#Metadata!", ADDRESS(INDEX($L$2:$L$1001,MATCH(ROWS($J$2:J558),$J$2:$J$1001,0),0), INDEX($Q$1004:$U$1004,1,MATCH(COLUMNS($Q$1006:Q1006),$Q$1006:$U$1006,0)))),"Fix")))</f>
        <v xml:space="preserve"> </v>
      </c>
      <c r="C558" s="3" t="str">
        <f ca="1">IF(OR(INDEX($K$2:$K$1001,MATCH(ROWS($J$2:J558),$J$2:$J$1001,0),1)&gt;=100000,INDEX($Q$1005:$U$1005,1,MATCH(COLUMNS($Q$1006:R1006),$Q$1006:$U$1006,0))&gt;=100000), " ",IF(INDEX($Q$2:$U$1001,MATCH(ROWS($J$2:J558),$J$2:$J$1001,0),MATCH(COLUMNS($Q$1006:R1006),$Q$1006:$U$1006,0)), HYPERLINK("#",""), HYPERLINK(CONCATENATE("#Metadata!", ADDRESS(INDEX($L$2:$L$1001,MATCH(ROWS($J$2:J558),$J$2:$J$1001,0),0), INDEX($Q$1004:$U$1004,1,MATCH(COLUMNS($Q$1006:R1006),$Q$1006:$U$1006,0)))),"Fix")))</f>
        <v xml:space="preserve"> </v>
      </c>
      <c r="D558" s="3" t="str">
        <f ca="1">IF(OR(INDEX($K$2:$K$1001,MATCH(ROWS($J$2:J558),$J$2:$J$1001,0),1)&gt;=100000,INDEX($Q$1005:$U$1005,1,MATCH(COLUMNS($Q$1006:S1006),$Q$1006:$U$1006,0))&gt;=100000), " ",IF(INDEX($Q$2:$U$1001,MATCH(ROWS($J$2:J558),$J$2:$J$1001,0),MATCH(COLUMNS($Q$1006:S1006),$Q$1006:$U$1006,0)), HYPERLINK("#",""), HYPERLINK(CONCATENATE("#Metadata!", ADDRESS(INDEX($L$2:$L$1001,MATCH(ROWS($J$2:J558),$J$2:$J$1001,0),0), INDEX($Q$1004:$U$1004,1,MATCH(COLUMNS($Q$1006:S1006),$Q$1006:$U$1006,0)))),"Fix")))</f>
        <v xml:space="preserve"> </v>
      </c>
      <c r="E558" s="3" t="str">
        <f ca="1">IF(OR(INDEX($K$2:$K$1001,MATCH(ROWS($J$2:J558),$J$2:$J$1001,0),1)&gt;=100000,INDEX($Q$1005:$U$1005,1,MATCH(COLUMNS($Q$1006:T1006),$Q$1006:$U$1006,0))&gt;=100000), " ",IF(INDEX($Q$2:$U$1001,MATCH(ROWS($J$2:J558),$J$2:$J$1001,0),MATCH(COLUMNS($Q$1006:T1006),$Q$1006:$U$1006,0)), HYPERLINK("#",""), HYPERLINK(CONCATENATE("#Metadata!", ADDRESS(INDEX($L$2:$L$1001,MATCH(ROWS($J$2:J558),$J$2:$J$1001,0),0), INDEX($Q$1004:$U$1004,1,MATCH(COLUMNS($Q$1006:T1006),$Q$1006:$U$1006,0)))),"Fix")))</f>
        <v xml:space="preserve"> </v>
      </c>
      <c r="F558" s="3" t="str">
        <f ca="1">IF(OR(INDEX($K$2:$K$1001,MATCH(ROWS($J$2:J558),$J$2:$J$1001,0),1)&gt;=100000,INDEX($Q$1005:$U$1005,1,MATCH(COLUMNS($Q$1006:U1006),$Q$1006:$U$1006,0))&gt;=100000), " ",IF(INDEX($Q$2:$U$1001,MATCH(ROWS($J$2:J558),$J$2:$J$1001,0),MATCH(COLUMNS($Q$1006:U1006),$Q$1006:$U$1006,0)), HYPERLINK("#",""), HYPERLINK(CONCATENATE("#Metadata!", ADDRESS(INDEX($L$2:$L$1001,MATCH(ROWS($J$2:J558),$J$2:$J$1001,0),0), INDEX($Q$1004:$U$1004,1,MATCH(COLUMNS($Q$1006:U1006),$Q$1006:$U$1006,0)))),"Fix")))</f>
        <v xml:space="preserve"> </v>
      </c>
      <c r="J558">
        <f ca="1"/>
        <v>557</v>
      </c>
      <c r="K558">
        <v>100558</v>
      </c>
      <c r="L558">
        <v>558</v>
      </c>
      <c r="M558" t="b">
        <f t="shared" si="8"/>
        <v>1</v>
      </c>
      <c r="N558" t="b">
        <f>COUNTBLANK(Metadata!B558:F558)=COLUMNS(Metadata!B558:F558)</f>
        <v>1</v>
      </c>
      <c r="O558" t="str">
        <v/>
      </c>
      <c r="Q558" t="b">
        <f ca="1"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R558" t="b">
        <f>IF(Metadata!C558="",FALSE,TRUE)</f>
        <v>0</v>
      </c>
      <c r="S558" t="b">
        <f>OR(AND(IF(Metadata!D558="",FALSE,TRUE),EXACT(Metadata!D558,"missing: not collected")),AND(IF(Metadata!D558="",FALSE,TRUE),OR(EXACT(Metadata!D558,"t"),EXACT(Metadata!D558,"f"))))</f>
        <v>0</v>
      </c>
      <c r="T558" t="b">
        <f>AND(IF(Metadata!E558="",FALSE,TRUE),OR(EXACT(Metadata!E558,"a"),EXACT(Metadata!E558,"b")))</f>
        <v>0</v>
      </c>
      <c r="U558" t="b">
        <f>OR(AND(IF(Metadata!F558="",FALSE,TRUE),OR(EXACT(Metadata!F558,"missing: not collected"),EXACT(Metadata!F558,"missing: not provided"))),AND(IF(Metadata!F558="",FALSE,TRUE),OR(EXACT(Metadata!F558,"lo"),EXACT(Metadata!F558,"med"),EXACT(Metadata!F558,"hi"))))</f>
        <v>0</v>
      </c>
    </row>
    <row r="559" spans="1:21" x14ac:dyDescent="0.2">
      <c r="A559" s="4" t="str">
        <f ca="1">IF(B559=" "," ",HYPERLINK(CONCATENATE("#metadata!",ADDRESS(INDEX($L$2:$L$1001,MATCH(ROWS($J$2:J559),$J$2:$J$1001,0),0),1)),INDEX($O$2:$O$1001,MATCH(ROWS($J$2:J559),$J$2:$J$1001,0),0)))</f>
        <v xml:space="preserve"> </v>
      </c>
      <c r="B559" s="3" t="str">
        <f ca="1">IF(OR(INDEX($K$2:$K$1001,MATCH(ROWS($J$2:J559),$J$2:$J$1001,0),1)&gt;=100000,INDEX($Q$1005:$U$1005,1,MATCH(COLUMNS($Q$1006:Q1006),$Q$1006:$U$1006,0))&gt;=100000), " ",IF(INDEX($Q$2:$U$1001,MATCH(ROWS($J$2:J559),$J$2:$J$1001,0),MATCH(COLUMNS($Q$1006:Q1006),$Q$1006:$U$1006,0)), HYPERLINK("#",""), HYPERLINK(CONCATENATE("#Metadata!", ADDRESS(INDEX($L$2:$L$1001,MATCH(ROWS($J$2:J559),$J$2:$J$1001,0),0), INDEX($Q$1004:$U$1004,1,MATCH(COLUMNS($Q$1006:Q1006),$Q$1006:$U$1006,0)))),"Fix")))</f>
        <v xml:space="preserve"> </v>
      </c>
      <c r="C559" s="3" t="str">
        <f ca="1">IF(OR(INDEX($K$2:$K$1001,MATCH(ROWS($J$2:J559),$J$2:$J$1001,0),1)&gt;=100000,INDEX($Q$1005:$U$1005,1,MATCH(COLUMNS($Q$1006:R1006),$Q$1006:$U$1006,0))&gt;=100000), " ",IF(INDEX($Q$2:$U$1001,MATCH(ROWS($J$2:J559),$J$2:$J$1001,0),MATCH(COLUMNS($Q$1006:R1006),$Q$1006:$U$1006,0)), HYPERLINK("#",""), HYPERLINK(CONCATENATE("#Metadata!", ADDRESS(INDEX($L$2:$L$1001,MATCH(ROWS($J$2:J559),$J$2:$J$1001,0),0), INDEX($Q$1004:$U$1004,1,MATCH(COLUMNS($Q$1006:R1006),$Q$1006:$U$1006,0)))),"Fix")))</f>
        <v xml:space="preserve"> </v>
      </c>
      <c r="D559" s="3" t="str">
        <f ca="1">IF(OR(INDEX($K$2:$K$1001,MATCH(ROWS($J$2:J559),$J$2:$J$1001,0),1)&gt;=100000,INDEX($Q$1005:$U$1005,1,MATCH(COLUMNS($Q$1006:S1006),$Q$1006:$U$1006,0))&gt;=100000), " ",IF(INDEX($Q$2:$U$1001,MATCH(ROWS($J$2:J559),$J$2:$J$1001,0),MATCH(COLUMNS($Q$1006:S1006),$Q$1006:$U$1006,0)), HYPERLINK("#",""), HYPERLINK(CONCATENATE("#Metadata!", ADDRESS(INDEX($L$2:$L$1001,MATCH(ROWS($J$2:J559),$J$2:$J$1001,0),0), INDEX($Q$1004:$U$1004,1,MATCH(COLUMNS($Q$1006:S1006),$Q$1006:$U$1006,0)))),"Fix")))</f>
        <v xml:space="preserve"> </v>
      </c>
      <c r="E559" s="3" t="str">
        <f ca="1">IF(OR(INDEX($K$2:$K$1001,MATCH(ROWS($J$2:J559),$J$2:$J$1001,0),1)&gt;=100000,INDEX($Q$1005:$U$1005,1,MATCH(COLUMNS($Q$1006:T1006),$Q$1006:$U$1006,0))&gt;=100000), " ",IF(INDEX($Q$2:$U$1001,MATCH(ROWS($J$2:J559),$J$2:$J$1001,0),MATCH(COLUMNS($Q$1006:T1006),$Q$1006:$U$1006,0)), HYPERLINK("#",""), HYPERLINK(CONCATENATE("#Metadata!", ADDRESS(INDEX($L$2:$L$1001,MATCH(ROWS($J$2:J559),$J$2:$J$1001,0),0), INDEX($Q$1004:$U$1004,1,MATCH(COLUMNS($Q$1006:T1006),$Q$1006:$U$1006,0)))),"Fix")))</f>
        <v xml:space="preserve"> </v>
      </c>
      <c r="F559" s="3" t="str">
        <f ca="1">IF(OR(INDEX($K$2:$K$1001,MATCH(ROWS($J$2:J559),$J$2:$J$1001,0),1)&gt;=100000,INDEX($Q$1005:$U$1005,1,MATCH(COLUMNS($Q$1006:U1006),$Q$1006:$U$1006,0))&gt;=100000), " ",IF(INDEX($Q$2:$U$1001,MATCH(ROWS($J$2:J559),$J$2:$J$1001,0),MATCH(COLUMNS($Q$1006:U1006),$Q$1006:$U$1006,0)), HYPERLINK("#",""), HYPERLINK(CONCATENATE("#Metadata!", ADDRESS(INDEX($L$2:$L$1001,MATCH(ROWS($J$2:J559),$J$2:$J$1001,0),0), INDEX($Q$1004:$U$1004,1,MATCH(COLUMNS($Q$1006:U1006),$Q$1006:$U$1006,0)))),"Fix")))</f>
        <v xml:space="preserve"> </v>
      </c>
      <c r="J559">
        <f ca="1"/>
        <v>558</v>
      </c>
      <c r="K559">
        <v>100559</v>
      </c>
      <c r="L559">
        <v>559</v>
      </c>
      <c r="M559" t="b">
        <f t="shared" si="8"/>
        <v>1</v>
      </c>
      <c r="N559" t="b">
        <f>COUNTBLANK(Metadata!B559:F559)=COLUMNS(Metadata!B559:F559)</f>
        <v>1</v>
      </c>
      <c r="O559" t="str">
        <v/>
      </c>
      <c r="Q559" t="b">
        <f ca="1"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R559" t="b">
        <f>IF(Metadata!C559="",FALSE,TRUE)</f>
        <v>0</v>
      </c>
      <c r="S559" t="b">
        <f>OR(AND(IF(Metadata!D559="",FALSE,TRUE),EXACT(Metadata!D559,"missing: not collected")),AND(IF(Metadata!D559="",FALSE,TRUE),OR(EXACT(Metadata!D559,"t"),EXACT(Metadata!D559,"f"))))</f>
        <v>0</v>
      </c>
      <c r="T559" t="b">
        <f>AND(IF(Metadata!E559="",FALSE,TRUE),OR(EXACT(Metadata!E559,"a"),EXACT(Metadata!E559,"b")))</f>
        <v>0</v>
      </c>
      <c r="U559" t="b">
        <f>OR(AND(IF(Metadata!F559="",FALSE,TRUE),OR(EXACT(Metadata!F559,"missing: not collected"),EXACT(Metadata!F559,"missing: not provided"))),AND(IF(Metadata!F559="",FALSE,TRUE),OR(EXACT(Metadata!F559,"lo"),EXACT(Metadata!F559,"med"),EXACT(Metadata!F559,"hi"))))</f>
        <v>0</v>
      </c>
    </row>
    <row r="560" spans="1:21" x14ac:dyDescent="0.2">
      <c r="A560" s="4" t="str">
        <f ca="1">IF(B560=" "," ",HYPERLINK(CONCATENATE("#metadata!",ADDRESS(INDEX($L$2:$L$1001,MATCH(ROWS($J$2:J560),$J$2:$J$1001,0),0),1)),INDEX($O$2:$O$1001,MATCH(ROWS($J$2:J560),$J$2:$J$1001,0),0)))</f>
        <v xml:space="preserve"> </v>
      </c>
      <c r="B560" s="3" t="str">
        <f ca="1">IF(OR(INDEX($K$2:$K$1001,MATCH(ROWS($J$2:J560),$J$2:$J$1001,0),1)&gt;=100000,INDEX($Q$1005:$U$1005,1,MATCH(COLUMNS($Q$1006:Q1006),$Q$1006:$U$1006,0))&gt;=100000), " ",IF(INDEX($Q$2:$U$1001,MATCH(ROWS($J$2:J560),$J$2:$J$1001,0),MATCH(COLUMNS($Q$1006:Q1006),$Q$1006:$U$1006,0)), HYPERLINK("#",""), HYPERLINK(CONCATENATE("#Metadata!", ADDRESS(INDEX($L$2:$L$1001,MATCH(ROWS($J$2:J560),$J$2:$J$1001,0),0), INDEX($Q$1004:$U$1004,1,MATCH(COLUMNS($Q$1006:Q1006),$Q$1006:$U$1006,0)))),"Fix")))</f>
        <v xml:space="preserve"> </v>
      </c>
      <c r="C560" s="3" t="str">
        <f ca="1">IF(OR(INDEX($K$2:$K$1001,MATCH(ROWS($J$2:J560),$J$2:$J$1001,0),1)&gt;=100000,INDEX($Q$1005:$U$1005,1,MATCH(COLUMNS($Q$1006:R1006),$Q$1006:$U$1006,0))&gt;=100000), " ",IF(INDEX($Q$2:$U$1001,MATCH(ROWS($J$2:J560),$J$2:$J$1001,0),MATCH(COLUMNS($Q$1006:R1006),$Q$1006:$U$1006,0)), HYPERLINK("#",""), HYPERLINK(CONCATENATE("#Metadata!", ADDRESS(INDEX($L$2:$L$1001,MATCH(ROWS($J$2:J560),$J$2:$J$1001,0),0), INDEX($Q$1004:$U$1004,1,MATCH(COLUMNS($Q$1006:R1006),$Q$1006:$U$1006,0)))),"Fix")))</f>
        <v xml:space="preserve"> </v>
      </c>
      <c r="D560" s="3" t="str">
        <f ca="1">IF(OR(INDEX($K$2:$K$1001,MATCH(ROWS($J$2:J560),$J$2:$J$1001,0),1)&gt;=100000,INDEX($Q$1005:$U$1005,1,MATCH(COLUMNS($Q$1006:S1006),$Q$1006:$U$1006,0))&gt;=100000), " ",IF(INDEX($Q$2:$U$1001,MATCH(ROWS($J$2:J560),$J$2:$J$1001,0),MATCH(COLUMNS($Q$1006:S1006),$Q$1006:$U$1006,0)), HYPERLINK("#",""), HYPERLINK(CONCATENATE("#Metadata!", ADDRESS(INDEX($L$2:$L$1001,MATCH(ROWS($J$2:J560),$J$2:$J$1001,0),0), INDEX($Q$1004:$U$1004,1,MATCH(COLUMNS($Q$1006:S1006),$Q$1006:$U$1006,0)))),"Fix")))</f>
        <v xml:space="preserve"> </v>
      </c>
      <c r="E560" s="3" t="str">
        <f ca="1">IF(OR(INDEX($K$2:$K$1001,MATCH(ROWS($J$2:J560),$J$2:$J$1001,0),1)&gt;=100000,INDEX($Q$1005:$U$1005,1,MATCH(COLUMNS($Q$1006:T1006),$Q$1006:$U$1006,0))&gt;=100000), " ",IF(INDEX($Q$2:$U$1001,MATCH(ROWS($J$2:J560),$J$2:$J$1001,0),MATCH(COLUMNS($Q$1006:T1006),$Q$1006:$U$1006,0)), HYPERLINK("#",""), HYPERLINK(CONCATENATE("#Metadata!", ADDRESS(INDEX($L$2:$L$1001,MATCH(ROWS($J$2:J560),$J$2:$J$1001,0),0), INDEX($Q$1004:$U$1004,1,MATCH(COLUMNS($Q$1006:T1006),$Q$1006:$U$1006,0)))),"Fix")))</f>
        <v xml:space="preserve"> </v>
      </c>
      <c r="F560" s="3" t="str">
        <f ca="1">IF(OR(INDEX($K$2:$K$1001,MATCH(ROWS($J$2:J560),$J$2:$J$1001,0),1)&gt;=100000,INDEX($Q$1005:$U$1005,1,MATCH(COLUMNS($Q$1006:U1006),$Q$1006:$U$1006,0))&gt;=100000), " ",IF(INDEX($Q$2:$U$1001,MATCH(ROWS($J$2:J560),$J$2:$J$1001,0),MATCH(COLUMNS($Q$1006:U1006),$Q$1006:$U$1006,0)), HYPERLINK("#",""), HYPERLINK(CONCATENATE("#Metadata!", ADDRESS(INDEX($L$2:$L$1001,MATCH(ROWS($J$2:J560),$J$2:$J$1001,0),0), INDEX($Q$1004:$U$1004,1,MATCH(COLUMNS($Q$1006:U1006),$Q$1006:$U$1006,0)))),"Fix")))</f>
        <v xml:space="preserve"> </v>
      </c>
      <c r="J560">
        <f ca="1"/>
        <v>559</v>
      </c>
      <c r="K560">
        <v>100560</v>
      </c>
      <c r="L560">
        <v>560</v>
      </c>
      <c r="M560" t="b">
        <f t="shared" si="8"/>
        <v>1</v>
      </c>
      <c r="N560" t="b">
        <f>COUNTBLANK(Metadata!B560:F560)=COLUMNS(Metadata!B560:F560)</f>
        <v>1</v>
      </c>
      <c r="O560" t="str">
        <v/>
      </c>
      <c r="Q560" t="b">
        <f ca="1"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R560" t="b">
        <f>IF(Metadata!C560="",FALSE,TRUE)</f>
        <v>0</v>
      </c>
      <c r="S560" t="b">
        <f>OR(AND(IF(Metadata!D560="",FALSE,TRUE),EXACT(Metadata!D560,"missing: not collected")),AND(IF(Metadata!D560="",FALSE,TRUE),OR(EXACT(Metadata!D560,"t"),EXACT(Metadata!D560,"f"))))</f>
        <v>0</v>
      </c>
      <c r="T560" t="b">
        <f>AND(IF(Metadata!E560="",FALSE,TRUE),OR(EXACT(Metadata!E560,"a"),EXACT(Metadata!E560,"b")))</f>
        <v>0</v>
      </c>
      <c r="U560" t="b">
        <f>OR(AND(IF(Metadata!F560="",FALSE,TRUE),OR(EXACT(Metadata!F560,"missing: not collected"),EXACT(Metadata!F560,"missing: not provided"))),AND(IF(Metadata!F560="",FALSE,TRUE),OR(EXACT(Metadata!F560,"lo"),EXACT(Metadata!F560,"med"),EXACT(Metadata!F560,"hi"))))</f>
        <v>0</v>
      </c>
    </row>
    <row r="561" spans="1:21" x14ac:dyDescent="0.2">
      <c r="A561" s="4" t="str">
        <f ca="1">IF(B561=" "," ",HYPERLINK(CONCATENATE("#metadata!",ADDRESS(INDEX($L$2:$L$1001,MATCH(ROWS($J$2:J561),$J$2:$J$1001,0),0),1)),INDEX($O$2:$O$1001,MATCH(ROWS($J$2:J561),$J$2:$J$1001,0),0)))</f>
        <v xml:space="preserve"> </v>
      </c>
      <c r="B561" s="3" t="str">
        <f ca="1">IF(OR(INDEX($K$2:$K$1001,MATCH(ROWS($J$2:J561),$J$2:$J$1001,0),1)&gt;=100000,INDEX($Q$1005:$U$1005,1,MATCH(COLUMNS($Q$1006:Q1006),$Q$1006:$U$1006,0))&gt;=100000), " ",IF(INDEX($Q$2:$U$1001,MATCH(ROWS($J$2:J561),$J$2:$J$1001,0),MATCH(COLUMNS($Q$1006:Q1006),$Q$1006:$U$1006,0)), HYPERLINK("#",""), HYPERLINK(CONCATENATE("#Metadata!", ADDRESS(INDEX($L$2:$L$1001,MATCH(ROWS($J$2:J561),$J$2:$J$1001,0),0), INDEX($Q$1004:$U$1004,1,MATCH(COLUMNS($Q$1006:Q1006),$Q$1006:$U$1006,0)))),"Fix")))</f>
        <v xml:space="preserve"> </v>
      </c>
      <c r="C561" s="3" t="str">
        <f ca="1">IF(OR(INDEX($K$2:$K$1001,MATCH(ROWS($J$2:J561),$J$2:$J$1001,0),1)&gt;=100000,INDEX($Q$1005:$U$1005,1,MATCH(COLUMNS($Q$1006:R1006),$Q$1006:$U$1006,0))&gt;=100000), " ",IF(INDEX($Q$2:$U$1001,MATCH(ROWS($J$2:J561),$J$2:$J$1001,0),MATCH(COLUMNS($Q$1006:R1006),$Q$1006:$U$1006,0)), HYPERLINK("#",""), HYPERLINK(CONCATENATE("#Metadata!", ADDRESS(INDEX($L$2:$L$1001,MATCH(ROWS($J$2:J561),$J$2:$J$1001,0),0), INDEX($Q$1004:$U$1004,1,MATCH(COLUMNS($Q$1006:R1006),$Q$1006:$U$1006,0)))),"Fix")))</f>
        <v xml:space="preserve"> </v>
      </c>
      <c r="D561" s="3" t="str">
        <f ca="1">IF(OR(INDEX($K$2:$K$1001,MATCH(ROWS($J$2:J561),$J$2:$J$1001,0),1)&gt;=100000,INDEX($Q$1005:$U$1005,1,MATCH(COLUMNS($Q$1006:S1006),$Q$1006:$U$1006,0))&gt;=100000), " ",IF(INDEX($Q$2:$U$1001,MATCH(ROWS($J$2:J561),$J$2:$J$1001,0),MATCH(COLUMNS($Q$1006:S1006),$Q$1006:$U$1006,0)), HYPERLINK("#",""), HYPERLINK(CONCATENATE("#Metadata!", ADDRESS(INDEX($L$2:$L$1001,MATCH(ROWS($J$2:J561),$J$2:$J$1001,0),0), INDEX($Q$1004:$U$1004,1,MATCH(COLUMNS($Q$1006:S1006),$Q$1006:$U$1006,0)))),"Fix")))</f>
        <v xml:space="preserve"> </v>
      </c>
      <c r="E561" s="3" t="str">
        <f ca="1">IF(OR(INDEX($K$2:$K$1001,MATCH(ROWS($J$2:J561),$J$2:$J$1001,0),1)&gt;=100000,INDEX($Q$1005:$U$1005,1,MATCH(COLUMNS($Q$1006:T1006),$Q$1006:$U$1006,0))&gt;=100000), " ",IF(INDEX($Q$2:$U$1001,MATCH(ROWS($J$2:J561),$J$2:$J$1001,0),MATCH(COLUMNS($Q$1006:T1006),$Q$1006:$U$1006,0)), HYPERLINK("#",""), HYPERLINK(CONCATENATE("#Metadata!", ADDRESS(INDEX($L$2:$L$1001,MATCH(ROWS($J$2:J561),$J$2:$J$1001,0),0), INDEX($Q$1004:$U$1004,1,MATCH(COLUMNS($Q$1006:T1006),$Q$1006:$U$1006,0)))),"Fix")))</f>
        <v xml:space="preserve"> </v>
      </c>
      <c r="F561" s="3" t="str">
        <f ca="1">IF(OR(INDEX($K$2:$K$1001,MATCH(ROWS($J$2:J561),$J$2:$J$1001,0),1)&gt;=100000,INDEX($Q$1005:$U$1005,1,MATCH(COLUMNS($Q$1006:U1006),$Q$1006:$U$1006,0))&gt;=100000), " ",IF(INDEX($Q$2:$U$1001,MATCH(ROWS($J$2:J561),$J$2:$J$1001,0),MATCH(COLUMNS($Q$1006:U1006),$Q$1006:$U$1006,0)), HYPERLINK("#",""), HYPERLINK(CONCATENATE("#Metadata!", ADDRESS(INDEX($L$2:$L$1001,MATCH(ROWS($J$2:J561),$J$2:$J$1001,0),0), INDEX($Q$1004:$U$1004,1,MATCH(COLUMNS($Q$1006:U1006),$Q$1006:$U$1006,0)))),"Fix")))</f>
        <v xml:space="preserve"> </v>
      </c>
      <c r="J561">
        <f ca="1"/>
        <v>560</v>
      </c>
      <c r="K561">
        <v>100561</v>
      </c>
      <c r="L561">
        <v>561</v>
      </c>
      <c r="M561" t="b">
        <f t="shared" si="8"/>
        <v>1</v>
      </c>
      <c r="N561" t="b">
        <f>COUNTBLANK(Metadata!B561:F561)=COLUMNS(Metadata!B561:F561)</f>
        <v>1</v>
      </c>
      <c r="O561" t="str">
        <v/>
      </c>
      <c r="Q561" t="b">
        <f ca="1"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R561" t="b">
        <f>IF(Metadata!C561="",FALSE,TRUE)</f>
        <v>0</v>
      </c>
      <c r="S561" t="b">
        <f>OR(AND(IF(Metadata!D561="",FALSE,TRUE),EXACT(Metadata!D561,"missing: not collected")),AND(IF(Metadata!D561="",FALSE,TRUE),OR(EXACT(Metadata!D561,"t"),EXACT(Metadata!D561,"f"))))</f>
        <v>0</v>
      </c>
      <c r="T561" t="b">
        <f>AND(IF(Metadata!E561="",FALSE,TRUE),OR(EXACT(Metadata!E561,"a"),EXACT(Metadata!E561,"b")))</f>
        <v>0</v>
      </c>
      <c r="U561" t="b">
        <f>OR(AND(IF(Metadata!F561="",FALSE,TRUE),OR(EXACT(Metadata!F561,"missing: not collected"),EXACT(Metadata!F561,"missing: not provided"))),AND(IF(Metadata!F561="",FALSE,TRUE),OR(EXACT(Metadata!F561,"lo"),EXACT(Metadata!F561,"med"),EXACT(Metadata!F561,"hi"))))</f>
        <v>0</v>
      </c>
    </row>
    <row r="562" spans="1:21" x14ac:dyDescent="0.2">
      <c r="A562" s="4" t="str">
        <f ca="1">IF(B562=" "," ",HYPERLINK(CONCATENATE("#metadata!",ADDRESS(INDEX($L$2:$L$1001,MATCH(ROWS($J$2:J562),$J$2:$J$1001,0),0),1)),INDEX($O$2:$O$1001,MATCH(ROWS($J$2:J562),$J$2:$J$1001,0),0)))</f>
        <v xml:space="preserve"> </v>
      </c>
      <c r="B562" s="3" t="str">
        <f ca="1">IF(OR(INDEX($K$2:$K$1001,MATCH(ROWS($J$2:J562),$J$2:$J$1001,0),1)&gt;=100000,INDEX($Q$1005:$U$1005,1,MATCH(COLUMNS($Q$1006:Q1006),$Q$1006:$U$1006,0))&gt;=100000), " ",IF(INDEX($Q$2:$U$1001,MATCH(ROWS($J$2:J562),$J$2:$J$1001,0),MATCH(COLUMNS($Q$1006:Q1006),$Q$1006:$U$1006,0)), HYPERLINK("#",""), HYPERLINK(CONCATENATE("#Metadata!", ADDRESS(INDEX($L$2:$L$1001,MATCH(ROWS($J$2:J562),$J$2:$J$1001,0),0), INDEX($Q$1004:$U$1004,1,MATCH(COLUMNS($Q$1006:Q1006),$Q$1006:$U$1006,0)))),"Fix")))</f>
        <v xml:space="preserve"> </v>
      </c>
      <c r="C562" s="3" t="str">
        <f ca="1">IF(OR(INDEX($K$2:$K$1001,MATCH(ROWS($J$2:J562),$J$2:$J$1001,0),1)&gt;=100000,INDEX($Q$1005:$U$1005,1,MATCH(COLUMNS($Q$1006:R1006),$Q$1006:$U$1006,0))&gt;=100000), " ",IF(INDEX($Q$2:$U$1001,MATCH(ROWS($J$2:J562),$J$2:$J$1001,0),MATCH(COLUMNS($Q$1006:R1006),$Q$1006:$U$1006,0)), HYPERLINK("#",""), HYPERLINK(CONCATENATE("#Metadata!", ADDRESS(INDEX($L$2:$L$1001,MATCH(ROWS($J$2:J562),$J$2:$J$1001,0),0), INDEX($Q$1004:$U$1004,1,MATCH(COLUMNS($Q$1006:R1006),$Q$1006:$U$1006,0)))),"Fix")))</f>
        <v xml:space="preserve"> </v>
      </c>
      <c r="D562" s="3" t="str">
        <f ca="1">IF(OR(INDEX($K$2:$K$1001,MATCH(ROWS($J$2:J562),$J$2:$J$1001,0),1)&gt;=100000,INDEX($Q$1005:$U$1005,1,MATCH(COLUMNS($Q$1006:S1006),$Q$1006:$U$1006,0))&gt;=100000), " ",IF(INDEX($Q$2:$U$1001,MATCH(ROWS($J$2:J562),$J$2:$J$1001,0),MATCH(COLUMNS($Q$1006:S1006),$Q$1006:$U$1006,0)), HYPERLINK("#",""), HYPERLINK(CONCATENATE("#Metadata!", ADDRESS(INDEX($L$2:$L$1001,MATCH(ROWS($J$2:J562),$J$2:$J$1001,0),0), INDEX($Q$1004:$U$1004,1,MATCH(COLUMNS($Q$1006:S1006),$Q$1006:$U$1006,0)))),"Fix")))</f>
        <v xml:space="preserve"> </v>
      </c>
      <c r="E562" s="3" t="str">
        <f ca="1">IF(OR(INDEX($K$2:$K$1001,MATCH(ROWS($J$2:J562),$J$2:$J$1001,0),1)&gt;=100000,INDEX($Q$1005:$U$1005,1,MATCH(COLUMNS($Q$1006:T1006),$Q$1006:$U$1006,0))&gt;=100000), " ",IF(INDEX($Q$2:$U$1001,MATCH(ROWS($J$2:J562),$J$2:$J$1001,0),MATCH(COLUMNS($Q$1006:T1006),$Q$1006:$U$1006,0)), HYPERLINK("#",""), HYPERLINK(CONCATENATE("#Metadata!", ADDRESS(INDEX($L$2:$L$1001,MATCH(ROWS($J$2:J562),$J$2:$J$1001,0),0), INDEX($Q$1004:$U$1004,1,MATCH(COLUMNS($Q$1006:T1006),$Q$1006:$U$1006,0)))),"Fix")))</f>
        <v xml:space="preserve"> </v>
      </c>
      <c r="F562" s="3" t="str">
        <f ca="1">IF(OR(INDEX($K$2:$K$1001,MATCH(ROWS($J$2:J562),$J$2:$J$1001,0),1)&gt;=100000,INDEX($Q$1005:$U$1005,1,MATCH(COLUMNS($Q$1006:U1006),$Q$1006:$U$1006,0))&gt;=100000), " ",IF(INDEX($Q$2:$U$1001,MATCH(ROWS($J$2:J562),$J$2:$J$1001,0),MATCH(COLUMNS($Q$1006:U1006),$Q$1006:$U$1006,0)), HYPERLINK("#",""), HYPERLINK(CONCATENATE("#Metadata!", ADDRESS(INDEX($L$2:$L$1001,MATCH(ROWS($J$2:J562),$J$2:$J$1001,0),0), INDEX($Q$1004:$U$1004,1,MATCH(COLUMNS($Q$1006:U1006),$Q$1006:$U$1006,0)))),"Fix")))</f>
        <v xml:space="preserve"> </v>
      </c>
      <c r="J562">
        <f ca="1"/>
        <v>561</v>
      </c>
      <c r="K562">
        <v>100562</v>
      </c>
      <c r="L562">
        <v>562</v>
      </c>
      <c r="M562" t="b">
        <f t="shared" si="8"/>
        <v>1</v>
      </c>
      <c r="N562" t="b">
        <f>COUNTBLANK(Metadata!B562:F562)=COLUMNS(Metadata!B562:F562)</f>
        <v>1</v>
      </c>
      <c r="O562" t="str">
        <v/>
      </c>
      <c r="Q562" t="b">
        <f ca="1"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R562" t="b">
        <f>IF(Metadata!C562="",FALSE,TRUE)</f>
        <v>0</v>
      </c>
      <c r="S562" t="b">
        <f>OR(AND(IF(Metadata!D562="",FALSE,TRUE),EXACT(Metadata!D562,"missing: not collected")),AND(IF(Metadata!D562="",FALSE,TRUE),OR(EXACT(Metadata!D562,"t"),EXACT(Metadata!D562,"f"))))</f>
        <v>0</v>
      </c>
      <c r="T562" t="b">
        <f>AND(IF(Metadata!E562="",FALSE,TRUE),OR(EXACT(Metadata!E562,"a"),EXACT(Metadata!E562,"b")))</f>
        <v>0</v>
      </c>
      <c r="U562" t="b">
        <f>OR(AND(IF(Metadata!F562="",FALSE,TRUE),OR(EXACT(Metadata!F562,"missing: not collected"),EXACT(Metadata!F562,"missing: not provided"))),AND(IF(Metadata!F562="",FALSE,TRUE),OR(EXACT(Metadata!F562,"lo"),EXACT(Metadata!F562,"med"),EXACT(Metadata!F562,"hi"))))</f>
        <v>0</v>
      </c>
    </row>
    <row r="563" spans="1:21" x14ac:dyDescent="0.2">
      <c r="A563" s="4" t="str">
        <f ca="1">IF(B563=" "," ",HYPERLINK(CONCATENATE("#metadata!",ADDRESS(INDEX($L$2:$L$1001,MATCH(ROWS($J$2:J563),$J$2:$J$1001,0),0),1)),INDEX($O$2:$O$1001,MATCH(ROWS($J$2:J563),$J$2:$J$1001,0),0)))</f>
        <v xml:space="preserve"> </v>
      </c>
      <c r="B563" s="3" t="str">
        <f ca="1">IF(OR(INDEX($K$2:$K$1001,MATCH(ROWS($J$2:J563),$J$2:$J$1001,0),1)&gt;=100000,INDEX($Q$1005:$U$1005,1,MATCH(COLUMNS($Q$1006:Q1006),$Q$1006:$U$1006,0))&gt;=100000), " ",IF(INDEX($Q$2:$U$1001,MATCH(ROWS($J$2:J563),$J$2:$J$1001,0),MATCH(COLUMNS($Q$1006:Q1006),$Q$1006:$U$1006,0)), HYPERLINK("#",""), HYPERLINK(CONCATENATE("#Metadata!", ADDRESS(INDEX($L$2:$L$1001,MATCH(ROWS($J$2:J563),$J$2:$J$1001,0),0), INDEX($Q$1004:$U$1004,1,MATCH(COLUMNS($Q$1006:Q1006),$Q$1006:$U$1006,0)))),"Fix")))</f>
        <v xml:space="preserve"> </v>
      </c>
      <c r="C563" s="3" t="str">
        <f ca="1">IF(OR(INDEX($K$2:$K$1001,MATCH(ROWS($J$2:J563),$J$2:$J$1001,0),1)&gt;=100000,INDEX($Q$1005:$U$1005,1,MATCH(COLUMNS($Q$1006:R1006),$Q$1006:$U$1006,0))&gt;=100000), " ",IF(INDEX($Q$2:$U$1001,MATCH(ROWS($J$2:J563),$J$2:$J$1001,0),MATCH(COLUMNS($Q$1006:R1006),$Q$1006:$U$1006,0)), HYPERLINK("#",""), HYPERLINK(CONCATENATE("#Metadata!", ADDRESS(INDEX($L$2:$L$1001,MATCH(ROWS($J$2:J563),$J$2:$J$1001,0),0), INDEX($Q$1004:$U$1004,1,MATCH(COLUMNS($Q$1006:R1006),$Q$1006:$U$1006,0)))),"Fix")))</f>
        <v xml:space="preserve"> </v>
      </c>
      <c r="D563" s="3" t="str">
        <f ca="1">IF(OR(INDEX($K$2:$K$1001,MATCH(ROWS($J$2:J563),$J$2:$J$1001,0),1)&gt;=100000,INDEX($Q$1005:$U$1005,1,MATCH(COLUMNS($Q$1006:S1006),$Q$1006:$U$1006,0))&gt;=100000), " ",IF(INDEX($Q$2:$U$1001,MATCH(ROWS($J$2:J563),$J$2:$J$1001,0),MATCH(COLUMNS($Q$1006:S1006),$Q$1006:$U$1006,0)), HYPERLINK("#",""), HYPERLINK(CONCATENATE("#Metadata!", ADDRESS(INDEX($L$2:$L$1001,MATCH(ROWS($J$2:J563),$J$2:$J$1001,0),0), INDEX($Q$1004:$U$1004,1,MATCH(COLUMNS($Q$1006:S1006),$Q$1006:$U$1006,0)))),"Fix")))</f>
        <v xml:space="preserve"> </v>
      </c>
      <c r="E563" s="3" t="str">
        <f ca="1">IF(OR(INDEX($K$2:$K$1001,MATCH(ROWS($J$2:J563),$J$2:$J$1001,0),1)&gt;=100000,INDEX($Q$1005:$U$1005,1,MATCH(COLUMNS($Q$1006:T1006),$Q$1006:$U$1006,0))&gt;=100000), " ",IF(INDEX($Q$2:$U$1001,MATCH(ROWS($J$2:J563),$J$2:$J$1001,0),MATCH(COLUMNS($Q$1006:T1006),$Q$1006:$U$1006,0)), HYPERLINK("#",""), HYPERLINK(CONCATENATE("#Metadata!", ADDRESS(INDEX($L$2:$L$1001,MATCH(ROWS($J$2:J563),$J$2:$J$1001,0),0), INDEX($Q$1004:$U$1004,1,MATCH(COLUMNS($Q$1006:T1006),$Q$1006:$U$1006,0)))),"Fix")))</f>
        <v xml:space="preserve"> </v>
      </c>
      <c r="F563" s="3" t="str">
        <f ca="1">IF(OR(INDEX($K$2:$K$1001,MATCH(ROWS($J$2:J563),$J$2:$J$1001,0),1)&gt;=100000,INDEX($Q$1005:$U$1005,1,MATCH(COLUMNS($Q$1006:U1006),$Q$1006:$U$1006,0))&gt;=100000), " ",IF(INDEX($Q$2:$U$1001,MATCH(ROWS($J$2:J563),$J$2:$J$1001,0),MATCH(COLUMNS($Q$1006:U1006),$Q$1006:$U$1006,0)), HYPERLINK("#",""), HYPERLINK(CONCATENATE("#Metadata!", ADDRESS(INDEX($L$2:$L$1001,MATCH(ROWS($J$2:J563),$J$2:$J$1001,0),0), INDEX($Q$1004:$U$1004,1,MATCH(COLUMNS($Q$1006:U1006),$Q$1006:$U$1006,0)))),"Fix")))</f>
        <v xml:space="preserve"> </v>
      </c>
      <c r="J563">
        <f ca="1"/>
        <v>562</v>
      </c>
      <c r="K563">
        <v>100563</v>
      </c>
      <c r="L563">
        <v>563</v>
      </c>
      <c r="M563" t="b">
        <f t="shared" si="8"/>
        <v>1</v>
      </c>
      <c r="N563" t="b">
        <f>COUNTBLANK(Metadata!B563:F563)=COLUMNS(Metadata!B563:F563)</f>
        <v>1</v>
      </c>
      <c r="O563" t="str">
        <v/>
      </c>
      <c r="Q563" t="b">
        <f ca="1"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R563" t="b">
        <f>IF(Metadata!C563="",FALSE,TRUE)</f>
        <v>0</v>
      </c>
      <c r="S563" t="b">
        <f>OR(AND(IF(Metadata!D563="",FALSE,TRUE),EXACT(Metadata!D563,"missing: not collected")),AND(IF(Metadata!D563="",FALSE,TRUE),OR(EXACT(Metadata!D563,"t"),EXACT(Metadata!D563,"f"))))</f>
        <v>0</v>
      </c>
      <c r="T563" t="b">
        <f>AND(IF(Metadata!E563="",FALSE,TRUE),OR(EXACT(Metadata!E563,"a"),EXACT(Metadata!E563,"b")))</f>
        <v>0</v>
      </c>
      <c r="U563" t="b">
        <f>OR(AND(IF(Metadata!F563="",FALSE,TRUE),OR(EXACT(Metadata!F563,"missing: not collected"),EXACT(Metadata!F563,"missing: not provided"))),AND(IF(Metadata!F563="",FALSE,TRUE),OR(EXACT(Metadata!F563,"lo"),EXACT(Metadata!F563,"med"),EXACT(Metadata!F563,"hi"))))</f>
        <v>0</v>
      </c>
    </row>
    <row r="564" spans="1:21" x14ac:dyDescent="0.2">
      <c r="A564" s="4" t="str">
        <f ca="1">IF(B564=" "," ",HYPERLINK(CONCATENATE("#metadata!",ADDRESS(INDEX($L$2:$L$1001,MATCH(ROWS($J$2:J564),$J$2:$J$1001,0),0),1)),INDEX($O$2:$O$1001,MATCH(ROWS($J$2:J564),$J$2:$J$1001,0),0)))</f>
        <v xml:space="preserve"> </v>
      </c>
      <c r="B564" s="3" t="str">
        <f ca="1">IF(OR(INDEX($K$2:$K$1001,MATCH(ROWS($J$2:J564),$J$2:$J$1001,0),1)&gt;=100000,INDEX($Q$1005:$U$1005,1,MATCH(COLUMNS($Q$1006:Q1006),$Q$1006:$U$1006,0))&gt;=100000), " ",IF(INDEX($Q$2:$U$1001,MATCH(ROWS($J$2:J564),$J$2:$J$1001,0),MATCH(COLUMNS($Q$1006:Q1006),$Q$1006:$U$1006,0)), HYPERLINK("#",""), HYPERLINK(CONCATENATE("#Metadata!", ADDRESS(INDEX($L$2:$L$1001,MATCH(ROWS($J$2:J564),$J$2:$J$1001,0),0), INDEX($Q$1004:$U$1004,1,MATCH(COLUMNS($Q$1006:Q1006),$Q$1006:$U$1006,0)))),"Fix")))</f>
        <v xml:space="preserve"> </v>
      </c>
      <c r="C564" s="3" t="str">
        <f ca="1">IF(OR(INDEX($K$2:$K$1001,MATCH(ROWS($J$2:J564),$J$2:$J$1001,0),1)&gt;=100000,INDEX($Q$1005:$U$1005,1,MATCH(COLUMNS($Q$1006:R1006),$Q$1006:$U$1006,0))&gt;=100000), " ",IF(INDEX($Q$2:$U$1001,MATCH(ROWS($J$2:J564),$J$2:$J$1001,0),MATCH(COLUMNS($Q$1006:R1006),$Q$1006:$U$1006,0)), HYPERLINK("#",""), HYPERLINK(CONCATENATE("#Metadata!", ADDRESS(INDEX($L$2:$L$1001,MATCH(ROWS($J$2:J564),$J$2:$J$1001,0),0), INDEX($Q$1004:$U$1004,1,MATCH(COLUMNS($Q$1006:R1006),$Q$1006:$U$1006,0)))),"Fix")))</f>
        <v xml:space="preserve"> </v>
      </c>
      <c r="D564" s="3" t="str">
        <f ca="1">IF(OR(INDEX($K$2:$K$1001,MATCH(ROWS($J$2:J564),$J$2:$J$1001,0),1)&gt;=100000,INDEX($Q$1005:$U$1005,1,MATCH(COLUMNS($Q$1006:S1006),$Q$1006:$U$1006,0))&gt;=100000), " ",IF(INDEX($Q$2:$U$1001,MATCH(ROWS($J$2:J564),$J$2:$J$1001,0),MATCH(COLUMNS($Q$1006:S1006),$Q$1006:$U$1006,0)), HYPERLINK("#",""), HYPERLINK(CONCATENATE("#Metadata!", ADDRESS(INDEX($L$2:$L$1001,MATCH(ROWS($J$2:J564),$J$2:$J$1001,0),0), INDEX($Q$1004:$U$1004,1,MATCH(COLUMNS($Q$1006:S1006),$Q$1006:$U$1006,0)))),"Fix")))</f>
        <v xml:space="preserve"> </v>
      </c>
      <c r="E564" s="3" t="str">
        <f ca="1">IF(OR(INDEX($K$2:$K$1001,MATCH(ROWS($J$2:J564),$J$2:$J$1001,0),1)&gt;=100000,INDEX($Q$1005:$U$1005,1,MATCH(COLUMNS($Q$1006:T1006),$Q$1006:$U$1006,0))&gt;=100000), " ",IF(INDEX($Q$2:$U$1001,MATCH(ROWS($J$2:J564),$J$2:$J$1001,0),MATCH(COLUMNS($Q$1006:T1006),$Q$1006:$U$1006,0)), HYPERLINK("#",""), HYPERLINK(CONCATENATE("#Metadata!", ADDRESS(INDEX($L$2:$L$1001,MATCH(ROWS($J$2:J564),$J$2:$J$1001,0),0), INDEX($Q$1004:$U$1004,1,MATCH(COLUMNS($Q$1006:T1006),$Q$1006:$U$1006,0)))),"Fix")))</f>
        <v xml:space="preserve"> </v>
      </c>
      <c r="F564" s="3" t="str">
        <f ca="1">IF(OR(INDEX($K$2:$K$1001,MATCH(ROWS($J$2:J564),$J$2:$J$1001,0),1)&gt;=100000,INDEX($Q$1005:$U$1005,1,MATCH(COLUMNS($Q$1006:U1006),$Q$1006:$U$1006,0))&gt;=100000), " ",IF(INDEX($Q$2:$U$1001,MATCH(ROWS($J$2:J564),$J$2:$J$1001,0),MATCH(COLUMNS($Q$1006:U1006),$Q$1006:$U$1006,0)), HYPERLINK("#",""), HYPERLINK(CONCATENATE("#Metadata!", ADDRESS(INDEX($L$2:$L$1001,MATCH(ROWS($J$2:J564),$J$2:$J$1001,0),0), INDEX($Q$1004:$U$1004,1,MATCH(COLUMNS($Q$1006:U1006),$Q$1006:$U$1006,0)))),"Fix")))</f>
        <v xml:space="preserve"> </v>
      </c>
      <c r="J564">
        <f ca="1"/>
        <v>563</v>
      </c>
      <c r="K564">
        <v>100564</v>
      </c>
      <c r="L564">
        <v>564</v>
      </c>
      <c r="M564" t="b">
        <f t="shared" si="8"/>
        <v>1</v>
      </c>
      <c r="N564" t="b">
        <f>COUNTBLANK(Metadata!B564:F564)=COLUMNS(Metadata!B564:F564)</f>
        <v>1</v>
      </c>
      <c r="O564" t="str">
        <v/>
      </c>
      <c r="Q564" t="b">
        <f ca="1"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R564" t="b">
        <f>IF(Metadata!C564="",FALSE,TRUE)</f>
        <v>0</v>
      </c>
      <c r="S564" t="b">
        <f>OR(AND(IF(Metadata!D564="",FALSE,TRUE),EXACT(Metadata!D564,"missing: not collected")),AND(IF(Metadata!D564="",FALSE,TRUE),OR(EXACT(Metadata!D564,"t"),EXACT(Metadata!D564,"f"))))</f>
        <v>0</v>
      </c>
      <c r="T564" t="b">
        <f>AND(IF(Metadata!E564="",FALSE,TRUE),OR(EXACT(Metadata!E564,"a"),EXACT(Metadata!E564,"b")))</f>
        <v>0</v>
      </c>
      <c r="U564" t="b">
        <f>OR(AND(IF(Metadata!F564="",FALSE,TRUE),OR(EXACT(Metadata!F564,"missing: not collected"),EXACT(Metadata!F564,"missing: not provided"))),AND(IF(Metadata!F564="",FALSE,TRUE),OR(EXACT(Metadata!F564,"lo"),EXACT(Metadata!F564,"med"),EXACT(Metadata!F564,"hi"))))</f>
        <v>0</v>
      </c>
    </row>
    <row r="565" spans="1:21" x14ac:dyDescent="0.2">
      <c r="A565" s="4" t="str">
        <f ca="1">IF(B565=" "," ",HYPERLINK(CONCATENATE("#metadata!",ADDRESS(INDEX($L$2:$L$1001,MATCH(ROWS($J$2:J565),$J$2:$J$1001,0),0),1)),INDEX($O$2:$O$1001,MATCH(ROWS($J$2:J565),$J$2:$J$1001,0),0)))</f>
        <v xml:space="preserve"> </v>
      </c>
      <c r="B565" s="3" t="str">
        <f ca="1">IF(OR(INDEX($K$2:$K$1001,MATCH(ROWS($J$2:J565),$J$2:$J$1001,0),1)&gt;=100000,INDEX($Q$1005:$U$1005,1,MATCH(COLUMNS($Q$1006:Q1006),$Q$1006:$U$1006,0))&gt;=100000), " ",IF(INDEX($Q$2:$U$1001,MATCH(ROWS($J$2:J565),$J$2:$J$1001,0),MATCH(COLUMNS($Q$1006:Q1006),$Q$1006:$U$1006,0)), HYPERLINK("#",""), HYPERLINK(CONCATENATE("#Metadata!", ADDRESS(INDEX($L$2:$L$1001,MATCH(ROWS($J$2:J565),$J$2:$J$1001,0),0), INDEX($Q$1004:$U$1004,1,MATCH(COLUMNS($Q$1006:Q1006),$Q$1006:$U$1006,0)))),"Fix")))</f>
        <v xml:space="preserve"> </v>
      </c>
      <c r="C565" s="3" t="str">
        <f ca="1">IF(OR(INDEX($K$2:$K$1001,MATCH(ROWS($J$2:J565),$J$2:$J$1001,0),1)&gt;=100000,INDEX($Q$1005:$U$1005,1,MATCH(COLUMNS($Q$1006:R1006),$Q$1006:$U$1006,0))&gt;=100000), " ",IF(INDEX($Q$2:$U$1001,MATCH(ROWS($J$2:J565),$J$2:$J$1001,0),MATCH(COLUMNS($Q$1006:R1006),$Q$1006:$U$1006,0)), HYPERLINK("#",""), HYPERLINK(CONCATENATE("#Metadata!", ADDRESS(INDEX($L$2:$L$1001,MATCH(ROWS($J$2:J565),$J$2:$J$1001,0),0), INDEX($Q$1004:$U$1004,1,MATCH(COLUMNS($Q$1006:R1006),$Q$1006:$U$1006,0)))),"Fix")))</f>
        <v xml:space="preserve"> </v>
      </c>
      <c r="D565" s="3" t="str">
        <f ca="1">IF(OR(INDEX($K$2:$K$1001,MATCH(ROWS($J$2:J565),$J$2:$J$1001,0),1)&gt;=100000,INDEX($Q$1005:$U$1005,1,MATCH(COLUMNS($Q$1006:S1006),$Q$1006:$U$1006,0))&gt;=100000), " ",IF(INDEX($Q$2:$U$1001,MATCH(ROWS($J$2:J565),$J$2:$J$1001,0),MATCH(COLUMNS($Q$1006:S1006),$Q$1006:$U$1006,0)), HYPERLINK("#",""), HYPERLINK(CONCATENATE("#Metadata!", ADDRESS(INDEX($L$2:$L$1001,MATCH(ROWS($J$2:J565),$J$2:$J$1001,0),0), INDEX($Q$1004:$U$1004,1,MATCH(COLUMNS($Q$1006:S1006),$Q$1006:$U$1006,0)))),"Fix")))</f>
        <v xml:space="preserve"> </v>
      </c>
      <c r="E565" s="3" t="str">
        <f ca="1">IF(OR(INDEX($K$2:$K$1001,MATCH(ROWS($J$2:J565),$J$2:$J$1001,0),1)&gt;=100000,INDEX($Q$1005:$U$1005,1,MATCH(COLUMNS($Q$1006:T1006),$Q$1006:$U$1006,0))&gt;=100000), " ",IF(INDEX($Q$2:$U$1001,MATCH(ROWS($J$2:J565),$J$2:$J$1001,0),MATCH(COLUMNS($Q$1006:T1006),$Q$1006:$U$1006,0)), HYPERLINK("#",""), HYPERLINK(CONCATENATE("#Metadata!", ADDRESS(INDEX($L$2:$L$1001,MATCH(ROWS($J$2:J565),$J$2:$J$1001,0),0), INDEX($Q$1004:$U$1004,1,MATCH(COLUMNS($Q$1006:T1006),$Q$1006:$U$1006,0)))),"Fix")))</f>
        <v xml:space="preserve"> </v>
      </c>
      <c r="F565" s="3" t="str">
        <f ca="1">IF(OR(INDEX($K$2:$K$1001,MATCH(ROWS($J$2:J565),$J$2:$J$1001,0),1)&gt;=100000,INDEX($Q$1005:$U$1005,1,MATCH(COLUMNS($Q$1006:U1006),$Q$1006:$U$1006,0))&gt;=100000), " ",IF(INDEX($Q$2:$U$1001,MATCH(ROWS($J$2:J565),$J$2:$J$1001,0),MATCH(COLUMNS($Q$1006:U1006),$Q$1006:$U$1006,0)), HYPERLINK("#",""), HYPERLINK(CONCATENATE("#Metadata!", ADDRESS(INDEX($L$2:$L$1001,MATCH(ROWS($J$2:J565),$J$2:$J$1001,0),0), INDEX($Q$1004:$U$1004,1,MATCH(COLUMNS($Q$1006:U1006),$Q$1006:$U$1006,0)))),"Fix")))</f>
        <v xml:space="preserve"> </v>
      </c>
      <c r="J565">
        <f ca="1"/>
        <v>564</v>
      </c>
      <c r="K565">
        <v>100565</v>
      </c>
      <c r="L565">
        <v>565</v>
      </c>
      <c r="M565" t="b">
        <f t="shared" si="8"/>
        <v>1</v>
      </c>
      <c r="N565" t="b">
        <f>COUNTBLANK(Metadata!B565:F565)=COLUMNS(Metadata!B565:F565)</f>
        <v>1</v>
      </c>
      <c r="O565" t="str">
        <v/>
      </c>
      <c r="Q565" t="b">
        <f ca="1"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R565" t="b">
        <f>IF(Metadata!C565="",FALSE,TRUE)</f>
        <v>0</v>
      </c>
      <c r="S565" t="b">
        <f>OR(AND(IF(Metadata!D565="",FALSE,TRUE),EXACT(Metadata!D565,"missing: not collected")),AND(IF(Metadata!D565="",FALSE,TRUE),OR(EXACT(Metadata!D565,"t"),EXACT(Metadata!D565,"f"))))</f>
        <v>0</v>
      </c>
      <c r="T565" t="b">
        <f>AND(IF(Metadata!E565="",FALSE,TRUE),OR(EXACT(Metadata!E565,"a"),EXACT(Metadata!E565,"b")))</f>
        <v>0</v>
      </c>
      <c r="U565" t="b">
        <f>OR(AND(IF(Metadata!F565="",FALSE,TRUE),OR(EXACT(Metadata!F565,"missing: not collected"),EXACT(Metadata!F565,"missing: not provided"))),AND(IF(Metadata!F565="",FALSE,TRUE),OR(EXACT(Metadata!F565,"lo"),EXACT(Metadata!F565,"med"),EXACT(Metadata!F565,"hi"))))</f>
        <v>0</v>
      </c>
    </row>
    <row r="566" spans="1:21" x14ac:dyDescent="0.2">
      <c r="A566" s="4" t="str">
        <f ca="1">IF(B566=" "," ",HYPERLINK(CONCATENATE("#metadata!",ADDRESS(INDEX($L$2:$L$1001,MATCH(ROWS($J$2:J566),$J$2:$J$1001,0),0),1)),INDEX($O$2:$O$1001,MATCH(ROWS($J$2:J566),$J$2:$J$1001,0),0)))</f>
        <v xml:space="preserve"> </v>
      </c>
      <c r="B566" s="3" t="str">
        <f ca="1">IF(OR(INDEX($K$2:$K$1001,MATCH(ROWS($J$2:J566),$J$2:$J$1001,0),1)&gt;=100000,INDEX($Q$1005:$U$1005,1,MATCH(COLUMNS($Q$1006:Q1006),$Q$1006:$U$1006,0))&gt;=100000), " ",IF(INDEX($Q$2:$U$1001,MATCH(ROWS($J$2:J566),$J$2:$J$1001,0),MATCH(COLUMNS($Q$1006:Q1006),$Q$1006:$U$1006,0)), HYPERLINK("#",""), HYPERLINK(CONCATENATE("#Metadata!", ADDRESS(INDEX($L$2:$L$1001,MATCH(ROWS($J$2:J566),$J$2:$J$1001,0),0), INDEX($Q$1004:$U$1004,1,MATCH(COLUMNS($Q$1006:Q1006),$Q$1006:$U$1006,0)))),"Fix")))</f>
        <v xml:space="preserve"> </v>
      </c>
      <c r="C566" s="3" t="str">
        <f ca="1">IF(OR(INDEX($K$2:$K$1001,MATCH(ROWS($J$2:J566),$J$2:$J$1001,0),1)&gt;=100000,INDEX($Q$1005:$U$1005,1,MATCH(COLUMNS($Q$1006:R1006),$Q$1006:$U$1006,0))&gt;=100000), " ",IF(INDEX($Q$2:$U$1001,MATCH(ROWS($J$2:J566),$J$2:$J$1001,0),MATCH(COLUMNS($Q$1006:R1006),$Q$1006:$U$1006,0)), HYPERLINK("#",""), HYPERLINK(CONCATENATE("#Metadata!", ADDRESS(INDEX($L$2:$L$1001,MATCH(ROWS($J$2:J566),$J$2:$J$1001,0),0), INDEX($Q$1004:$U$1004,1,MATCH(COLUMNS($Q$1006:R1006),$Q$1006:$U$1006,0)))),"Fix")))</f>
        <v xml:space="preserve"> </v>
      </c>
      <c r="D566" s="3" t="str">
        <f ca="1">IF(OR(INDEX($K$2:$K$1001,MATCH(ROWS($J$2:J566),$J$2:$J$1001,0),1)&gt;=100000,INDEX($Q$1005:$U$1005,1,MATCH(COLUMNS($Q$1006:S1006),$Q$1006:$U$1006,0))&gt;=100000), " ",IF(INDEX($Q$2:$U$1001,MATCH(ROWS($J$2:J566),$J$2:$J$1001,0),MATCH(COLUMNS($Q$1006:S1006),$Q$1006:$U$1006,0)), HYPERLINK("#",""), HYPERLINK(CONCATENATE("#Metadata!", ADDRESS(INDEX($L$2:$L$1001,MATCH(ROWS($J$2:J566),$J$2:$J$1001,0),0), INDEX($Q$1004:$U$1004,1,MATCH(COLUMNS($Q$1006:S1006),$Q$1006:$U$1006,0)))),"Fix")))</f>
        <v xml:space="preserve"> </v>
      </c>
      <c r="E566" s="3" t="str">
        <f ca="1">IF(OR(INDEX($K$2:$K$1001,MATCH(ROWS($J$2:J566),$J$2:$J$1001,0),1)&gt;=100000,INDEX($Q$1005:$U$1005,1,MATCH(COLUMNS($Q$1006:T1006),$Q$1006:$U$1006,0))&gt;=100000), " ",IF(INDEX($Q$2:$U$1001,MATCH(ROWS($J$2:J566),$J$2:$J$1001,0),MATCH(COLUMNS($Q$1006:T1006),$Q$1006:$U$1006,0)), HYPERLINK("#",""), HYPERLINK(CONCATENATE("#Metadata!", ADDRESS(INDEX($L$2:$L$1001,MATCH(ROWS($J$2:J566),$J$2:$J$1001,0),0), INDEX($Q$1004:$U$1004,1,MATCH(COLUMNS($Q$1006:T1006),$Q$1006:$U$1006,0)))),"Fix")))</f>
        <v xml:space="preserve"> </v>
      </c>
      <c r="F566" s="3" t="str">
        <f ca="1">IF(OR(INDEX($K$2:$K$1001,MATCH(ROWS($J$2:J566),$J$2:$J$1001,0),1)&gt;=100000,INDEX($Q$1005:$U$1005,1,MATCH(COLUMNS($Q$1006:U1006),$Q$1006:$U$1006,0))&gt;=100000), " ",IF(INDEX($Q$2:$U$1001,MATCH(ROWS($J$2:J566),$J$2:$J$1001,0),MATCH(COLUMNS($Q$1006:U1006),$Q$1006:$U$1006,0)), HYPERLINK("#",""), HYPERLINK(CONCATENATE("#Metadata!", ADDRESS(INDEX($L$2:$L$1001,MATCH(ROWS($J$2:J566),$J$2:$J$1001,0),0), INDEX($Q$1004:$U$1004,1,MATCH(COLUMNS($Q$1006:U1006),$Q$1006:$U$1006,0)))),"Fix")))</f>
        <v xml:space="preserve"> </v>
      </c>
      <c r="J566">
        <f ca="1"/>
        <v>565</v>
      </c>
      <c r="K566">
        <v>100566</v>
      </c>
      <c r="L566">
        <v>566</v>
      </c>
      <c r="M566" t="b">
        <f t="shared" si="8"/>
        <v>1</v>
      </c>
      <c r="N566" t="b">
        <f>COUNTBLANK(Metadata!B566:F566)=COLUMNS(Metadata!B566:F566)</f>
        <v>1</v>
      </c>
      <c r="O566" t="str">
        <v/>
      </c>
      <c r="Q566" t="b">
        <f ca="1"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R566" t="b">
        <f>IF(Metadata!C566="",FALSE,TRUE)</f>
        <v>0</v>
      </c>
      <c r="S566" t="b">
        <f>OR(AND(IF(Metadata!D566="",FALSE,TRUE),EXACT(Metadata!D566,"missing: not collected")),AND(IF(Metadata!D566="",FALSE,TRUE),OR(EXACT(Metadata!D566,"t"),EXACT(Metadata!D566,"f"))))</f>
        <v>0</v>
      </c>
      <c r="T566" t="b">
        <f>AND(IF(Metadata!E566="",FALSE,TRUE),OR(EXACT(Metadata!E566,"a"),EXACT(Metadata!E566,"b")))</f>
        <v>0</v>
      </c>
      <c r="U566" t="b">
        <f>OR(AND(IF(Metadata!F566="",FALSE,TRUE),OR(EXACT(Metadata!F566,"missing: not collected"),EXACT(Metadata!F566,"missing: not provided"))),AND(IF(Metadata!F566="",FALSE,TRUE),OR(EXACT(Metadata!F566,"lo"),EXACT(Metadata!F566,"med"),EXACT(Metadata!F566,"hi"))))</f>
        <v>0</v>
      </c>
    </row>
    <row r="567" spans="1:21" x14ac:dyDescent="0.2">
      <c r="A567" s="4" t="str">
        <f ca="1">IF(B567=" "," ",HYPERLINK(CONCATENATE("#metadata!",ADDRESS(INDEX($L$2:$L$1001,MATCH(ROWS($J$2:J567),$J$2:$J$1001,0),0),1)),INDEX($O$2:$O$1001,MATCH(ROWS($J$2:J567),$J$2:$J$1001,0),0)))</f>
        <v xml:space="preserve"> </v>
      </c>
      <c r="B567" s="3" t="str">
        <f ca="1">IF(OR(INDEX($K$2:$K$1001,MATCH(ROWS($J$2:J567),$J$2:$J$1001,0),1)&gt;=100000,INDEX($Q$1005:$U$1005,1,MATCH(COLUMNS($Q$1006:Q1006),$Q$1006:$U$1006,0))&gt;=100000), " ",IF(INDEX($Q$2:$U$1001,MATCH(ROWS($J$2:J567),$J$2:$J$1001,0),MATCH(COLUMNS($Q$1006:Q1006),$Q$1006:$U$1006,0)), HYPERLINK("#",""), HYPERLINK(CONCATENATE("#Metadata!", ADDRESS(INDEX($L$2:$L$1001,MATCH(ROWS($J$2:J567),$J$2:$J$1001,0),0), INDEX($Q$1004:$U$1004,1,MATCH(COLUMNS($Q$1006:Q1006),$Q$1006:$U$1006,0)))),"Fix")))</f>
        <v xml:space="preserve"> </v>
      </c>
      <c r="C567" s="3" t="str">
        <f ca="1">IF(OR(INDEX($K$2:$K$1001,MATCH(ROWS($J$2:J567),$J$2:$J$1001,0),1)&gt;=100000,INDEX($Q$1005:$U$1005,1,MATCH(COLUMNS($Q$1006:R1006),$Q$1006:$U$1006,0))&gt;=100000), " ",IF(INDEX($Q$2:$U$1001,MATCH(ROWS($J$2:J567),$J$2:$J$1001,0),MATCH(COLUMNS($Q$1006:R1006),$Q$1006:$U$1006,0)), HYPERLINK("#",""), HYPERLINK(CONCATENATE("#Metadata!", ADDRESS(INDEX($L$2:$L$1001,MATCH(ROWS($J$2:J567),$J$2:$J$1001,0),0), INDEX($Q$1004:$U$1004,1,MATCH(COLUMNS($Q$1006:R1006),$Q$1006:$U$1006,0)))),"Fix")))</f>
        <v xml:space="preserve"> </v>
      </c>
      <c r="D567" s="3" t="str">
        <f ca="1">IF(OR(INDEX($K$2:$K$1001,MATCH(ROWS($J$2:J567),$J$2:$J$1001,0),1)&gt;=100000,INDEX($Q$1005:$U$1005,1,MATCH(COLUMNS($Q$1006:S1006),$Q$1006:$U$1006,0))&gt;=100000), " ",IF(INDEX($Q$2:$U$1001,MATCH(ROWS($J$2:J567),$J$2:$J$1001,0),MATCH(COLUMNS($Q$1006:S1006),$Q$1006:$U$1006,0)), HYPERLINK("#",""), HYPERLINK(CONCATENATE("#Metadata!", ADDRESS(INDEX($L$2:$L$1001,MATCH(ROWS($J$2:J567),$J$2:$J$1001,0),0), INDEX($Q$1004:$U$1004,1,MATCH(COLUMNS($Q$1006:S1006),$Q$1006:$U$1006,0)))),"Fix")))</f>
        <v xml:space="preserve"> </v>
      </c>
      <c r="E567" s="3" t="str">
        <f ca="1">IF(OR(INDEX($K$2:$K$1001,MATCH(ROWS($J$2:J567),$J$2:$J$1001,0),1)&gt;=100000,INDEX($Q$1005:$U$1005,1,MATCH(COLUMNS($Q$1006:T1006),$Q$1006:$U$1006,0))&gt;=100000), " ",IF(INDEX($Q$2:$U$1001,MATCH(ROWS($J$2:J567),$J$2:$J$1001,0),MATCH(COLUMNS($Q$1006:T1006),$Q$1006:$U$1006,0)), HYPERLINK("#",""), HYPERLINK(CONCATENATE("#Metadata!", ADDRESS(INDEX($L$2:$L$1001,MATCH(ROWS($J$2:J567),$J$2:$J$1001,0),0), INDEX($Q$1004:$U$1004,1,MATCH(COLUMNS($Q$1006:T1006),$Q$1006:$U$1006,0)))),"Fix")))</f>
        <v xml:space="preserve"> </v>
      </c>
      <c r="F567" s="3" t="str">
        <f ca="1">IF(OR(INDEX($K$2:$K$1001,MATCH(ROWS($J$2:J567),$J$2:$J$1001,0),1)&gt;=100000,INDEX($Q$1005:$U$1005,1,MATCH(COLUMNS($Q$1006:U1006),$Q$1006:$U$1006,0))&gt;=100000), " ",IF(INDEX($Q$2:$U$1001,MATCH(ROWS($J$2:J567),$J$2:$J$1001,0),MATCH(COLUMNS($Q$1006:U1006),$Q$1006:$U$1006,0)), HYPERLINK("#",""), HYPERLINK(CONCATENATE("#Metadata!", ADDRESS(INDEX($L$2:$L$1001,MATCH(ROWS($J$2:J567),$J$2:$J$1001,0),0), INDEX($Q$1004:$U$1004,1,MATCH(COLUMNS($Q$1006:U1006),$Q$1006:$U$1006,0)))),"Fix")))</f>
        <v xml:space="preserve"> </v>
      </c>
      <c r="J567">
        <f ca="1"/>
        <v>566</v>
      </c>
      <c r="K567">
        <v>100567</v>
      </c>
      <c r="L567">
        <v>567</v>
      </c>
      <c r="M567" t="b">
        <f t="shared" si="8"/>
        <v>1</v>
      </c>
      <c r="N567" t="b">
        <f>COUNTBLANK(Metadata!B567:F567)=COLUMNS(Metadata!B567:F567)</f>
        <v>1</v>
      </c>
      <c r="O567" t="str">
        <v/>
      </c>
      <c r="Q567" t="b">
        <f ca="1"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R567" t="b">
        <f>IF(Metadata!C567="",FALSE,TRUE)</f>
        <v>0</v>
      </c>
      <c r="S567" t="b">
        <f>OR(AND(IF(Metadata!D567="",FALSE,TRUE),EXACT(Metadata!D567,"missing: not collected")),AND(IF(Metadata!D567="",FALSE,TRUE),OR(EXACT(Metadata!D567,"t"),EXACT(Metadata!D567,"f"))))</f>
        <v>0</v>
      </c>
      <c r="T567" t="b">
        <f>AND(IF(Metadata!E567="",FALSE,TRUE),OR(EXACT(Metadata!E567,"a"),EXACT(Metadata!E567,"b")))</f>
        <v>0</v>
      </c>
      <c r="U567" t="b">
        <f>OR(AND(IF(Metadata!F567="",FALSE,TRUE),OR(EXACT(Metadata!F567,"missing: not collected"),EXACT(Metadata!F567,"missing: not provided"))),AND(IF(Metadata!F567="",FALSE,TRUE),OR(EXACT(Metadata!F567,"lo"),EXACT(Metadata!F567,"med"),EXACT(Metadata!F567,"hi"))))</f>
        <v>0</v>
      </c>
    </row>
    <row r="568" spans="1:21" x14ac:dyDescent="0.2">
      <c r="A568" s="4" t="str">
        <f ca="1">IF(B568=" "," ",HYPERLINK(CONCATENATE("#metadata!",ADDRESS(INDEX($L$2:$L$1001,MATCH(ROWS($J$2:J568),$J$2:$J$1001,0),0),1)),INDEX($O$2:$O$1001,MATCH(ROWS($J$2:J568),$J$2:$J$1001,0),0)))</f>
        <v xml:space="preserve"> </v>
      </c>
      <c r="B568" s="3" t="str">
        <f ca="1">IF(OR(INDEX($K$2:$K$1001,MATCH(ROWS($J$2:J568),$J$2:$J$1001,0),1)&gt;=100000,INDEX($Q$1005:$U$1005,1,MATCH(COLUMNS($Q$1006:Q1006),$Q$1006:$U$1006,0))&gt;=100000), " ",IF(INDEX($Q$2:$U$1001,MATCH(ROWS($J$2:J568),$J$2:$J$1001,0),MATCH(COLUMNS($Q$1006:Q1006),$Q$1006:$U$1006,0)), HYPERLINK("#",""), HYPERLINK(CONCATENATE("#Metadata!", ADDRESS(INDEX($L$2:$L$1001,MATCH(ROWS($J$2:J568),$J$2:$J$1001,0),0), INDEX($Q$1004:$U$1004,1,MATCH(COLUMNS($Q$1006:Q1006),$Q$1006:$U$1006,0)))),"Fix")))</f>
        <v xml:space="preserve"> </v>
      </c>
      <c r="C568" s="3" t="str">
        <f ca="1">IF(OR(INDEX($K$2:$K$1001,MATCH(ROWS($J$2:J568),$J$2:$J$1001,0),1)&gt;=100000,INDEX($Q$1005:$U$1005,1,MATCH(COLUMNS($Q$1006:R1006),$Q$1006:$U$1006,0))&gt;=100000), " ",IF(INDEX($Q$2:$U$1001,MATCH(ROWS($J$2:J568),$J$2:$J$1001,0),MATCH(COLUMNS($Q$1006:R1006),$Q$1006:$U$1006,0)), HYPERLINK("#",""), HYPERLINK(CONCATENATE("#Metadata!", ADDRESS(INDEX($L$2:$L$1001,MATCH(ROWS($J$2:J568),$J$2:$J$1001,0),0), INDEX($Q$1004:$U$1004,1,MATCH(COLUMNS($Q$1006:R1006),$Q$1006:$U$1006,0)))),"Fix")))</f>
        <v xml:space="preserve"> </v>
      </c>
      <c r="D568" s="3" t="str">
        <f ca="1">IF(OR(INDEX($K$2:$K$1001,MATCH(ROWS($J$2:J568),$J$2:$J$1001,0),1)&gt;=100000,INDEX($Q$1005:$U$1005,1,MATCH(COLUMNS($Q$1006:S1006),$Q$1006:$U$1006,0))&gt;=100000), " ",IF(INDEX($Q$2:$U$1001,MATCH(ROWS($J$2:J568),$J$2:$J$1001,0),MATCH(COLUMNS($Q$1006:S1006),$Q$1006:$U$1006,0)), HYPERLINK("#",""), HYPERLINK(CONCATENATE("#Metadata!", ADDRESS(INDEX($L$2:$L$1001,MATCH(ROWS($J$2:J568),$J$2:$J$1001,0),0), INDEX($Q$1004:$U$1004,1,MATCH(COLUMNS($Q$1006:S1006),$Q$1006:$U$1006,0)))),"Fix")))</f>
        <v xml:space="preserve"> </v>
      </c>
      <c r="E568" s="3" t="str">
        <f ca="1">IF(OR(INDEX($K$2:$K$1001,MATCH(ROWS($J$2:J568),$J$2:$J$1001,0),1)&gt;=100000,INDEX($Q$1005:$U$1005,1,MATCH(COLUMNS($Q$1006:T1006),$Q$1006:$U$1006,0))&gt;=100000), " ",IF(INDEX($Q$2:$U$1001,MATCH(ROWS($J$2:J568),$J$2:$J$1001,0),MATCH(COLUMNS($Q$1006:T1006),$Q$1006:$U$1006,0)), HYPERLINK("#",""), HYPERLINK(CONCATENATE("#Metadata!", ADDRESS(INDEX($L$2:$L$1001,MATCH(ROWS($J$2:J568),$J$2:$J$1001,0),0), INDEX($Q$1004:$U$1004,1,MATCH(COLUMNS($Q$1006:T1006),$Q$1006:$U$1006,0)))),"Fix")))</f>
        <v xml:space="preserve"> </v>
      </c>
      <c r="F568" s="3" t="str">
        <f ca="1">IF(OR(INDEX($K$2:$K$1001,MATCH(ROWS($J$2:J568),$J$2:$J$1001,0),1)&gt;=100000,INDEX($Q$1005:$U$1005,1,MATCH(COLUMNS($Q$1006:U1006),$Q$1006:$U$1006,0))&gt;=100000), " ",IF(INDEX($Q$2:$U$1001,MATCH(ROWS($J$2:J568),$J$2:$J$1001,0),MATCH(COLUMNS($Q$1006:U1006),$Q$1006:$U$1006,0)), HYPERLINK("#",""), HYPERLINK(CONCATENATE("#Metadata!", ADDRESS(INDEX($L$2:$L$1001,MATCH(ROWS($J$2:J568),$J$2:$J$1001,0),0), INDEX($Q$1004:$U$1004,1,MATCH(COLUMNS($Q$1006:U1006),$Q$1006:$U$1006,0)))),"Fix")))</f>
        <v xml:space="preserve"> </v>
      </c>
      <c r="J568">
        <f ca="1"/>
        <v>567</v>
      </c>
      <c r="K568">
        <v>100568</v>
      </c>
      <c r="L568">
        <v>568</v>
      </c>
      <c r="M568" t="b">
        <f t="shared" si="8"/>
        <v>1</v>
      </c>
      <c r="N568" t="b">
        <f>COUNTBLANK(Metadata!B568:F568)=COLUMNS(Metadata!B568:F568)</f>
        <v>1</v>
      </c>
      <c r="O568" t="str">
        <v/>
      </c>
      <c r="Q568" t="b">
        <f ca="1"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R568" t="b">
        <f>IF(Metadata!C568="",FALSE,TRUE)</f>
        <v>0</v>
      </c>
      <c r="S568" t="b">
        <f>OR(AND(IF(Metadata!D568="",FALSE,TRUE),EXACT(Metadata!D568,"missing: not collected")),AND(IF(Metadata!D568="",FALSE,TRUE),OR(EXACT(Metadata!D568,"t"),EXACT(Metadata!D568,"f"))))</f>
        <v>0</v>
      </c>
      <c r="T568" t="b">
        <f>AND(IF(Metadata!E568="",FALSE,TRUE),OR(EXACT(Metadata!E568,"a"),EXACT(Metadata!E568,"b")))</f>
        <v>0</v>
      </c>
      <c r="U568" t="b">
        <f>OR(AND(IF(Metadata!F568="",FALSE,TRUE),OR(EXACT(Metadata!F568,"missing: not collected"),EXACT(Metadata!F568,"missing: not provided"))),AND(IF(Metadata!F568="",FALSE,TRUE),OR(EXACT(Metadata!F568,"lo"),EXACT(Metadata!F568,"med"),EXACT(Metadata!F568,"hi"))))</f>
        <v>0</v>
      </c>
    </row>
    <row r="569" spans="1:21" x14ac:dyDescent="0.2">
      <c r="A569" s="4" t="str">
        <f ca="1">IF(B569=" "," ",HYPERLINK(CONCATENATE("#metadata!",ADDRESS(INDEX($L$2:$L$1001,MATCH(ROWS($J$2:J569),$J$2:$J$1001,0),0),1)),INDEX($O$2:$O$1001,MATCH(ROWS($J$2:J569),$J$2:$J$1001,0),0)))</f>
        <v xml:space="preserve"> </v>
      </c>
      <c r="B569" s="3" t="str">
        <f ca="1">IF(OR(INDEX($K$2:$K$1001,MATCH(ROWS($J$2:J569),$J$2:$J$1001,0),1)&gt;=100000,INDEX($Q$1005:$U$1005,1,MATCH(COLUMNS($Q$1006:Q1006),$Q$1006:$U$1006,0))&gt;=100000), " ",IF(INDEX($Q$2:$U$1001,MATCH(ROWS($J$2:J569),$J$2:$J$1001,0),MATCH(COLUMNS($Q$1006:Q1006),$Q$1006:$U$1006,0)), HYPERLINK("#",""), HYPERLINK(CONCATENATE("#Metadata!", ADDRESS(INDEX($L$2:$L$1001,MATCH(ROWS($J$2:J569),$J$2:$J$1001,0),0), INDEX($Q$1004:$U$1004,1,MATCH(COLUMNS($Q$1006:Q1006),$Q$1006:$U$1006,0)))),"Fix")))</f>
        <v xml:space="preserve"> </v>
      </c>
      <c r="C569" s="3" t="str">
        <f ca="1">IF(OR(INDEX($K$2:$K$1001,MATCH(ROWS($J$2:J569),$J$2:$J$1001,0),1)&gt;=100000,INDEX($Q$1005:$U$1005,1,MATCH(COLUMNS($Q$1006:R1006),$Q$1006:$U$1006,0))&gt;=100000), " ",IF(INDEX($Q$2:$U$1001,MATCH(ROWS($J$2:J569),$J$2:$J$1001,0),MATCH(COLUMNS($Q$1006:R1006),$Q$1006:$U$1006,0)), HYPERLINK("#",""), HYPERLINK(CONCATENATE("#Metadata!", ADDRESS(INDEX($L$2:$L$1001,MATCH(ROWS($J$2:J569),$J$2:$J$1001,0),0), INDEX($Q$1004:$U$1004,1,MATCH(COLUMNS($Q$1006:R1006),$Q$1006:$U$1006,0)))),"Fix")))</f>
        <v xml:space="preserve"> </v>
      </c>
      <c r="D569" s="3" t="str">
        <f ca="1">IF(OR(INDEX($K$2:$K$1001,MATCH(ROWS($J$2:J569),$J$2:$J$1001,0),1)&gt;=100000,INDEX($Q$1005:$U$1005,1,MATCH(COLUMNS($Q$1006:S1006),$Q$1006:$U$1006,0))&gt;=100000), " ",IF(INDEX($Q$2:$U$1001,MATCH(ROWS($J$2:J569),$J$2:$J$1001,0),MATCH(COLUMNS($Q$1006:S1006),$Q$1006:$U$1006,0)), HYPERLINK("#",""), HYPERLINK(CONCATENATE("#Metadata!", ADDRESS(INDEX($L$2:$L$1001,MATCH(ROWS($J$2:J569),$J$2:$J$1001,0),0), INDEX($Q$1004:$U$1004,1,MATCH(COLUMNS($Q$1006:S1006),$Q$1006:$U$1006,0)))),"Fix")))</f>
        <v xml:space="preserve"> </v>
      </c>
      <c r="E569" s="3" t="str">
        <f ca="1">IF(OR(INDEX($K$2:$K$1001,MATCH(ROWS($J$2:J569),$J$2:$J$1001,0),1)&gt;=100000,INDEX($Q$1005:$U$1005,1,MATCH(COLUMNS($Q$1006:T1006),$Q$1006:$U$1006,0))&gt;=100000), " ",IF(INDEX($Q$2:$U$1001,MATCH(ROWS($J$2:J569),$J$2:$J$1001,0),MATCH(COLUMNS($Q$1006:T1006),$Q$1006:$U$1006,0)), HYPERLINK("#",""), HYPERLINK(CONCATENATE("#Metadata!", ADDRESS(INDEX($L$2:$L$1001,MATCH(ROWS($J$2:J569),$J$2:$J$1001,0),0), INDEX($Q$1004:$U$1004,1,MATCH(COLUMNS($Q$1006:T1006),$Q$1006:$U$1006,0)))),"Fix")))</f>
        <v xml:space="preserve"> </v>
      </c>
      <c r="F569" s="3" t="str">
        <f ca="1">IF(OR(INDEX($K$2:$K$1001,MATCH(ROWS($J$2:J569),$J$2:$J$1001,0),1)&gt;=100000,INDEX($Q$1005:$U$1005,1,MATCH(COLUMNS($Q$1006:U1006),$Q$1006:$U$1006,0))&gt;=100000), " ",IF(INDEX($Q$2:$U$1001,MATCH(ROWS($J$2:J569),$J$2:$J$1001,0),MATCH(COLUMNS($Q$1006:U1006),$Q$1006:$U$1006,0)), HYPERLINK("#",""), HYPERLINK(CONCATENATE("#Metadata!", ADDRESS(INDEX($L$2:$L$1001,MATCH(ROWS($J$2:J569),$J$2:$J$1001,0),0), INDEX($Q$1004:$U$1004,1,MATCH(COLUMNS($Q$1006:U1006),$Q$1006:$U$1006,0)))),"Fix")))</f>
        <v xml:space="preserve"> </v>
      </c>
      <c r="J569">
        <f ca="1"/>
        <v>568</v>
      </c>
      <c r="K569">
        <v>100569</v>
      </c>
      <c r="L569">
        <v>569</v>
      </c>
      <c r="M569" t="b">
        <f t="shared" si="8"/>
        <v>1</v>
      </c>
      <c r="N569" t="b">
        <f>COUNTBLANK(Metadata!B569:F569)=COLUMNS(Metadata!B569:F569)</f>
        <v>1</v>
      </c>
      <c r="O569" t="str">
        <v/>
      </c>
      <c r="Q569" t="b">
        <f ca="1"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R569" t="b">
        <f>IF(Metadata!C569="",FALSE,TRUE)</f>
        <v>0</v>
      </c>
      <c r="S569" t="b">
        <f>OR(AND(IF(Metadata!D569="",FALSE,TRUE),EXACT(Metadata!D569,"missing: not collected")),AND(IF(Metadata!D569="",FALSE,TRUE),OR(EXACT(Metadata!D569,"t"),EXACT(Metadata!D569,"f"))))</f>
        <v>0</v>
      </c>
      <c r="T569" t="b">
        <f>AND(IF(Metadata!E569="",FALSE,TRUE),OR(EXACT(Metadata!E569,"a"),EXACT(Metadata!E569,"b")))</f>
        <v>0</v>
      </c>
      <c r="U569" t="b">
        <f>OR(AND(IF(Metadata!F569="",FALSE,TRUE),OR(EXACT(Metadata!F569,"missing: not collected"),EXACT(Metadata!F569,"missing: not provided"))),AND(IF(Metadata!F569="",FALSE,TRUE),OR(EXACT(Metadata!F569,"lo"),EXACT(Metadata!F569,"med"),EXACT(Metadata!F569,"hi"))))</f>
        <v>0</v>
      </c>
    </row>
    <row r="570" spans="1:21" x14ac:dyDescent="0.2">
      <c r="A570" s="4" t="str">
        <f ca="1">IF(B570=" "," ",HYPERLINK(CONCATENATE("#metadata!",ADDRESS(INDEX($L$2:$L$1001,MATCH(ROWS($J$2:J570),$J$2:$J$1001,0),0),1)),INDEX($O$2:$O$1001,MATCH(ROWS($J$2:J570),$J$2:$J$1001,0),0)))</f>
        <v xml:space="preserve"> </v>
      </c>
      <c r="B570" s="3" t="str">
        <f ca="1">IF(OR(INDEX($K$2:$K$1001,MATCH(ROWS($J$2:J570),$J$2:$J$1001,0),1)&gt;=100000,INDEX($Q$1005:$U$1005,1,MATCH(COLUMNS($Q$1006:Q1006),$Q$1006:$U$1006,0))&gt;=100000), " ",IF(INDEX($Q$2:$U$1001,MATCH(ROWS($J$2:J570),$J$2:$J$1001,0),MATCH(COLUMNS($Q$1006:Q1006),$Q$1006:$U$1006,0)), HYPERLINK("#",""), HYPERLINK(CONCATENATE("#Metadata!", ADDRESS(INDEX($L$2:$L$1001,MATCH(ROWS($J$2:J570),$J$2:$J$1001,0),0), INDEX($Q$1004:$U$1004,1,MATCH(COLUMNS($Q$1006:Q1006),$Q$1006:$U$1006,0)))),"Fix")))</f>
        <v xml:space="preserve"> </v>
      </c>
      <c r="C570" s="3" t="str">
        <f ca="1">IF(OR(INDEX($K$2:$K$1001,MATCH(ROWS($J$2:J570),$J$2:$J$1001,0),1)&gt;=100000,INDEX($Q$1005:$U$1005,1,MATCH(COLUMNS($Q$1006:R1006),$Q$1006:$U$1006,0))&gt;=100000), " ",IF(INDEX($Q$2:$U$1001,MATCH(ROWS($J$2:J570),$J$2:$J$1001,0),MATCH(COLUMNS($Q$1006:R1006),$Q$1006:$U$1006,0)), HYPERLINK("#",""), HYPERLINK(CONCATENATE("#Metadata!", ADDRESS(INDEX($L$2:$L$1001,MATCH(ROWS($J$2:J570),$J$2:$J$1001,0),0), INDEX($Q$1004:$U$1004,1,MATCH(COLUMNS($Q$1006:R1006),$Q$1006:$U$1006,0)))),"Fix")))</f>
        <v xml:space="preserve"> </v>
      </c>
      <c r="D570" s="3" t="str">
        <f ca="1">IF(OR(INDEX($K$2:$K$1001,MATCH(ROWS($J$2:J570),$J$2:$J$1001,0),1)&gt;=100000,INDEX($Q$1005:$U$1005,1,MATCH(COLUMNS($Q$1006:S1006),$Q$1006:$U$1006,0))&gt;=100000), " ",IF(INDEX($Q$2:$U$1001,MATCH(ROWS($J$2:J570),$J$2:$J$1001,0),MATCH(COLUMNS($Q$1006:S1006),$Q$1006:$U$1006,0)), HYPERLINK("#",""), HYPERLINK(CONCATENATE("#Metadata!", ADDRESS(INDEX($L$2:$L$1001,MATCH(ROWS($J$2:J570),$J$2:$J$1001,0),0), INDEX($Q$1004:$U$1004,1,MATCH(COLUMNS($Q$1006:S1006),$Q$1006:$U$1006,0)))),"Fix")))</f>
        <v xml:space="preserve"> </v>
      </c>
      <c r="E570" s="3" t="str">
        <f ca="1">IF(OR(INDEX($K$2:$K$1001,MATCH(ROWS($J$2:J570),$J$2:$J$1001,0),1)&gt;=100000,INDEX($Q$1005:$U$1005,1,MATCH(COLUMNS($Q$1006:T1006),$Q$1006:$U$1006,0))&gt;=100000), " ",IF(INDEX($Q$2:$U$1001,MATCH(ROWS($J$2:J570),$J$2:$J$1001,0),MATCH(COLUMNS($Q$1006:T1006),$Q$1006:$U$1006,0)), HYPERLINK("#",""), HYPERLINK(CONCATENATE("#Metadata!", ADDRESS(INDEX($L$2:$L$1001,MATCH(ROWS($J$2:J570),$J$2:$J$1001,0),0), INDEX($Q$1004:$U$1004,1,MATCH(COLUMNS($Q$1006:T1006),$Q$1006:$U$1006,0)))),"Fix")))</f>
        <v xml:space="preserve"> </v>
      </c>
      <c r="F570" s="3" t="str">
        <f ca="1">IF(OR(INDEX($K$2:$K$1001,MATCH(ROWS($J$2:J570),$J$2:$J$1001,0),1)&gt;=100000,INDEX($Q$1005:$U$1005,1,MATCH(COLUMNS($Q$1006:U1006),$Q$1006:$U$1006,0))&gt;=100000), " ",IF(INDEX($Q$2:$U$1001,MATCH(ROWS($J$2:J570),$J$2:$J$1001,0),MATCH(COLUMNS($Q$1006:U1006),$Q$1006:$U$1006,0)), HYPERLINK("#",""), HYPERLINK(CONCATENATE("#Metadata!", ADDRESS(INDEX($L$2:$L$1001,MATCH(ROWS($J$2:J570),$J$2:$J$1001,0),0), INDEX($Q$1004:$U$1004,1,MATCH(COLUMNS($Q$1006:U1006),$Q$1006:$U$1006,0)))),"Fix")))</f>
        <v xml:space="preserve"> </v>
      </c>
      <c r="J570">
        <f ca="1"/>
        <v>569</v>
      </c>
      <c r="K570">
        <v>100570</v>
      </c>
      <c r="L570">
        <v>570</v>
      </c>
      <c r="M570" t="b">
        <f t="shared" si="8"/>
        <v>1</v>
      </c>
      <c r="N570" t="b">
        <f>COUNTBLANK(Metadata!B570:F570)=COLUMNS(Metadata!B570:F570)</f>
        <v>1</v>
      </c>
      <c r="O570" t="str">
        <v/>
      </c>
      <c r="Q570" t="b">
        <f ca="1"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R570" t="b">
        <f>IF(Metadata!C570="",FALSE,TRUE)</f>
        <v>0</v>
      </c>
      <c r="S570" t="b">
        <f>OR(AND(IF(Metadata!D570="",FALSE,TRUE),EXACT(Metadata!D570,"missing: not collected")),AND(IF(Metadata!D570="",FALSE,TRUE),OR(EXACT(Metadata!D570,"t"),EXACT(Metadata!D570,"f"))))</f>
        <v>0</v>
      </c>
      <c r="T570" t="b">
        <f>AND(IF(Metadata!E570="",FALSE,TRUE),OR(EXACT(Metadata!E570,"a"),EXACT(Metadata!E570,"b")))</f>
        <v>0</v>
      </c>
      <c r="U570" t="b">
        <f>OR(AND(IF(Metadata!F570="",FALSE,TRUE),OR(EXACT(Metadata!F570,"missing: not collected"),EXACT(Metadata!F570,"missing: not provided"))),AND(IF(Metadata!F570="",FALSE,TRUE),OR(EXACT(Metadata!F570,"lo"),EXACT(Metadata!F570,"med"),EXACT(Metadata!F570,"hi"))))</f>
        <v>0</v>
      </c>
    </row>
    <row r="571" spans="1:21" x14ac:dyDescent="0.2">
      <c r="A571" s="4" t="str">
        <f ca="1">IF(B571=" "," ",HYPERLINK(CONCATENATE("#metadata!",ADDRESS(INDEX($L$2:$L$1001,MATCH(ROWS($J$2:J571),$J$2:$J$1001,0),0),1)),INDEX($O$2:$O$1001,MATCH(ROWS($J$2:J571),$J$2:$J$1001,0),0)))</f>
        <v xml:space="preserve"> </v>
      </c>
      <c r="B571" s="3" t="str">
        <f ca="1">IF(OR(INDEX($K$2:$K$1001,MATCH(ROWS($J$2:J571),$J$2:$J$1001,0),1)&gt;=100000,INDEX($Q$1005:$U$1005,1,MATCH(COLUMNS($Q$1006:Q1006),$Q$1006:$U$1006,0))&gt;=100000), " ",IF(INDEX($Q$2:$U$1001,MATCH(ROWS($J$2:J571),$J$2:$J$1001,0),MATCH(COLUMNS($Q$1006:Q1006),$Q$1006:$U$1006,0)), HYPERLINK("#",""), HYPERLINK(CONCATENATE("#Metadata!", ADDRESS(INDEX($L$2:$L$1001,MATCH(ROWS($J$2:J571),$J$2:$J$1001,0),0), INDEX($Q$1004:$U$1004,1,MATCH(COLUMNS($Q$1006:Q1006),$Q$1006:$U$1006,0)))),"Fix")))</f>
        <v xml:space="preserve"> </v>
      </c>
      <c r="C571" s="3" t="str">
        <f ca="1">IF(OR(INDEX($K$2:$K$1001,MATCH(ROWS($J$2:J571),$J$2:$J$1001,0),1)&gt;=100000,INDEX($Q$1005:$U$1005,1,MATCH(COLUMNS($Q$1006:R1006),$Q$1006:$U$1006,0))&gt;=100000), " ",IF(INDEX($Q$2:$U$1001,MATCH(ROWS($J$2:J571),$J$2:$J$1001,0),MATCH(COLUMNS($Q$1006:R1006),$Q$1006:$U$1006,0)), HYPERLINK("#",""), HYPERLINK(CONCATENATE("#Metadata!", ADDRESS(INDEX($L$2:$L$1001,MATCH(ROWS($J$2:J571),$J$2:$J$1001,0),0), INDEX($Q$1004:$U$1004,1,MATCH(COLUMNS($Q$1006:R1006),$Q$1006:$U$1006,0)))),"Fix")))</f>
        <v xml:space="preserve"> </v>
      </c>
      <c r="D571" s="3" t="str">
        <f ca="1">IF(OR(INDEX($K$2:$K$1001,MATCH(ROWS($J$2:J571),$J$2:$J$1001,0),1)&gt;=100000,INDEX($Q$1005:$U$1005,1,MATCH(COLUMNS($Q$1006:S1006),$Q$1006:$U$1006,0))&gt;=100000), " ",IF(INDEX($Q$2:$U$1001,MATCH(ROWS($J$2:J571),$J$2:$J$1001,0),MATCH(COLUMNS($Q$1006:S1006),$Q$1006:$U$1006,0)), HYPERLINK("#",""), HYPERLINK(CONCATENATE("#Metadata!", ADDRESS(INDEX($L$2:$L$1001,MATCH(ROWS($J$2:J571),$J$2:$J$1001,0),0), INDEX($Q$1004:$U$1004,1,MATCH(COLUMNS($Q$1006:S1006),$Q$1006:$U$1006,0)))),"Fix")))</f>
        <v xml:space="preserve"> </v>
      </c>
      <c r="E571" s="3" t="str">
        <f ca="1">IF(OR(INDEX($K$2:$K$1001,MATCH(ROWS($J$2:J571),$J$2:$J$1001,0),1)&gt;=100000,INDEX($Q$1005:$U$1005,1,MATCH(COLUMNS($Q$1006:T1006),$Q$1006:$U$1006,0))&gt;=100000), " ",IF(INDEX($Q$2:$U$1001,MATCH(ROWS($J$2:J571),$J$2:$J$1001,0),MATCH(COLUMNS($Q$1006:T1006),$Q$1006:$U$1006,0)), HYPERLINK("#",""), HYPERLINK(CONCATENATE("#Metadata!", ADDRESS(INDEX($L$2:$L$1001,MATCH(ROWS($J$2:J571),$J$2:$J$1001,0),0), INDEX($Q$1004:$U$1004,1,MATCH(COLUMNS($Q$1006:T1006),$Q$1006:$U$1006,0)))),"Fix")))</f>
        <v xml:space="preserve"> </v>
      </c>
      <c r="F571" s="3" t="str">
        <f ca="1">IF(OR(INDEX($K$2:$K$1001,MATCH(ROWS($J$2:J571),$J$2:$J$1001,0),1)&gt;=100000,INDEX($Q$1005:$U$1005,1,MATCH(COLUMNS($Q$1006:U1006),$Q$1006:$U$1006,0))&gt;=100000), " ",IF(INDEX($Q$2:$U$1001,MATCH(ROWS($J$2:J571),$J$2:$J$1001,0),MATCH(COLUMNS($Q$1006:U1006),$Q$1006:$U$1006,0)), HYPERLINK("#",""), HYPERLINK(CONCATENATE("#Metadata!", ADDRESS(INDEX($L$2:$L$1001,MATCH(ROWS($J$2:J571),$J$2:$J$1001,0),0), INDEX($Q$1004:$U$1004,1,MATCH(COLUMNS($Q$1006:U1006),$Q$1006:$U$1006,0)))),"Fix")))</f>
        <v xml:space="preserve"> </v>
      </c>
      <c r="J571">
        <f ca="1"/>
        <v>570</v>
      </c>
      <c r="K571">
        <v>100571</v>
      </c>
      <c r="L571">
        <v>571</v>
      </c>
      <c r="M571" t="b">
        <f t="shared" si="8"/>
        <v>1</v>
      </c>
      <c r="N571" t="b">
        <f>COUNTBLANK(Metadata!B571:F571)=COLUMNS(Metadata!B571:F571)</f>
        <v>1</v>
      </c>
      <c r="O571" t="str">
        <v/>
      </c>
      <c r="Q571" t="b">
        <f ca="1"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R571" t="b">
        <f>IF(Metadata!C571="",FALSE,TRUE)</f>
        <v>0</v>
      </c>
      <c r="S571" t="b">
        <f>OR(AND(IF(Metadata!D571="",FALSE,TRUE),EXACT(Metadata!D571,"missing: not collected")),AND(IF(Metadata!D571="",FALSE,TRUE),OR(EXACT(Metadata!D571,"t"),EXACT(Metadata!D571,"f"))))</f>
        <v>0</v>
      </c>
      <c r="T571" t="b">
        <f>AND(IF(Metadata!E571="",FALSE,TRUE),OR(EXACT(Metadata!E571,"a"),EXACT(Metadata!E571,"b")))</f>
        <v>0</v>
      </c>
      <c r="U571" t="b">
        <f>OR(AND(IF(Metadata!F571="",FALSE,TRUE),OR(EXACT(Metadata!F571,"missing: not collected"),EXACT(Metadata!F571,"missing: not provided"))),AND(IF(Metadata!F571="",FALSE,TRUE),OR(EXACT(Metadata!F571,"lo"),EXACT(Metadata!F571,"med"),EXACT(Metadata!F571,"hi"))))</f>
        <v>0</v>
      </c>
    </row>
    <row r="572" spans="1:21" x14ac:dyDescent="0.2">
      <c r="A572" s="4" t="str">
        <f ca="1">IF(B572=" "," ",HYPERLINK(CONCATENATE("#metadata!",ADDRESS(INDEX($L$2:$L$1001,MATCH(ROWS($J$2:J572),$J$2:$J$1001,0),0),1)),INDEX($O$2:$O$1001,MATCH(ROWS($J$2:J572),$J$2:$J$1001,0),0)))</f>
        <v xml:space="preserve"> </v>
      </c>
      <c r="B572" s="3" t="str">
        <f ca="1">IF(OR(INDEX($K$2:$K$1001,MATCH(ROWS($J$2:J572),$J$2:$J$1001,0),1)&gt;=100000,INDEX($Q$1005:$U$1005,1,MATCH(COLUMNS($Q$1006:Q1006),$Q$1006:$U$1006,0))&gt;=100000), " ",IF(INDEX($Q$2:$U$1001,MATCH(ROWS($J$2:J572),$J$2:$J$1001,0),MATCH(COLUMNS($Q$1006:Q1006),$Q$1006:$U$1006,0)), HYPERLINK("#",""), HYPERLINK(CONCATENATE("#Metadata!", ADDRESS(INDEX($L$2:$L$1001,MATCH(ROWS($J$2:J572),$J$2:$J$1001,0),0), INDEX($Q$1004:$U$1004,1,MATCH(COLUMNS($Q$1006:Q1006),$Q$1006:$U$1006,0)))),"Fix")))</f>
        <v xml:space="preserve"> </v>
      </c>
      <c r="C572" s="3" t="str">
        <f ca="1">IF(OR(INDEX($K$2:$K$1001,MATCH(ROWS($J$2:J572),$J$2:$J$1001,0),1)&gt;=100000,INDEX($Q$1005:$U$1005,1,MATCH(COLUMNS($Q$1006:R1006),$Q$1006:$U$1006,0))&gt;=100000), " ",IF(INDEX($Q$2:$U$1001,MATCH(ROWS($J$2:J572),$J$2:$J$1001,0),MATCH(COLUMNS($Q$1006:R1006),$Q$1006:$U$1006,0)), HYPERLINK("#",""), HYPERLINK(CONCATENATE("#Metadata!", ADDRESS(INDEX($L$2:$L$1001,MATCH(ROWS($J$2:J572),$J$2:$J$1001,0),0), INDEX($Q$1004:$U$1004,1,MATCH(COLUMNS($Q$1006:R1006),$Q$1006:$U$1006,0)))),"Fix")))</f>
        <v xml:space="preserve"> </v>
      </c>
      <c r="D572" s="3" t="str">
        <f ca="1">IF(OR(INDEX($K$2:$K$1001,MATCH(ROWS($J$2:J572),$J$2:$J$1001,0),1)&gt;=100000,INDEX($Q$1005:$U$1005,1,MATCH(COLUMNS($Q$1006:S1006),$Q$1006:$U$1006,0))&gt;=100000), " ",IF(INDEX($Q$2:$U$1001,MATCH(ROWS($J$2:J572),$J$2:$J$1001,0),MATCH(COLUMNS($Q$1006:S1006),$Q$1006:$U$1006,0)), HYPERLINK("#",""), HYPERLINK(CONCATENATE("#Metadata!", ADDRESS(INDEX($L$2:$L$1001,MATCH(ROWS($J$2:J572),$J$2:$J$1001,0),0), INDEX($Q$1004:$U$1004,1,MATCH(COLUMNS($Q$1006:S1006),$Q$1006:$U$1006,0)))),"Fix")))</f>
        <v xml:space="preserve"> </v>
      </c>
      <c r="E572" s="3" t="str">
        <f ca="1">IF(OR(INDEX($K$2:$K$1001,MATCH(ROWS($J$2:J572),$J$2:$J$1001,0),1)&gt;=100000,INDEX($Q$1005:$U$1005,1,MATCH(COLUMNS($Q$1006:T1006),$Q$1006:$U$1006,0))&gt;=100000), " ",IF(INDEX($Q$2:$U$1001,MATCH(ROWS($J$2:J572),$J$2:$J$1001,0),MATCH(COLUMNS($Q$1006:T1006),$Q$1006:$U$1006,0)), HYPERLINK("#",""), HYPERLINK(CONCATENATE("#Metadata!", ADDRESS(INDEX($L$2:$L$1001,MATCH(ROWS($J$2:J572),$J$2:$J$1001,0),0), INDEX($Q$1004:$U$1004,1,MATCH(COLUMNS($Q$1006:T1006),$Q$1006:$U$1006,0)))),"Fix")))</f>
        <v xml:space="preserve"> </v>
      </c>
      <c r="F572" s="3" t="str">
        <f ca="1">IF(OR(INDEX($K$2:$K$1001,MATCH(ROWS($J$2:J572),$J$2:$J$1001,0),1)&gt;=100000,INDEX($Q$1005:$U$1005,1,MATCH(COLUMNS($Q$1006:U1006),$Q$1006:$U$1006,0))&gt;=100000), " ",IF(INDEX($Q$2:$U$1001,MATCH(ROWS($J$2:J572),$J$2:$J$1001,0),MATCH(COLUMNS($Q$1006:U1006),$Q$1006:$U$1006,0)), HYPERLINK("#",""), HYPERLINK(CONCATENATE("#Metadata!", ADDRESS(INDEX($L$2:$L$1001,MATCH(ROWS($J$2:J572),$J$2:$J$1001,0),0), INDEX($Q$1004:$U$1004,1,MATCH(COLUMNS($Q$1006:U1006),$Q$1006:$U$1006,0)))),"Fix")))</f>
        <v xml:space="preserve"> </v>
      </c>
      <c r="J572">
        <f ca="1"/>
        <v>571</v>
      </c>
      <c r="K572">
        <v>100572</v>
      </c>
      <c r="L572">
        <v>572</v>
      </c>
      <c r="M572" t="b">
        <f t="shared" si="8"/>
        <v>1</v>
      </c>
      <c r="N572" t="b">
        <f>COUNTBLANK(Metadata!B572:F572)=COLUMNS(Metadata!B572:F572)</f>
        <v>1</v>
      </c>
      <c r="O572" t="str">
        <v/>
      </c>
      <c r="Q572" t="b">
        <f ca="1"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R572" t="b">
        <f>IF(Metadata!C572="",FALSE,TRUE)</f>
        <v>0</v>
      </c>
      <c r="S572" t="b">
        <f>OR(AND(IF(Metadata!D572="",FALSE,TRUE),EXACT(Metadata!D572,"missing: not collected")),AND(IF(Metadata!D572="",FALSE,TRUE),OR(EXACT(Metadata!D572,"t"),EXACT(Metadata!D572,"f"))))</f>
        <v>0</v>
      </c>
      <c r="T572" t="b">
        <f>AND(IF(Metadata!E572="",FALSE,TRUE),OR(EXACT(Metadata!E572,"a"),EXACT(Metadata!E572,"b")))</f>
        <v>0</v>
      </c>
      <c r="U572" t="b">
        <f>OR(AND(IF(Metadata!F572="",FALSE,TRUE),OR(EXACT(Metadata!F572,"missing: not collected"),EXACT(Metadata!F572,"missing: not provided"))),AND(IF(Metadata!F572="",FALSE,TRUE),OR(EXACT(Metadata!F572,"lo"),EXACT(Metadata!F572,"med"),EXACT(Metadata!F572,"hi"))))</f>
        <v>0</v>
      </c>
    </row>
    <row r="573" spans="1:21" x14ac:dyDescent="0.2">
      <c r="A573" s="4" t="str">
        <f ca="1">IF(B573=" "," ",HYPERLINK(CONCATENATE("#metadata!",ADDRESS(INDEX($L$2:$L$1001,MATCH(ROWS($J$2:J573),$J$2:$J$1001,0),0),1)),INDEX($O$2:$O$1001,MATCH(ROWS($J$2:J573),$J$2:$J$1001,0),0)))</f>
        <v xml:space="preserve"> </v>
      </c>
      <c r="B573" s="3" t="str">
        <f ca="1">IF(OR(INDEX($K$2:$K$1001,MATCH(ROWS($J$2:J573),$J$2:$J$1001,0),1)&gt;=100000,INDEX($Q$1005:$U$1005,1,MATCH(COLUMNS($Q$1006:Q1006),$Q$1006:$U$1006,0))&gt;=100000), " ",IF(INDEX($Q$2:$U$1001,MATCH(ROWS($J$2:J573),$J$2:$J$1001,0),MATCH(COLUMNS($Q$1006:Q1006),$Q$1006:$U$1006,0)), HYPERLINK("#",""), HYPERLINK(CONCATENATE("#Metadata!", ADDRESS(INDEX($L$2:$L$1001,MATCH(ROWS($J$2:J573),$J$2:$J$1001,0),0), INDEX($Q$1004:$U$1004,1,MATCH(COLUMNS($Q$1006:Q1006),$Q$1006:$U$1006,0)))),"Fix")))</f>
        <v xml:space="preserve"> </v>
      </c>
      <c r="C573" s="3" t="str">
        <f ca="1">IF(OR(INDEX($K$2:$K$1001,MATCH(ROWS($J$2:J573),$J$2:$J$1001,0),1)&gt;=100000,INDEX($Q$1005:$U$1005,1,MATCH(COLUMNS($Q$1006:R1006),$Q$1006:$U$1006,0))&gt;=100000), " ",IF(INDEX($Q$2:$U$1001,MATCH(ROWS($J$2:J573),$J$2:$J$1001,0),MATCH(COLUMNS($Q$1006:R1006),$Q$1006:$U$1006,0)), HYPERLINK("#",""), HYPERLINK(CONCATENATE("#Metadata!", ADDRESS(INDEX($L$2:$L$1001,MATCH(ROWS($J$2:J573),$J$2:$J$1001,0),0), INDEX($Q$1004:$U$1004,1,MATCH(COLUMNS($Q$1006:R1006),$Q$1006:$U$1006,0)))),"Fix")))</f>
        <v xml:space="preserve"> </v>
      </c>
      <c r="D573" s="3" t="str">
        <f ca="1">IF(OR(INDEX($K$2:$K$1001,MATCH(ROWS($J$2:J573),$J$2:$J$1001,0),1)&gt;=100000,INDEX($Q$1005:$U$1005,1,MATCH(COLUMNS($Q$1006:S1006),$Q$1006:$U$1006,0))&gt;=100000), " ",IF(INDEX($Q$2:$U$1001,MATCH(ROWS($J$2:J573),$J$2:$J$1001,0),MATCH(COLUMNS($Q$1006:S1006),$Q$1006:$U$1006,0)), HYPERLINK("#",""), HYPERLINK(CONCATENATE("#Metadata!", ADDRESS(INDEX($L$2:$L$1001,MATCH(ROWS($J$2:J573),$J$2:$J$1001,0),0), INDEX($Q$1004:$U$1004,1,MATCH(COLUMNS($Q$1006:S1006),$Q$1006:$U$1006,0)))),"Fix")))</f>
        <v xml:space="preserve"> </v>
      </c>
      <c r="E573" s="3" t="str">
        <f ca="1">IF(OR(INDEX($K$2:$K$1001,MATCH(ROWS($J$2:J573),$J$2:$J$1001,0),1)&gt;=100000,INDEX($Q$1005:$U$1005,1,MATCH(COLUMNS($Q$1006:T1006),$Q$1006:$U$1006,0))&gt;=100000), " ",IF(INDEX($Q$2:$U$1001,MATCH(ROWS($J$2:J573),$J$2:$J$1001,0),MATCH(COLUMNS($Q$1006:T1006),$Q$1006:$U$1006,0)), HYPERLINK("#",""), HYPERLINK(CONCATENATE("#Metadata!", ADDRESS(INDEX($L$2:$L$1001,MATCH(ROWS($J$2:J573),$J$2:$J$1001,0),0), INDEX($Q$1004:$U$1004,1,MATCH(COLUMNS($Q$1006:T1006),$Q$1006:$U$1006,0)))),"Fix")))</f>
        <v xml:space="preserve"> </v>
      </c>
      <c r="F573" s="3" t="str">
        <f ca="1">IF(OR(INDEX($K$2:$K$1001,MATCH(ROWS($J$2:J573),$J$2:$J$1001,0),1)&gt;=100000,INDEX($Q$1005:$U$1005,1,MATCH(COLUMNS($Q$1006:U1006),$Q$1006:$U$1006,0))&gt;=100000), " ",IF(INDEX($Q$2:$U$1001,MATCH(ROWS($J$2:J573),$J$2:$J$1001,0),MATCH(COLUMNS($Q$1006:U1006),$Q$1006:$U$1006,0)), HYPERLINK("#",""), HYPERLINK(CONCATENATE("#Metadata!", ADDRESS(INDEX($L$2:$L$1001,MATCH(ROWS($J$2:J573),$J$2:$J$1001,0),0), INDEX($Q$1004:$U$1004,1,MATCH(COLUMNS($Q$1006:U1006),$Q$1006:$U$1006,0)))),"Fix")))</f>
        <v xml:space="preserve"> </v>
      </c>
      <c r="J573">
        <f ca="1"/>
        <v>572</v>
      </c>
      <c r="K573">
        <v>100573</v>
      </c>
      <c r="L573">
        <v>573</v>
      </c>
      <c r="M573" t="b">
        <f t="shared" si="8"/>
        <v>1</v>
      </c>
      <c r="N573" t="b">
        <f>COUNTBLANK(Metadata!B573:F573)=COLUMNS(Metadata!B573:F573)</f>
        <v>1</v>
      </c>
      <c r="O573" t="str">
        <v/>
      </c>
      <c r="Q573" t="b">
        <f ca="1"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R573" t="b">
        <f>IF(Metadata!C573="",FALSE,TRUE)</f>
        <v>0</v>
      </c>
      <c r="S573" t="b">
        <f>OR(AND(IF(Metadata!D573="",FALSE,TRUE),EXACT(Metadata!D573,"missing: not collected")),AND(IF(Metadata!D573="",FALSE,TRUE),OR(EXACT(Metadata!D573,"t"),EXACT(Metadata!D573,"f"))))</f>
        <v>0</v>
      </c>
      <c r="T573" t="b">
        <f>AND(IF(Metadata!E573="",FALSE,TRUE),OR(EXACT(Metadata!E573,"a"),EXACT(Metadata!E573,"b")))</f>
        <v>0</v>
      </c>
      <c r="U573" t="b">
        <f>OR(AND(IF(Metadata!F573="",FALSE,TRUE),OR(EXACT(Metadata!F573,"missing: not collected"),EXACT(Metadata!F573,"missing: not provided"))),AND(IF(Metadata!F573="",FALSE,TRUE),OR(EXACT(Metadata!F573,"lo"),EXACT(Metadata!F573,"med"),EXACT(Metadata!F573,"hi"))))</f>
        <v>0</v>
      </c>
    </row>
    <row r="574" spans="1:21" x14ac:dyDescent="0.2">
      <c r="A574" s="4" t="str">
        <f ca="1">IF(B574=" "," ",HYPERLINK(CONCATENATE("#metadata!",ADDRESS(INDEX($L$2:$L$1001,MATCH(ROWS($J$2:J574),$J$2:$J$1001,0),0),1)),INDEX($O$2:$O$1001,MATCH(ROWS($J$2:J574),$J$2:$J$1001,0),0)))</f>
        <v xml:space="preserve"> </v>
      </c>
      <c r="B574" s="3" t="str">
        <f ca="1">IF(OR(INDEX($K$2:$K$1001,MATCH(ROWS($J$2:J574),$J$2:$J$1001,0),1)&gt;=100000,INDEX($Q$1005:$U$1005,1,MATCH(COLUMNS($Q$1006:Q1006),$Q$1006:$U$1006,0))&gt;=100000), " ",IF(INDEX($Q$2:$U$1001,MATCH(ROWS($J$2:J574),$J$2:$J$1001,0),MATCH(COLUMNS($Q$1006:Q1006),$Q$1006:$U$1006,0)), HYPERLINK("#",""), HYPERLINK(CONCATENATE("#Metadata!", ADDRESS(INDEX($L$2:$L$1001,MATCH(ROWS($J$2:J574),$J$2:$J$1001,0),0), INDEX($Q$1004:$U$1004,1,MATCH(COLUMNS($Q$1006:Q1006),$Q$1006:$U$1006,0)))),"Fix")))</f>
        <v xml:space="preserve"> </v>
      </c>
      <c r="C574" s="3" t="str">
        <f ca="1">IF(OR(INDEX($K$2:$K$1001,MATCH(ROWS($J$2:J574),$J$2:$J$1001,0),1)&gt;=100000,INDEX($Q$1005:$U$1005,1,MATCH(COLUMNS($Q$1006:R1006),$Q$1006:$U$1006,0))&gt;=100000), " ",IF(INDEX($Q$2:$U$1001,MATCH(ROWS($J$2:J574),$J$2:$J$1001,0),MATCH(COLUMNS($Q$1006:R1006),$Q$1006:$U$1006,0)), HYPERLINK("#",""), HYPERLINK(CONCATENATE("#Metadata!", ADDRESS(INDEX($L$2:$L$1001,MATCH(ROWS($J$2:J574),$J$2:$J$1001,0),0), INDEX($Q$1004:$U$1004,1,MATCH(COLUMNS($Q$1006:R1006),$Q$1006:$U$1006,0)))),"Fix")))</f>
        <v xml:space="preserve"> </v>
      </c>
      <c r="D574" s="3" t="str">
        <f ca="1">IF(OR(INDEX($K$2:$K$1001,MATCH(ROWS($J$2:J574),$J$2:$J$1001,0),1)&gt;=100000,INDEX($Q$1005:$U$1005,1,MATCH(COLUMNS($Q$1006:S1006),$Q$1006:$U$1006,0))&gt;=100000), " ",IF(INDEX($Q$2:$U$1001,MATCH(ROWS($J$2:J574),$J$2:$J$1001,0),MATCH(COLUMNS($Q$1006:S1006),$Q$1006:$U$1006,0)), HYPERLINK("#",""), HYPERLINK(CONCATENATE("#Metadata!", ADDRESS(INDEX($L$2:$L$1001,MATCH(ROWS($J$2:J574),$J$2:$J$1001,0),0), INDEX($Q$1004:$U$1004,1,MATCH(COLUMNS($Q$1006:S1006),$Q$1006:$U$1006,0)))),"Fix")))</f>
        <v xml:space="preserve"> </v>
      </c>
      <c r="E574" s="3" t="str">
        <f ca="1">IF(OR(INDEX($K$2:$K$1001,MATCH(ROWS($J$2:J574),$J$2:$J$1001,0),1)&gt;=100000,INDEX($Q$1005:$U$1005,1,MATCH(COLUMNS($Q$1006:T1006),$Q$1006:$U$1006,0))&gt;=100000), " ",IF(INDEX($Q$2:$U$1001,MATCH(ROWS($J$2:J574),$J$2:$J$1001,0),MATCH(COLUMNS($Q$1006:T1006),$Q$1006:$U$1006,0)), HYPERLINK("#",""), HYPERLINK(CONCATENATE("#Metadata!", ADDRESS(INDEX($L$2:$L$1001,MATCH(ROWS($J$2:J574),$J$2:$J$1001,0),0), INDEX($Q$1004:$U$1004,1,MATCH(COLUMNS($Q$1006:T1006),$Q$1006:$U$1006,0)))),"Fix")))</f>
        <v xml:space="preserve"> </v>
      </c>
      <c r="F574" s="3" t="str">
        <f ca="1">IF(OR(INDEX($K$2:$K$1001,MATCH(ROWS($J$2:J574),$J$2:$J$1001,0),1)&gt;=100000,INDEX($Q$1005:$U$1005,1,MATCH(COLUMNS($Q$1006:U1006),$Q$1006:$U$1006,0))&gt;=100000), " ",IF(INDEX($Q$2:$U$1001,MATCH(ROWS($J$2:J574),$J$2:$J$1001,0),MATCH(COLUMNS($Q$1006:U1006),$Q$1006:$U$1006,0)), HYPERLINK("#",""), HYPERLINK(CONCATENATE("#Metadata!", ADDRESS(INDEX($L$2:$L$1001,MATCH(ROWS($J$2:J574),$J$2:$J$1001,0),0), INDEX($Q$1004:$U$1004,1,MATCH(COLUMNS($Q$1006:U1006),$Q$1006:$U$1006,0)))),"Fix")))</f>
        <v xml:space="preserve"> </v>
      </c>
      <c r="J574">
        <f ca="1"/>
        <v>573</v>
      </c>
      <c r="K574">
        <v>100574</v>
      </c>
      <c r="L574">
        <v>574</v>
      </c>
      <c r="M574" t="b">
        <f t="shared" si="8"/>
        <v>1</v>
      </c>
      <c r="N574" t="b">
        <f>COUNTBLANK(Metadata!B574:F574)=COLUMNS(Metadata!B574:F574)</f>
        <v>1</v>
      </c>
      <c r="O574" t="str">
        <v/>
      </c>
      <c r="Q574" t="b">
        <f ca="1"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R574" t="b">
        <f>IF(Metadata!C574="",FALSE,TRUE)</f>
        <v>0</v>
      </c>
      <c r="S574" t="b">
        <f>OR(AND(IF(Metadata!D574="",FALSE,TRUE),EXACT(Metadata!D574,"missing: not collected")),AND(IF(Metadata!D574="",FALSE,TRUE),OR(EXACT(Metadata!D574,"t"),EXACT(Metadata!D574,"f"))))</f>
        <v>0</v>
      </c>
      <c r="T574" t="b">
        <f>AND(IF(Metadata!E574="",FALSE,TRUE),OR(EXACT(Metadata!E574,"a"),EXACT(Metadata!E574,"b")))</f>
        <v>0</v>
      </c>
      <c r="U574" t="b">
        <f>OR(AND(IF(Metadata!F574="",FALSE,TRUE),OR(EXACT(Metadata!F574,"missing: not collected"),EXACT(Metadata!F574,"missing: not provided"))),AND(IF(Metadata!F574="",FALSE,TRUE),OR(EXACT(Metadata!F574,"lo"),EXACT(Metadata!F574,"med"),EXACT(Metadata!F574,"hi"))))</f>
        <v>0</v>
      </c>
    </row>
    <row r="575" spans="1:21" x14ac:dyDescent="0.2">
      <c r="A575" s="4" t="str">
        <f ca="1">IF(B575=" "," ",HYPERLINK(CONCATENATE("#metadata!",ADDRESS(INDEX($L$2:$L$1001,MATCH(ROWS($J$2:J575),$J$2:$J$1001,0),0),1)),INDEX($O$2:$O$1001,MATCH(ROWS($J$2:J575),$J$2:$J$1001,0),0)))</f>
        <v xml:space="preserve"> </v>
      </c>
      <c r="B575" s="3" t="str">
        <f ca="1">IF(OR(INDEX($K$2:$K$1001,MATCH(ROWS($J$2:J575),$J$2:$J$1001,0),1)&gt;=100000,INDEX($Q$1005:$U$1005,1,MATCH(COLUMNS($Q$1006:Q1006),$Q$1006:$U$1006,0))&gt;=100000), " ",IF(INDEX($Q$2:$U$1001,MATCH(ROWS($J$2:J575),$J$2:$J$1001,0),MATCH(COLUMNS($Q$1006:Q1006),$Q$1006:$U$1006,0)), HYPERLINK("#",""), HYPERLINK(CONCATENATE("#Metadata!", ADDRESS(INDEX($L$2:$L$1001,MATCH(ROWS($J$2:J575),$J$2:$J$1001,0),0), INDEX($Q$1004:$U$1004,1,MATCH(COLUMNS($Q$1006:Q1006),$Q$1006:$U$1006,0)))),"Fix")))</f>
        <v xml:space="preserve"> </v>
      </c>
      <c r="C575" s="3" t="str">
        <f ca="1">IF(OR(INDEX($K$2:$K$1001,MATCH(ROWS($J$2:J575),$J$2:$J$1001,0),1)&gt;=100000,INDEX($Q$1005:$U$1005,1,MATCH(COLUMNS($Q$1006:R1006),$Q$1006:$U$1006,0))&gt;=100000), " ",IF(INDEX($Q$2:$U$1001,MATCH(ROWS($J$2:J575),$J$2:$J$1001,0),MATCH(COLUMNS($Q$1006:R1006),$Q$1006:$U$1006,0)), HYPERLINK("#",""), HYPERLINK(CONCATENATE("#Metadata!", ADDRESS(INDEX($L$2:$L$1001,MATCH(ROWS($J$2:J575),$J$2:$J$1001,0),0), INDEX($Q$1004:$U$1004,1,MATCH(COLUMNS($Q$1006:R1006),$Q$1006:$U$1006,0)))),"Fix")))</f>
        <v xml:space="preserve"> </v>
      </c>
      <c r="D575" s="3" t="str">
        <f ca="1">IF(OR(INDEX($K$2:$K$1001,MATCH(ROWS($J$2:J575),$J$2:$J$1001,0),1)&gt;=100000,INDEX($Q$1005:$U$1005,1,MATCH(COLUMNS($Q$1006:S1006),$Q$1006:$U$1006,0))&gt;=100000), " ",IF(INDEX($Q$2:$U$1001,MATCH(ROWS($J$2:J575),$J$2:$J$1001,0),MATCH(COLUMNS($Q$1006:S1006),$Q$1006:$U$1006,0)), HYPERLINK("#",""), HYPERLINK(CONCATENATE("#Metadata!", ADDRESS(INDEX($L$2:$L$1001,MATCH(ROWS($J$2:J575),$J$2:$J$1001,0),0), INDEX($Q$1004:$U$1004,1,MATCH(COLUMNS($Q$1006:S1006),$Q$1006:$U$1006,0)))),"Fix")))</f>
        <v xml:space="preserve"> </v>
      </c>
      <c r="E575" s="3" t="str">
        <f ca="1">IF(OR(INDEX($K$2:$K$1001,MATCH(ROWS($J$2:J575),$J$2:$J$1001,0),1)&gt;=100000,INDEX($Q$1005:$U$1005,1,MATCH(COLUMNS($Q$1006:T1006),$Q$1006:$U$1006,0))&gt;=100000), " ",IF(INDEX($Q$2:$U$1001,MATCH(ROWS($J$2:J575),$J$2:$J$1001,0),MATCH(COLUMNS($Q$1006:T1006),$Q$1006:$U$1006,0)), HYPERLINK("#",""), HYPERLINK(CONCATENATE("#Metadata!", ADDRESS(INDEX($L$2:$L$1001,MATCH(ROWS($J$2:J575),$J$2:$J$1001,0),0), INDEX($Q$1004:$U$1004,1,MATCH(COLUMNS($Q$1006:T1006),$Q$1006:$U$1006,0)))),"Fix")))</f>
        <v xml:space="preserve"> </v>
      </c>
      <c r="F575" s="3" t="str">
        <f ca="1">IF(OR(INDEX($K$2:$K$1001,MATCH(ROWS($J$2:J575),$J$2:$J$1001,0),1)&gt;=100000,INDEX($Q$1005:$U$1005,1,MATCH(COLUMNS($Q$1006:U1006),$Q$1006:$U$1006,0))&gt;=100000), " ",IF(INDEX($Q$2:$U$1001,MATCH(ROWS($J$2:J575),$J$2:$J$1001,0),MATCH(COLUMNS($Q$1006:U1006),$Q$1006:$U$1006,0)), HYPERLINK("#",""), HYPERLINK(CONCATENATE("#Metadata!", ADDRESS(INDEX($L$2:$L$1001,MATCH(ROWS($J$2:J575),$J$2:$J$1001,0),0), INDEX($Q$1004:$U$1004,1,MATCH(COLUMNS($Q$1006:U1006),$Q$1006:$U$1006,0)))),"Fix")))</f>
        <v xml:space="preserve"> </v>
      </c>
      <c r="J575">
        <f ca="1"/>
        <v>574</v>
      </c>
      <c r="K575">
        <v>100575</v>
      </c>
      <c r="L575">
        <v>575</v>
      </c>
      <c r="M575" t="b">
        <f t="shared" si="8"/>
        <v>1</v>
      </c>
      <c r="N575" t="b">
        <f>COUNTBLANK(Metadata!B575:F575)=COLUMNS(Metadata!B575:F575)</f>
        <v>1</v>
      </c>
      <c r="O575" t="str">
        <v/>
      </c>
      <c r="Q575" t="b">
        <f ca="1"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R575" t="b">
        <f>IF(Metadata!C575="",FALSE,TRUE)</f>
        <v>0</v>
      </c>
      <c r="S575" t="b">
        <f>OR(AND(IF(Metadata!D575="",FALSE,TRUE),EXACT(Metadata!D575,"missing: not collected")),AND(IF(Metadata!D575="",FALSE,TRUE),OR(EXACT(Metadata!D575,"t"),EXACT(Metadata!D575,"f"))))</f>
        <v>0</v>
      </c>
      <c r="T575" t="b">
        <f>AND(IF(Metadata!E575="",FALSE,TRUE),OR(EXACT(Metadata!E575,"a"),EXACT(Metadata!E575,"b")))</f>
        <v>0</v>
      </c>
      <c r="U575" t="b">
        <f>OR(AND(IF(Metadata!F575="",FALSE,TRUE),OR(EXACT(Metadata!F575,"missing: not collected"),EXACT(Metadata!F575,"missing: not provided"))),AND(IF(Metadata!F575="",FALSE,TRUE),OR(EXACT(Metadata!F575,"lo"),EXACT(Metadata!F575,"med"),EXACT(Metadata!F575,"hi"))))</f>
        <v>0</v>
      </c>
    </row>
    <row r="576" spans="1:21" x14ac:dyDescent="0.2">
      <c r="A576" s="4" t="str">
        <f ca="1">IF(B576=" "," ",HYPERLINK(CONCATENATE("#metadata!",ADDRESS(INDEX($L$2:$L$1001,MATCH(ROWS($J$2:J576),$J$2:$J$1001,0),0),1)),INDEX($O$2:$O$1001,MATCH(ROWS($J$2:J576),$J$2:$J$1001,0),0)))</f>
        <v xml:space="preserve"> </v>
      </c>
      <c r="B576" s="3" t="str">
        <f ca="1">IF(OR(INDEX($K$2:$K$1001,MATCH(ROWS($J$2:J576),$J$2:$J$1001,0),1)&gt;=100000,INDEX($Q$1005:$U$1005,1,MATCH(COLUMNS($Q$1006:Q1006),$Q$1006:$U$1006,0))&gt;=100000), " ",IF(INDEX($Q$2:$U$1001,MATCH(ROWS($J$2:J576),$J$2:$J$1001,0),MATCH(COLUMNS($Q$1006:Q1006),$Q$1006:$U$1006,0)), HYPERLINK("#",""), HYPERLINK(CONCATENATE("#Metadata!", ADDRESS(INDEX($L$2:$L$1001,MATCH(ROWS($J$2:J576),$J$2:$J$1001,0),0), INDEX($Q$1004:$U$1004,1,MATCH(COLUMNS($Q$1006:Q1006),$Q$1006:$U$1006,0)))),"Fix")))</f>
        <v xml:space="preserve"> </v>
      </c>
      <c r="C576" s="3" t="str">
        <f ca="1">IF(OR(INDEX($K$2:$K$1001,MATCH(ROWS($J$2:J576),$J$2:$J$1001,0),1)&gt;=100000,INDEX($Q$1005:$U$1005,1,MATCH(COLUMNS($Q$1006:R1006),$Q$1006:$U$1006,0))&gt;=100000), " ",IF(INDEX($Q$2:$U$1001,MATCH(ROWS($J$2:J576),$J$2:$J$1001,0),MATCH(COLUMNS($Q$1006:R1006),$Q$1006:$U$1006,0)), HYPERLINK("#",""), HYPERLINK(CONCATENATE("#Metadata!", ADDRESS(INDEX($L$2:$L$1001,MATCH(ROWS($J$2:J576),$J$2:$J$1001,0),0), INDEX($Q$1004:$U$1004,1,MATCH(COLUMNS($Q$1006:R1006),$Q$1006:$U$1006,0)))),"Fix")))</f>
        <v xml:space="preserve"> </v>
      </c>
      <c r="D576" s="3" t="str">
        <f ca="1">IF(OR(INDEX($K$2:$K$1001,MATCH(ROWS($J$2:J576),$J$2:$J$1001,0),1)&gt;=100000,INDEX($Q$1005:$U$1005,1,MATCH(COLUMNS($Q$1006:S1006),$Q$1006:$U$1006,0))&gt;=100000), " ",IF(INDEX($Q$2:$U$1001,MATCH(ROWS($J$2:J576),$J$2:$J$1001,0),MATCH(COLUMNS($Q$1006:S1006),$Q$1006:$U$1006,0)), HYPERLINK("#",""), HYPERLINK(CONCATENATE("#Metadata!", ADDRESS(INDEX($L$2:$L$1001,MATCH(ROWS($J$2:J576),$J$2:$J$1001,0),0), INDEX($Q$1004:$U$1004,1,MATCH(COLUMNS($Q$1006:S1006),$Q$1006:$U$1006,0)))),"Fix")))</f>
        <v xml:space="preserve"> </v>
      </c>
      <c r="E576" s="3" t="str">
        <f ca="1">IF(OR(INDEX($K$2:$K$1001,MATCH(ROWS($J$2:J576),$J$2:$J$1001,0),1)&gt;=100000,INDEX($Q$1005:$U$1005,1,MATCH(COLUMNS($Q$1006:T1006),$Q$1006:$U$1006,0))&gt;=100000), " ",IF(INDEX($Q$2:$U$1001,MATCH(ROWS($J$2:J576),$J$2:$J$1001,0),MATCH(COLUMNS($Q$1006:T1006),$Q$1006:$U$1006,0)), HYPERLINK("#",""), HYPERLINK(CONCATENATE("#Metadata!", ADDRESS(INDEX($L$2:$L$1001,MATCH(ROWS($J$2:J576),$J$2:$J$1001,0),0), INDEX($Q$1004:$U$1004,1,MATCH(COLUMNS($Q$1006:T1006),$Q$1006:$U$1006,0)))),"Fix")))</f>
        <v xml:space="preserve"> </v>
      </c>
      <c r="F576" s="3" t="str">
        <f ca="1">IF(OR(INDEX($K$2:$K$1001,MATCH(ROWS($J$2:J576),$J$2:$J$1001,0),1)&gt;=100000,INDEX($Q$1005:$U$1005,1,MATCH(COLUMNS($Q$1006:U1006),$Q$1006:$U$1006,0))&gt;=100000), " ",IF(INDEX($Q$2:$U$1001,MATCH(ROWS($J$2:J576),$J$2:$J$1001,0),MATCH(COLUMNS($Q$1006:U1006),$Q$1006:$U$1006,0)), HYPERLINK("#",""), HYPERLINK(CONCATENATE("#Metadata!", ADDRESS(INDEX($L$2:$L$1001,MATCH(ROWS($J$2:J576),$J$2:$J$1001,0),0), INDEX($Q$1004:$U$1004,1,MATCH(COLUMNS($Q$1006:U1006),$Q$1006:$U$1006,0)))),"Fix")))</f>
        <v xml:space="preserve"> </v>
      </c>
      <c r="J576">
        <f ca="1"/>
        <v>575</v>
      </c>
      <c r="K576">
        <v>100576</v>
      </c>
      <c r="L576">
        <v>576</v>
      </c>
      <c r="M576" t="b">
        <f t="shared" si="8"/>
        <v>1</v>
      </c>
      <c r="N576" t="b">
        <f>COUNTBLANK(Metadata!B576:F576)=COLUMNS(Metadata!B576:F576)</f>
        <v>1</v>
      </c>
      <c r="O576" t="str">
        <v/>
      </c>
      <c r="Q576" t="b">
        <f ca="1"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R576" t="b">
        <f>IF(Metadata!C576="",FALSE,TRUE)</f>
        <v>0</v>
      </c>
      <c r="S576" t="b">
        <f>OR(AND(IF(Metadata!D576="",FALSE,TRUE),EXACT(Metadata!D576,"missing: not collected")),AND(IF(Metadata!D576="",FALSE,TRUE),OR(EXACT(Metadata!D576,"t"),EXACT(Metadata!D576,"f"))))</f>
        <v>0</v>
      </c>
      <c r="T576" t="b">
        <f>AND(IF(Metadata!E576="",FALSE,TRUE),OR(EXACT(Metadata!E576,"a"),EXACT(Metadata!E576,"b")))</f>
        <v>0</v>
      </c>
      <c r="U576" t="b">
        <f>OR(AND(IF(Metadata!F576="",FALSE,TRUE),OR(EXACT(Metadata!F576,"missing: not collected"),EXACT(Metadata!F576,"missing: not provided"))),AND(IF(Metadata!F576="",FALSE,TRUE),OR(EXACT(Metadata!F576,"lo"),EXACT(Metadata!F576,"med"),EXACT(Metadata!F576,"hi"))))</f>
        <v>0</v>
      </c>
    </row>
    <row r="577" spans="1:21" x14ac:dyDescent="0.2">
      <c r="A577" s="4" t="str">
        <f ca="1">IF(B577=" "," ",HYPERLINK(CONCATENATE("#metadata!",ADDRESS(INDEX($L$2:$L$1001,MATCH(ROWS($J$2:J577),$J$2:$J$1001,0),0),1)),INDEX($O$2:$O$1001,MATCH(ROWS($J$2:J577),$J$2:$J$1001,0),0)))</f>
        <v xml:space="preserve"> </v>
      </c>
      <c r="B577" s="3" t="str">
        <f ca="1">IF(OR(INDEX($K$2:$K$1001,MATCH(ROWS($J$2:J577),$J$2:$J$1001,0),1)&gt;=100000,INDEX($Q$1005:$U$1005,1,MATCH(COLUMNS($Q$1006:Q1006),$Q$1006:$U$1006,0))&gt;=100000), " ",IF(INDEX($Q$2:$U$1001,MATCH(ROWS($J$2:J577),$J$2:$J$1001,0),MATCH(COLUMNS($Q$1006:Q1006),$Q$1006:$U$1006,0)), HYPERLINK("#",""), HYPERLINK(CONCATENATE("#Metadata!", ADDRESS(INDEX($L$2:$L$1001,MATCH(ROWS($J$2:J577),$J$2:$J$1001,0),0), INDEX($Q$1004:$U$1004,1,MATCH(COLUMNS($Q$1006:Q1006),$Q$1006:$U$1006,0)))),"Fix")))</f>
        <v xml:space="preserve"> </v>
      </c>
      <c r="C577" s="3" t="str">
        <f ca="1">IF(OR(INDEX($K$2:$K$1001,MATCH(ROWS($J$2:J577),$J$2:$J$1001,0),1)&gt;=100000,INDEX($Q$1005:$U$1005,1,MATCH(COLUMNS($Q$1006:R1006),$Q$1006:$U$1006,0))&gt;=100000), " ",IF(INDEX($Q$2:$U$1001,MATCH(ROWS($J$2:J577),$J$2:$J$1001,0),MATCH(COLUMNS($Q$1006:R1006),$Q$1006:$U$1006,0)), HYPERLINK("#",""), HYPERLINK(CONCATENATE("#Metadata!", ADDRESS(INDEX($L$2:$L$1001,MATCH(ROWS($J$2:J577),$J$2:$J$1001,0),0), INDEX($Q$1004:$U$1004,1,MATCH(COLUMNS($Q$1006:R1006),$Q$1006:$U$1006,0)))),"Fix")))</f>
        <v xml:space="preserve"> </v>
      </c>
      <c r="D577" s="3" t="str">
        <f ca="1">IF(OR(INDEX($K$2:$K$1001,MATCH(ROWS($J$2:J577),$J$2:$J$1001,0),1)&gt;=100000,INDEX($Q$1005:$U$1005,1,MATCH(COLUMNS($Q$1006:S1006),$Q$1006:$U$1006,0))&gt;=100000), " ",IF(INDEX($Q$2:$U$1001,MATCH(ROWS($J$2:J577),$J$2:$J$1001,0),MATCH(COLUMNS($Q$1006:S1006),$Q$1006:$U$1006,0)), HYPERLINK("#",""), HYPERLINK(CONCATENATE("#Metadata!", ADDRESS(INDEX($L$2:$L$1001,MATCH(ROWS($J$2:J577),$J$2:$J$1001,0),0), INDEX($Q$1004:$U$1004,1,MATCH(COLUMNS($Q$1006:S1006),$Q$1006:$U$1006,0)))),"Fix")))</f>
        <v xml:space="preserve"> </v>
      </c>
      <c r="E577" s="3" t="str">
        <f ca="1">IF(OR(INDEX($K$2:$K$1001,MATCH(ROWS($J$2:J577),$J$2:$J$1001,0),1)&gt;=100000,INDEX($Q$1005:$U$1005,1,MATCH(COLUMNS($Q$1006:T1006),$Q$1006:$U$1006,0))&gt;=100000), " ",IF(INDEX($Q$2:$U$1001,MATCH(ROWS($J$2:J577),$J$2:$J$1001,0),MATCH(COLUMNS($Q$1006:T1006),$Q$1006:$U$1006,0)), HYPERLINK("#",""), HYPERLINK(CONCATENATE("#Metadata!", ADDRESS(INDEX($L$2:$L$1001,MATCH(ROWS($J$2:J577),$J$2:$J$1001,0),0), INDEX($Q$1004:$U$1004,1,MATCH(COLUMNS($Q$1006:T1006),$Q$1006:$U$1006,0)))),"Fix")))</f>
        <v xml:space="preserve"> </v>
      </c>
      <c r="F577" s="3" t="str">
        <f ca="1">IF(OR(INDEX($K$2:$K$1001,MATCH(ROWS($J$2:J577),$J$2:$J$1001,0),1)&gt;=100000,INDEX($Q$1005:$U$1005,1,MATCH(COLUMNS($Q$1006:U1006),$Q$1006:$U$1006,0))&gt;=100000), " ",IF(INDEX($Q$2:$U$1001,MATCH(ROWS($J$2:J577),$J$2:$J$1001,0),MATCH(COLUMNS($Q$1006:U1006),$Q$1006:$U$1006,0)), HYPERLINK("#",""), HYPERLINK(CONCATENATE("#Metadata!", ADDRESS(INDEX($L$2:$L$1001,MATCH(ROWS($J$2:J577),$J$2:$J$1001,0),0), INDEX($Q$1004:$U$1004,1,MATCH(COLUMNS($Q$1006:U1006),$Q$1006:$U$1006,0)))),"Fix")))</f>
        <v xml:space="preserve"> </v>
      </c>
      <c r="J577">
        <f ca="1"/>
        <v>576</v>
      </c>
      <c r="K577">
        <v>100577</v>
      </c>
      <c r="L577">
        <v>577</v>
      </c>
      <c r="M577" t="b">
        <f t="shared" si="8"/>
        <v>1</v>
      </c>
      <c r="N577" t="b">
        <f>COUNTBLANK(Metadata!B577:F577)=COLUMNS(Metadata!B577:F577)</f>
        <v>1</v>
      </c>
      <c r="O577" t="str">
        <v/>
      </c>
      <c r="Q577" t="b">
        <f ca="1"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R577" t="b">
        <f>IF(Metadata!C577="",FALSE,TRUE)</f>
        <v>0</v>
      </c>
      <c r="S577" t="b">
        <f>OR(AND(IF(Metadata!D577="",FALSE,TRUE),EXACT(Metadata!D577,"missing: not collected")),AND(IF(Metadata!D577="",FALSE,TRUE),OR(EXACT(Metadata!D577,"t"),EXACT(Metadata!D577,"f"))))</f>
        <v>0</v>
      </c>
      <c r="T577" t="b">
        <f>AND(IF(Metadata!E577="",FALSE,TRUE),OR(EXACT(Metadata!E577,"a"),EXACT(Metadata!E577,"b")))</f>
        <v>0</v>
      </c>
      <c r="U577" t="b">
        <f>OR(AND(IF(Metadata!F577="",FALSE,TRUE),OR(EXACT(Metadata!F577,"missing: not collected"),EXACT(Metadata!F577,"missing: not provided"))),AND(IF(Metadata!F577="",FALSE,TRUE),OR(EXACT(Metadata!F577,"lo"),EXACT(Metadata!F577,"med"),EXACT(Metadata!F577,"hi"))))</f>
        <v>0</v>
      </c>
    </row>
    <row r="578" spans="1:21" x14ac:dyDescent="0.2">
      <c r="A578" s="4" t="str">
        <f ca="1">IF(B578=" "," ",HYPERLINK(CONCATENATE("#metadata!",ADDRESS(INDEX($L$2:$L$1001,MATCH(ROWS($J$2:J578),$J$2:$J$1001,0),0),1)),INDEX($O$2:$O$1001,MATCH(ROWS($J$2:J578),$J$2:$J$1001,0),0)))</f>
        <v xml:space="preserve"> </v>
      </c>
      <c r="B578" s="3" t="str">
        <f ca="1">IF(OR(INDEX($K$2:$K$1001,MATCH(ROWS($J$2:J578),$J$2:$J$1001,0),1)&gt;=100000,INDEX($Q$1005:$U$1005,1,MATCH(COLUMNS($Q$1006:Q1006),$Q$1006:$U$1006,0))&gt;=100000), " ",IF(INDEX($Q$2:$U$1001,MATCH(ROWS($J$2:J578),$J$2:$J$1001,0),MATCH(COLUMNS($Q$1006:Q1006),$Q$1006:$U$1006,0)), HYPERLINK("#",""), HYPERLINK(CONCATENATE("#Metadata!", ADDRESS(INDEX($L$2:$L$1001,MATCH(ROWS($J$2:J578),$J$2:$J$1001,0),0), INDEX($Q$1004:$U$1004,1,MATCH(COLUMNS($Q$1006:Q1006),$Q$1006:$U$1006,0)))),"Fix")))</f>
        <v xml:space="preserve"> </v>
      </c>
      <c r="C578" s="3" t="str">
        <f ca="1">IF(OR(INDEX($K$2:$K$1001,MATCH(ROWS($J$2:J578),$J$2:$J$1001,0),1)&gt;=100000,INDEX($Q$1005:$U$1005,1,MATCH(COLUMNS($Q$1006:R1006),$Q$1006:$U$1006,0))&gt;=100000), " ",IF(INDEX($Q$2:$U$1001,MATCH(ROWS($J$2:J578),$J$2:$J$1001,0),MATCH(COLUMNS($Q$1006:R1006),$Q$1006:$U$1006,0)), HYPERLINK("#",""), HYPERLINK(CONCATENATE("#Metadata!", ADDRESS(INDEX($L$2:$L$1001,MATCH(ROWS($J$2:J578),$J$2:$J$1001,0),0), INDEX($Q$1004:$U$1004,1,MATCH(COLUMNS($Q$1006:R1006),$Q$1006:$U$1006,0)))),"Fix")))</f>
        <v xml:space="preserve"> </v>
      </c>
      <c r="D578" s="3" t="str">
        <f ca="1">IF(OR(INDEX($K$2:$K$1001,MATCH(ROWS($J$2:J578),$J$2:$J$1001,0),1)&gt;=100000,INDEX($Q$1005:$U$1005,1,MATCH(COLUMNS($Q$1006:S1006),$Q$1006:$U$1006,0))&gt;=100000), " ",IF(INDEX($Q$2:$U$1001,MATCH(ROWS($J$2:J578),$J$2:$J$1001,0),MATCH(COLUMNS($Q$1006:S1006),$Q$1006:$U$1006,0)), HYPERLINK("#",""), HYPERLINK(CONCATENATE("#Metadata!", ADDRESS(INDEX($L$2:$L$1001,MATCH(ROWS($J$2:J578),$J$2:$J$1001,0),0), INDEX($Q$1004:$U$1004,1,MATCH(COLUMNS($Q$1006:S1006),$Q$1006:$U$1006,0)))),"Fix")))</f>
        <v xml:space="preserve"> </v>
      </c>
      <c r="E578" s="3" t="str">
        <f ca="1">IF(OR(INDEX($K$2:$K$1001,MATCH(ROWS($J$2:J578),$J$2:$J$1001,0),1)&gt;=100000,INDEX($Q$1005:$U$1005,1,MATCH(COLUMNS($Q$1006:T1006),$Q$1006:$U$1006,0))&gt;=100000), " ",IF(INDEX($Q$2:$U$1001,MATCH(ROWS($J$2:J578),$J$2:$J$1001,0),MATCH(COLUMNS($Q$1006:T1006),$Q$1006:$U$1006,0)), HYPERLINK("#",""), HYPERLINK(CONCATENATE("#Metadata!", ADDRESS(INDEX($L$2:$L$1001,MATCH(ROWS($J$2:J578),$J$2:$J$1001,0),0), INDEX($Q$1004:$U$1004,1,MATCH(COLUMNS($Q$1006:T1006),$Q$1006:$U$1006,0)))),"Fix")))</f>
        <v xml:space="preserve"> </v>
      </c>
      <c r="F578" s="3" t="str">
        <f ca="1">IF(OR(INDEX($K$2:$K$1001,MATCH(ROWS($J$2:J578),$J$2:$J$1001,0),1)&gt;=100000,INDEX($Q$1005:$U$1005,1,MATCH(COLUMNS($Q$1006:U1006),$Q$1006:$U$1006,0))&gt;=100000), " ",IF(INDEX($Q$2:$U$1001,MATCH(ROWS($J$2:J578),$J$2:$J$1001,0),MATCH(COLUMNS($Q$1006:U1006),$Q$1006:$U$1006,0)), HYPERLINK("#",""), HYPERLINK(CONCATENATE("#Metadata!", ADDRESS(INDEX($L$2:$L$1001,MATCH(ROWS($J$2:J578),$J$2:$J$1001,0),0), INDEX($Q$1004:$U$1004,1,MATCH(COLUMNS($Q$1006:U1006),$Q$1006:$U$1006,0)))),"Fix")))</f>
        <v xml:space="preserve"> </v>
      </c>
      <c r="J578">
        <f ca="1"/>
        <v>577</v>
      </c>
      <c r="K578">
        <v>100578</v>
      </c>
      <c r="L578">
        <v>578</v>
      </c>
      <c r="M578" t="b">
        <f t="shared" ref="M578:M641" si="9">IF(N578,TRUE,AND(Q578:U578))</f>
        <v>1</v>
      </c>
      <c r="N578" t="b">
        <f>COUNTBLANK(Metadata!B578:F578)=COLUMNS(Metadata!B578:F578)</f>
        <v>1</v>
      </c>
      <c r="O578" t="str">
        <v/>
      </c>
      <c r="Q578" t="b">
        <f ca="1"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R578" t="b">
        <f>IF(Metadata!C578="",FALSE,TRUE)</f>
        <v>0</v>
      </c>
      <c r="S578" t="b">
        <f>OR(AND(IF(Metadata!D578="",FALSE,TRUE),EXACT(Metadata!D578,"missing: not collected")),AND(IF(Metadata!D578="",FALSE,TRUE),OR(EXACT(Metadata!D578,"t"),EXACT(Metadata!D578,"f"))))</f>
        <v>0</v>
      </c>
      <c r="T578" t="b">
        <f>AND(IF(Metadata!E578="",FALSE,TRUE),OR(EXACT(Metadata!E578,"a"),EXACT(Metadata!E578,"b")))</f>
        <v>0</v>
      </c>
      <c r="U578" t="b">
        <f>OR(AND(IF(Metadata!F578="",FALSE,TRUE),OR(EXACT(Metadata!F578,"missing: not collected"),EXACT(Metadata!F578,"missing: not provided"))),AND(IF(Metadata!F578="",FALSE,TRUE),OR(EXACT(Metadata!F578,"lo"),EXACT(Metadata!F578,"med"),EXACT(Metadata!F578,"hi"))))</f>
        <v>0</v>
      </c>
    </row>
    <row r="579" spans="1:21" x14ac:dyDescent="0.2">
      <c r="A579" s="4" t="str">
        <f ca="1">IF(B579=" "," ",HYPERLINK(CONCATENATE("#metadata!",ADDRESS(INDEX($L$2:$L$1001,MATCH(ROWS($J$2:J579),$J$2:$J$1001,0),0),1)),INDEX($O$2:$O$1001,MATCH(ROWS($J$2:J579),$J$2:$J$1001,0),0)))</f>
        <v xml:space="preserve"> </v>
      </c>
      <c r="B579" s="3" t="str">
        <f ca="1">IF(OR(INDEX($K$2:$K$1001,MATCH(ROWS($J$2:J579),$J$2:$J$1001,0),1)&gt;=100000,INDEX($Q$1005:$U$1005,1,MATCH(COLUMNS($Q$1006:Q1006),$Q$1006:$U$1006,0))&gt;=100000), " ",IF(INDEX($Q$2:$U$1001,MATCH(ROWS($J$2:J579),$J$2:$J$1001,0),MATCH(COLUMNS($Q$1006:Q1006),$Q$1006:$U$1006,0)), HYPERLINK("#",""), HYPERLINK(CONCATENATE("#Metadata!", ADDRESS(INDEX($L$2:$L$1001,MATCH(ROWS($J$2:J579),$J$2:$J$1001,0),0), INDEX($Q$1004:$U$1004,1,MATCH(COLUMNS($Q$1006:Q1006),$Q$1006:$U$1006,0)))),"Fix")))</f>
        <v xml:space="preserve"> </v>
      </c>
      <c r="C579" s="3" t="str">
        <f ca="1">IF(OR(INDEX($K$2:$K$1001,MATCH(ROWS($J$2:J579),$J$2:$J$1001,0),1)&gt;=100000,INDEX($Q$1005:$U$1005,1,MATCH(COLUMNS($Q$1006:R1006),$Q$1006:$U$1006,0))&gt;=100000), " ",IF(INDEX($Q$2:$U$1001,MATCH(ROWS($J$2:J579),$J$2:$J$1001,0),MATCH(COLUMNS($Q$1006:R1006),$Q$1006:$U$1006,0)), HYPERLINK("#",""), HYPERLINK(CONCATENATE("#Metadata!", ADDRESS(INDEX($L$2:$L$1001,MATCH(ROWS($J$2:J579),$J$2:$J$1001,0),0), INDEX($Q$1004:$U$1004,1,MATCH(COLUMNS($Q$1006:R1006),$Q$1006:$U$1006,0)))),"Fix")))</f>
        <v xml:space="preserve"> </v>
      </c>
      <c r="D579" s="3" t="str">
        <f ca="1">IF(OR(INDEX($K$2:$K$1001,MATCH(ROWS($J$2:J579),$J$2:$J$1001,0),1)&gt;=100000,INDEX($Q$1005:$U$1005,1,MATCH(COLUMNS($Q$1006:S1006),$Q$1006:$U$1006,0))&gt;=100000), " ",IF(INDEX($Q$2:$U$1001,MATCH(ROWS($J$2:J579),$J$2:$J$1001,0),MATCH(COLUMNS($Q$1006:S1006),$Q$1006:$U$1006,0)), HYPERLINK("#",""), HYPERLINK(CONCATENATE("#Metadata!", ADDRESS(INDEX($L$2:$L$1001,MATCH(ROWS($J$2:J579),$J$2:$J$1001,0),0), INDEX($Q$1004:$U$1004,1,MATCH(COLUMNS($Q$1006:S1006),$Q$1006:$U$1006,0)))),"Fix")))</f>
        <v xml:space="preserve"> </v>
      </c>
      <c r="E579" s="3" t="str">
        <f ca="1">IF(OR(INDEX($K$2:$K$1001,MATCH(ROWS($J$2:J579),$J$2:$J$1001,0),1)&gt;=100000,INDEX($Q$1005:$U$1005,1,MATCH(COLUMNS($Q$1006:T1006),$Q$1006:$U$1006,0))&gt;=100000), " ",IF(INDEX($Q$2:$U$1001,MATCH(ROWS($J$2:J579),$J$2:$J$1001,0),MATCH(COLUMNS($Q$1006:T1006),$Q$1006:$U$1006,0)), HYPERLINK("#",""), HYPERLINK(CONCATENATE("#Metadata!", ADDRESS(INDEX($L$2:$L$1001,MATCH(ROWS($J$2:J579),$J$2:$J$1001,0),0), INDEX($Q$1004:$U$1004,1,MATCH(COLUMNS($Q$1006:T1006),$Q$1006:$U$1006,0)))),"Fix")))</f>
        <v xml:space="preserve"> </v>
      </c>
      <c r="F579" s="3" t="str">
        <f ca="1">IF(OR(INDEX($K$2:$K$1001,MATCH(ROWS($J$2:J579),$J$2:$J$1001,0),1)&gt;=100000,INDEX($Q$1005:$U$1005,1,MATCH(COLUMNS($Q$1006:U1006),$Q$1006:$U$1006,0))&gt;=100000), " ",IF(INDEX($Q$2:$U$1001,MATCH(ROWS($J$2:J579),$J$2:$J$1001,0),MATCH(COLUMNS($Q$1006:U1006),$Q$1006:$U$1006,0)), HYPERLINK("#",""), HYPERLINK(CONCATENATE("#Metadata!", ADDRESS(INDEX($L$2:$L$1001,MATCH(ROWS($J$2:J579),$J$2:$J$1001,0),0), INDEX($Q$1004:$U$1004,1,MATCH(COLUMNS($Q$1006:U1006),$Q$1006:$U$1006,0)))),"Fix")))</f>
        <v xml:space="preserve"> </v>
      </c>
      <c r="J579">
        <f ca="1"/>
        <v>578</v>
      </c>
      <c r="K579">
        <v>100579</v>
      </c>
      <c r="L579">
        <v>579</v>
      </c>
      <c r="M579" t="b">
        <f t="shared" si="9"/>
        <v>1</v>
      </c>
      <c r="N579" t="b">
        <f>COUNTBLANK(Metadata!B579:F579)=COLUMNS(Metadata!B579:F579)</f>
        <v>1</v>
      </c>
      <c r="O579" t="str">
        <v/>
      </c>
      <c r="Q579" t="b">
        <f ca="1"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R579" t="b">
        <f>IF(Metadata!C579="",FALSE,TRUE)</f>
        <v>0</v>
      </c>
      <c r="S579" t="b">
        <f>OR(AND(IF(Metadata!D579="",FALSE,TRUE),EXACT(Metadata!D579,"missing: not collected")),AND(IF(Metadata!D579="",FALSE,TRUE),OR(EXACT(Metadata!D579,"t"),EXACT(Metadata!D579,"f"))))</f>
        <v>0</v>
      </c>
      <c r="T579" t="b">
        <f>AND(IF(Metadata!E579="",FALSE,TRUE),OR(EXACT(Metadata!E579,"a"),EXACT(Metadata!E579,"b")))</f>
        <v>0</v>
      </c>
      <c r="U579" t="b">
        <f>OR(AND(IF(Metadata!F579="",FALSE,TRUE),OR(EXACT(Metadata!F579,"missing: not collected"),EXACT(Metadata!F579,"missing: not provided"))),AND(IF(Metadata!F579="",FALSE,TRUE),OR(EXACT(Metadata!F579,"lo"),EXACT(Metadata!F579,"med"),EXACT(Metadata!F579,"hi"))))</f>
        <v>0</v>
      </c>
    </row>
    <row r="580" spans="1:21" x14ac:dyDescent="0.2">
      <c r="A580" s="4" t="str">
        <f ca="1">IF(B580=" "," ",HYPERLINK(CONCATENATE("#metadata!",ADDRESS(INDEX($L$2:$L$1001,MATCH(ROWS($J$2:J580),$J$2:$J$1001,0),0),1)),INDEX($O$2:$O$1001,MATCH(ROWS($J$2:J580),$J$2:$J$1001,0),0)))</f>
        <v xml:space="preserve"> </v>
      </c>
      <c r="B580" s="3" t="str">
        <f ca="1">IF(OR(INDEX($K$2:$K$1001,MATCH(ROWS($J$2:J580),$J$2:$J$1001,0),1)&gt;=100000,INDEX($Q$1005:$U$1005,1,MATCH(COLUMNS($Q$1006:Q1006),$Q$1006:$U$1006,0))&gt;=100000), " ",IF(INDEX($Q$2:$U$1001,MATCH(ROWS($J$2:J580),$J$2:$J$1001,0),MATCH(COLUMNS($Q$1006:Q1006),$Q$1006:$U$1006,0)), HYPERLINK("#",""), HYPERLINK(CONCATENATE("#Metadata!", ADDRESS(INDEX($L$2:$L$1001,MATCH(ROWS($J$2:J580),$J$2:$J$1001,0),0), INDEX($Q$1004:$U$1004,1,MATCH(COLUMNS($Q$1006:Q1006),$Q$1006:$U$1006,0)))),"Fix")))</f>
        <v xml:space="preserve"> </v>
      </c>
      <c r="C580" s="3" t="str">
        <f ca="1">IF(OR(INDEX($K$2:$K$1001,MATCH(ROWS($J$2:J580),$J$2:$J$1001,0),1)&gt;=100000,INDEX($Q$1005:$U$1005,1,MATCH(COLUMNS($Q$1006:R1006),$Q$1006:$U$1006,0))&gt;=100000), " ",IF(INDEX($Q$2:$U$1001,MATCH(ROWS($J$2:J580),$J$2:$J$1001,0),MATCH(COLUMNS($Q$1006:R1006),$Q$1006:$U$1006,0)), HYPERLINK("#",""), HYPERLINK(CONCATENATE("#Metadata!", ADDRESS(INDEX($L$2:$L$1001,MATCH(ROWS($J$2:J580),$J$2:$J$1001,0),0), INDEX($Q$1004:$U$1004,1,MATCH(COLUMNS($Q$1006:R1006),$Q$1006:$U$1006,0)))),"Fix")))</f>
        <v xml:space="preserve"> </v>
      </c>
      <c r="D580" s="3" t="str">
        <f ca="1">IF(OR(INDEX($K$2:$K$1001,MATCH(ROWS($J$2:J580),$J$2:$J$1001,0),1)&gt;=100000,INDEX($Q$1005:$U$1005,1,MATCH(COLUMNS($Q$1006:S1006),$Q$1006:$U$1006,0))&gt;=100000), " ",IF(INDEX($Q$2:$U$1001,MATCH(ROWS($J$2:J580),$J$2:$J$1001,0),MATCH(COLUMNS($Q$1006:S1006),$Q$1006:$U$1006,0)), HYPERLINK("#",""), HYPERLINK(CONCATENATE("#Metadata!", ADDRESS(INDEX($L$2:$L$1001,MATCH(ROWS($J$2:J580),$J$2:$J$1001,0),0), INDEX($Q$1004:$U$1004,1,MATCH(COLUMNS($Q$1006:S1006),$Q$1006:$U$1006,0)))),"Fix")))</f>
        <v xml:space="preserve"> </v>
      </c>
      <c r="E580" s="3" t="str">
        <f ca="1">IF(OR(INDEX($K$2:$K$1001,MATCH(ROWS($J$2:J580),$J$2:$J$1001,0),1)&gt;=100000,INDEX($Q$1005:$U$1005,1,MATCH(COLUMNS($Q$1006:T1006),$Q$1006:$U$1006,0))&gt;=100000), " ",IF(INDEX($Q$2:$U$1001,MATCH(ROWS($J$2:J580),$J$2:$J$1001,0),MATCH(COLUMNS($Q$1006:T1006),$Q$1006:$U$1006,0)), HYPERLINK("#",""), HYPERLINK(CONCATENATE("#Metadata!", ADDRESS(INDEX($L$2:$L$1001,MATCH(ROWS($J$2:J580),$J$2:$J$1001,0),0), INDEX($Q$1004:$U$1004,1,MATCH(COLUMNS($Q$1006:T1006),$Q$1006:$U$1006,0)))),"Fix")))</f>
        <v xml:space="preserve"> </v>
      </c>
      <c r="F580" s="3" t="str">
        <f ca="1">IF(OR(INDEX($K$2:$K$1001,MATCH(ROWS($J$2:J580),$J$2:$J$1001,0),1)&gt;=100000,INDEX($Q$1005:$U$1005,1,MATCH(COLUMNS($Q$1006:U1006),$Q$1006:$U$1006,0))&gt;=100000), " ",IF(INDEX($Q$2:$U$1001,MATCH(ROWS($J$2:J580),$J$2:$J$1001,0),MATCH(COLUMNS($Q$1006:U1006),$Q$1006:$U$1006,0)), HYPERLINK("#",""), HYPERLINK(CONCATENATE("#Metadata!", ADDRESS(INDEX($L$2:$L$1001,MATCH(ROWS($J$2:J580),$J$2:$J$1001,0),0), INDEX($Q$1004:$U$1004,1,MATCH(COLUMNS($Q$1006:U1006),$Q$1006:$U$1006,0)))),"Fix")))</f>
        <v xml:space="preserve"> </v>
      </c>
      <c r="J580">
        <f ca="1"/>
        <v>579</v>
      </c>
      <c r="K580">
        <v>100580</v>
      </c>
      <c r="L580">
        <v>580</v>
      </c>
      <c r="M580" t="b">
        <f t="shared" si="9"/>
        <v>1</v>
      </c>
      <c r="N580" t="b">
        <f>COUNTBLANK(Metadata!B580:F580)=COLUMNS(Metadata!B580:F580)</f>
        <v>1</v>
      </c>
      <c r="O580" t="str">
        <v/>
      </c>
      <c r="Q580" t="b">
        <f ca="1"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R580" t="b">
        <f>IF(Metadata!C580="",FALSE,TRUE)</f>
        <v>0</v>
      </c>
      <c r="S580" t="b">
        <f>OR(AND(IF(Metadata!D580="",FALSE,TRUE),EXACT(Metadata!D580,"missing: not collected")),AND(IF(Metadata!D580="",FALSE,TRUE),OR(EXACT(Metadata!D580,"t"),EXACT(Metadata!D580,"f"))))</f>
        <v>0</v>
      </c>
      <c r="T580" t="b">
        <f>AND(IF(Metadata!E580="",FALSE,TRUE),OR(EXACT(Metadata!E580,"a"),EXACT(Metadata!E580,"b")))</f>
        <v>0</v>
      </c>
      <c r="U580" t="b">
        <f>OR(AND(IF(Metadata!F580="",FALSE,TRUE),OR(EXACT(Metadata!F580,"missing: not collected"),EXACT(Metadata!F580,"missing: not provided"))),AND(IF(Metadata!F580="",FALSE,TRUE),OR(EXACT(Metadata!F580,"lo"),EXACT(Metadata!F580,"med"),EXACT(Metadata!F580,"hi"))))</f>
        <v>0</v>
      </c>
    </row>
    <row r="581" spans="1:21" x14ac:dyDescent="0.2">
      <c r="A581" s="4" t="str">
        <f ca="1">IF(B581=" "," ",HYPERLINK(CONCATENATE("#metadata!",ADDRESS(INDEX($L$2:$L$1001,MATCH(ROWS($J$2:J581),$J$2:$J$1001,0),0),1)),INDEX($O$2:$O$1001,MATCH(ROWS($J$2:J581),$J$2:$J$1001,0),0)))</f>
        <v xml:space="preserve"> </v>
      </c>
      <c r="B581" s="3" t="str">
        <f ca="1">IF(OR(INDEX($K$2:$K$1001,MATCH(ROWS($J$2:J581),$J$2:$J$1001,0),1)&gt;=100000,INDEX($Q$1005:$U$1005,1,MATCH(COLUMNS($Q$1006:Q1006),$Q$1006:$U$1006,0))&gt;=100000), " ",IF(INDEX($Q$2:$U$1001,MATCH(ROWS($J$2:J581),$J$2:$J$1001,0),MATCH(COLUMNS($Q$1006:Q1006),$Q$1006:$U$1006,0)), HYPERLINK("#",""), HYPERLINK(CONCATENATE("#Metadata!", ADDRESS(INDEX($L$2:$L$1001,MATCH(ROWS($J$2:J581),$J$2:$J$1001,0),0), INDEX($Q$1004:$U$1004,1,MATCH(COLUMNS($Q$1006:Q1006),$Q$1006:$U$1006,0)))),"Fix")))</f>
        <v xml:space="preserve"> </v>
      </c>
      <c r="C581" s="3" t="str">
        <f ca="1">IF(OR(INDEX($K$2:$K$1001,MATCH(ROWS($J$2:J581),$J$2:$J$1001,0),1)&gt;=100000,INDEX($Q$1005:$U$1005,1,MATCH(COLUMNS($Q$1006:R1006),$Q$1006:$U$1006,0))&gt;=100000), " ",IF(INDEX($Q$2:$U$1001,MATCH(ROWS($J$2:J581),$J$2:$J$1001,0),MATCH(COLUMNS($Q$1006:R1006),$Q$1006:$U$1006,0)), HYPERLINK("#",""), HYPERLINK(CONCATENATE("#Metadata!", ADDRESS(INDEX($L$2:$L$1001,MATCH(ROWS($J$2:J581),$J$2:$J$1001,0),0), INDEX($Q$1004:$U$1004,1,MATCH(COLUMNS($Q$1006:R1006),$Q$1006:$U$1006,0)))),"Fix")))</f>
        <v xml:space="preserve"> </v>
      </c>
      <c r="D581" s="3" t="str">
        <f ca="1">IF(OR(INDEX($K$2:$K$1001,MATCH(ROWS($J$2:J581),$J$2:$J$1001,0),1)&gt;=100000,INDEX($Q$1005:$U$1005,1,MATCH(COLUMNS($Q$1006:S1006),$Q$1006:$U$1006,0))&gt;=100000), " ",IF(INDEX($Q$2:$U$1001,MATCH(ROWS($J$2:J581),$J$2:$J$1001,0),MATCH(COLUMNS($Q$1006:S1006),$Q$1006:$U$1006,0)), HYPERLINK("#",""), HYPERLINK(CONCATENATE("#Metadata!", ADDRESS(INDEX($L$2:$L$1001,MATCH(ROWS($J$2:J581),$J$2:$J$1001,0),0), INDEX($Q$1004:$U$1004,1,MATCH(COLUMNS($Q$1006:S1006),$Q$1006:$U$1006,0)))),"Fix")))</f>
        <v xml:space="preserve"> </v>
      </c>
      <c r="E581" s="3" t="str">
        <f ca="1">IF(OR(INDEX($K$2:$K$1001,MATCH(ROWS($J$2:J581),$J$2:$J$1001,0),1)&gt;=100000,INDEX($Q$1005:$U$1005,1,MATCH(COLUMNS($Q$1006:T1006),$Q$1006:$U$1006,0))&gt;=100000), " ",IF(INDEX($Q$2:$U$1001,MATCH(ROWS($J$2:J581),$J$2:$J$1001,0),MATCH(COLUMNS($Q$1006:T1006),$Q$1006:$U$1006,0)), HYPERLINK("#",""), HYPERLINK(CONCATENATE("#Metadata!", ADDRESS(INDEX($L$2:$L$1001,MATCH(ROWS($J$2:J581),$J$2:$J$1001,0),0), INDEX($Q$1004:$U$1004,1,MATCH(COLUMNS($Q$1006:T1006),$Q$1006:$U$1006,0)))),"Fix")))</f>
        <v xml:space="preserve"> </v>
      </c>
      <c r="F581" s="3" t="str">
        <f ca="1">IF(OR(INDEX($K$2:$K$1001,MATCH(ROWS($J$2:J581),$J$2:$J$1001,0),1)&gt;=100000,INDEX($Q$1005:$U$1005,1,MATCH(COLUMNS($Q$1006:U1006),$Q$1006:$U$1006,0))&gt;=100000), " ",IF(INDEX($Q$2:$U$1001,MATCH(ROWS($J$2:J581),$J$2:$J$1001,0),MATCH(COLUMNS($Q$1006:U1006),$Q$1006:$U$1006,0)), HYPERLINK("#",""), HYPERLINK(CONCATENATE("#Metadata!", ADDRESS(INDEX($L$2:$L$1001,MATCH(ROWS($J$2:J581),$J$2:$J$1001,0),0), INDEX($Q$1004:$U$1004,1,MATCH(COLUMNS($Q$1006:U1006),$Q$1006:$U$1006,0)))),"Fix")))</f>
        <v xml:space="preserve"> </v>
      </c>
      <c r="J581">
        <f ca="1"/>
        <v>580</v>
      </c>
      <c r="K581">
        <v>100581</v>
      </c>
      <c r="L581">
        <v>581</v>
      </c>
      <c r="M581" t="b">
        <f t="shared" si="9"/>
        <v>1</v>
      </c>
      <c r="N581" t="b">
        <f>COUNTBLANK(Metadata!B581:F581)=COLUMNS(Metadata!B581:F581)</f>
        <v>1</v>
      </c>
      <c r="O581" t="str">
        <v/>
      </c>
      <c r="Q581" t="b">
        <f ca="1"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R581" t="b">
        <f>IF(Metadata!C581="",FALSE,TRUE)</f>
        <v>0</v>
      </c>
      <c r="S581" t="b">
        <f>OR(AND(IF(Metadata!D581="",FALSE,TRUE),EXACT(Metadata!D581,"missing: not collected")),AND(IF(Metadata!D581="",FALSE,TRUE),OR(EXACT(Metadata!D581,"t"),EXACT(Metadata!D581,"f"))))</f>
        <v>0</v>
      </c>
      <c r="T581" t="b">
        <f>AND(IF(Metadata!E581="",FALSE,TRUE),OR(EXACT(Metadata!E581,"a"),EXACT(Metadata!E581,"b")))</f>
        <v>0</v>
      </c>
      <c r="U581" t="b">
        <f>OR(AND(IF(Metadata!F581="",FALSE,TRUE),OR(EXACT(Metadata!F581,"missing: not collected"),EXACT(Metadata!F581,"missing: not provided"))),AND(IF(Metadata!F581="",FALSE,TRUE),OR(EXACT(Metadata!F581,"lo"),EXACT(Metadata!F581,"med"),EXACT(Metadata!F581,"hi"))))</f>
        <v>0</v>
      </c>
    </row>
    <row r="582" spans="1:21" x14ac:dyDescent="0.2">
      <c r="A582" s="4" t="str">
        <f ca="1">IF(B582=" "," ",HYPERLINK(CONCATENATE("#metadata!",ADDRESS(INDEX($L$2:$L$1001,MATCH(ROWS($J$2:J582),$J$2:$J$1001,0),0),1)),INDEX($O$2:$O$1001,MATCH(ROWS($J$2:J582),$J$2:$J$1001,0),0)))</f>
        <v xml:space="preserve"> </v>
      </c>
      <c r="B582" s="3" t="str">
        <f ca="1">IF(OR(INDEX($K$2:$K$1001,MATCH(ROWS($J$2:J582),$J$2:$J$1001,0),1)&gt;=100000,INDEX($Q$1005:$U$1005,1,MATCH(COLUMNS($Q$1006:Q1006),$Q$1006:$U$1006,0))&gt;=100000), " ",IF(INDEX($Q$2:$U$1001,MATCH(ROWS($J$2:J582),$J$2:$J$1001,0),MATCH(COLUMNS($Q$1006:Q1006),$Q$1006:$U$1006,0)), HYPERLINK("#",""), HYPERLINK(CONCATENATE("#Metadata!", ADDRESS(INDEX($L$2:$L$1001,MATCH(ROWS($J$2:J582),$J$2:$J$1001,0),0), INDEX($Q$1004:$U$1004,1,MATCH(COLUMNS($Q$1006:Q1006),$Q$1006:$U$1006,0)))),"Fix")))</f>
        <v xml:space="preserve"> </v>
      </c>
      <c r="C582" s="3" t="str">
        <f ca="1">IF(OR(INDEX($K$2:$K$1001,MATCH(ROWS($J$2:J582),$J$2:$J$1001,0),1)&gt;=100000,INDEX($Q$1005:$U$1005,1,MATCH(COLUMNS($Q$1006:R1006),$Q$1006:$U$1006,0))&gt;=100000), " ",IF(INDEX($Q$2:$U$1001,MATCH(ROWS($J$2:J582),$J$2:$J$1001,0),MATCH(COLUMNS($Q$1006:R1006),$Q$1006:$U$1006,0)), HYPERLINK("#",""), HYPERLINK(CONCATENATE("#Metadata!", ADDRESS(INDEX($L$2:$L$1001,MATCH(ROWS($J$2:J582),$J$2:$J$1001,0),0), INDEX($Q$1004:$U$1004,1,MATCH(COLUMNS($Q$1006:R1006),$Q$1006:$U$1006,0)))),"Fix")))</f>
        <v xml:space="preserve"> </v>
      </c>
      <c r="D582" s="3" t="str">
        <f ca="1">IF(OR(INDEX($K$2:$K$1001,MATCH(ROWS($J$2:J582),$J$2:$J$1001,0),1)&gt;=100000,INDEX($Q$1005:$U$1005,1,MATCH(COLUMNS($Q$1006:S1006),$Q$1006:$U$1006,0))&gt;=100000), " ",IF(INDEX($Q$2:$U$1001,MATCH(ROWS($J$2:J582),$J$2:$J$1001,0),MATCH(COLUMNS($Q$1006:S1006),$Q$1006:$U$1006,0)), HYPERLINK("#",""), HYPERLINK(CONCATENATE("#Metadata!", ADDRESS(INDEX($L$2:$L$1001,MATCH(ROWS($J$2:J582),$J$2:$J$1001,0),0), INDEX($Q$1004:$U$1004,1,MATCH(COLUMNS($Q$1006:S1006),$Q$1006:$U$1006,0)))),"Fix")))</f>
        <v xml:space="preserve"> </v>
      </c>
      <c r="E582" s="3" t="str">
        <f ca="1">IF(OR(INDEX($K$2:$K$1001,MATCH(ROWS($J$2:J582),$J$2:$J$1001,0),1)&gt;=100000,INDEX($Q$1005:$U$1005,1,MATCH(COLUMNS($Q$1006:T1006),$Q$1006:$U$1006,0))&gt;=100000), " ",IF(INDEX($Q$2:$U$1001,MATCH(ROWS($J$2:J582),$J$2:$J$1001,0),MATCH(COLUMNS($Q$1006:T1006),$Q$1006:$U$1006,0)), HYPERLINK("#",""), HYPERLINK(CONCATENATE("#Metadata!", ADDRESS(INDEX($L$2:$L$1001,MATCH(ROWS($J$2:J582),$J$2:$J$1001,0),0), INDEX($Q$1004:$U$1004,1,MATCH(COLUMNS($Q$1006:T1006),$Q$1006:$U$1006,0)))),"Fix")))</f>
        <v xml:space="preserve"> </v>
      </c>
      <c r="F582" s="3" t="str">
        <f ca="1">IF(OR(INDEX($K$2:$K$1001,MATCH(ROWS($J$2:J582),$J$2:$J$1001,0),1)&gt;=100000,INDEX($Q$1005:$U$1005,1,MATCH(COLUMNS($Q$1006:U1006),$Q$1006:$U$1006,0))&gt;=100000), " ",IF(INDEX($Q$2:$U$1001,MATCH(ROWS($J$2:J582),$J$2:$J$1001,0),MATCH(COLUMNS($Q$1006:U1006),$Q$1006:$U$1006,0)), HYPERLINK("#",""), HYPERLINK(CONCATENATE("#Metadata!", ADDRESS(INDEX($L$2:$L$1001,MATCH(ROWS($J$2:J582),$J$2:$J$1001,0),0), INDEX($Q$1004:$U$1004,1,MATCH(COLUMNS($Q$1006:U1006),$Q$1006:$U$1006,0)))),"Fix")))</f>
        <v xml:space="preserve"> </v>
      </c>
      <c r="J582">
        <f ca="1"/>
        <v>581</v>
      </c>
      <c r="K582">
        <v>100582</v>
      </c>
      <c r="L582">
        <v>582</v>
      </c>
      <c r="M582" t="b">
        <f t="shared" si="9"/>
        <v>1</v>
      </c>
      <c r="N582" t="b">
        <f>COUNTBLANK(Metadata!B582:F582)=COLUMNS(Metadata!B582:F582)</f>
        <v>1</v>
      </c>
      <c r="O582" t="str">
        <v/>
      </c>
      <c r="Q582" t="b">
        <f ca="1"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R582" t="b">
        <f>IF(Metadata!C582="",FALSE,TRUE)</f>
        <v>0</v>
      </c>
      <c r="S582" t="b">
        <f>OR(AND(IF(Metadata!D582="",FALSE,TRUE),EXACT(Metadata!D582,"missing: not collected")),AND(IF(Metadata!D582="",FALSE,TRUE),OR(EXACT(Metadata!D582,"t"),EXACT(Metadata!D582,"f"))))</f>
        <v>0</v>
      </c>
      <c r="T582" t="b">
        <f>AND(IF(Metadata!E582="",FALSE,TRUE),OR(EXACT(Metadata!E582,"a"),EXACT(Metadata!E582,"b")))</f>
        <v>0</v>
      </c>
      <c r="U582" t="b">
        <f>OR(AND(IF(Metadata!F582="",FALSE,TRUE),OR(EXACT(Metadata!F582,"missing: not collected"),EXACT(Metadata!F582,"missing: not provided"))),AND(IF(Metadata!F582="",FALSE,TRUE),OR(EXACT(Metadata!F582,"lo"),EXACT(Metadata!F582,"med"),EXACT(Metadata!F582,"hi"))))</f>
        <v>0</v>
      </c>
    </row>
    <row r="583" spans="1:21" x14ac:dyDescent="0.2">
      <c r="A583" s="4" t="str">
        <f ca="1">IF(B583=" "," ",HYPERLINK(CONCATENATE("#metadata!",ADDRESS(INDEX($L$2:$L$1001,MATCH(ROWS($J$2:J583),$J$2:$J$1001,0),0),1)),INDEX($O$2:$O$1001,MATCH(ROWS($J$2:J583),$J$2:$J$1001,0),0)))</f>
        <v xml:space="preserve"> </v>
      </c>
      <c r="B583" s="3" t="str">
        <f ca="1">IF(OR(INDEX($K$2:$K$1001,MATCH(ROWS($J$2:J583),$J$2:$J$1001,0),1)&gt;=100000,INDEX($Q$1005:$U$1005,1,MATCH(COLUMNS($Q$1006:Q1006),$Q$1006:$U$1006,0))&gt;=100000), " ",IF(INDEX($Q$2:$U$1001,MATCH(ROWS($J$2:J583),$J$2:$J$1001,0),MATCH(COLUMNS($Q$1006:Q1006),$Q$1006:$U$1006,0)), HYPERLINK("#",""), HYPERLINK(CONCATENATE("#Metadata!", ADDRESS(INDEX($L$2:$L$1001,MATCH(ROWS($J$2:J583),$J$2:$J$1001,0),0), INDEX($Q$1004:$U$1004,1,MATCH(COLUMNS($Q$1006:Q1006),$Q$1006:$U$1006,0)))),"Fix")))</f>
        <v xml:space="preserve"> </v>
      </c>
      <c r="C583" s="3" t="str">
        <f ca="1">IF(OR(INDEX($K$2:$K$1001,MATCH(ROWS($J$2:J583),$J$2:$J$1001,0),1)&gt;=100000,INDEX($Q$1005:$U$1005,1,MATCH(COLUMNS($Q$1006:R1006),$Q$1006:$U$1006,0))&gt;=100000), " ",IF(INDEX($Q$2:$U$1001,MATCH(ROWS($J$2:J583),$J$2:$J$1001,0),MATCH(COLUMNS($Q$1006:R1006),$Q$1006:$U$1006,0)), HYPERLINK("#",""), HYPERLINK(CONCATENATE("#Metadata!", ADDRESS(INDEX($L$2:$L$1001,MATCH(ROWS($J$2:J583),$J$2:$J$1001,0),0), INDEX($Q$1004:$U$1004,1,MATCH(COLUMNS($Q$1006:R1006),$Q$1006:$U$1006,0)))),"Fix")))</f>
        <v xml:space="preserve"> </v>
      </c>
      <c r="D583" s="3" t="str">
        <f ca="1">IF(OR(INDEX($K$2:$K$1001,MATCH(ROWS($J$2:J583),$J$2:$J$1001,0),1)&gt;=100000,INDEX($Q$1005:$U$1005,1,MATCH(COLUMNS($Q$1006:S1006),$Q$1006:$U$1006,0))&gt;=100000), " ",IF(INDEX($Q$2:$U$1001,MATCH(ROWS($J$2:J583),$J$2:$J$1001,0),MATCH(COLUMNS($Q$1006:S1006),$Q$1006:$U$1006,0)), HYPERLINK("#",""), HYPERLINK(CONCATENATE("#Metadata!", ADDRESS(INDEX($L$2:$L$1001,MATCH(ROWS($J$2:J583),$J$2:$J$1001,0),0), INDEX($Q$1004:$U$1004,1,MATCH(COLUMNS($Q$1006:S1006),$Q$1006:$U$1006,0)))),"Fix")))</f>
        <v xml:space="preserve"> </v>
      </c>
      <c r="E583" s="3" t="str">
        <f ca="1">IF(OR(INDEX($K$2:$K$1001,MATCH(ROWS($J$2:J583),$J$2:$J$1001,0),1)&gt;=100000,INDEX($Q$1005:$U$1005,1,MATCH(COLUMNS($Q$1006:T1006),$Q$1006:$U$1006,0))&gt;=100000), " ",IF(INDEX($Q$2:$U$1001,MATCH(ROWS($J$2:J583),$J$2:$J$1001,0),MATCH(COLUMNS($Q$1006:T1006),$Q$1006:$U$1006,0)), HYPERLINK("#",""), HYPERLINK(CONCATENATE("#Metadata!", ADDRESS(INDEX($L$2:$L$1001,MATCH(ROWS($J$2:J583),$J$2:$J$1001,0),0), INDEX($Q$1004:$U$1004,1,MATCH(COLUMNS($Q$1006:T1006),$Q$1006:$U$1006,0)))),"Fix")))</f>
        <v xml:space="preserve"> </v>
      </c>
      <c r="F583" s="3" t="str">
        <f ca="1">IF(OR(INDEX($K$2:$K$1001,MATCH(ROWS($J$2:J583),$J$2:$J$1001,0),1)&gt;=100000,INDEX($Q$1005:$U$1005,1,MATCH(COLUMNS($Q$1006:U1006),$Q$1006:$U$1006,0))&gt;=100000), " ",IF(INDEX($Q$2:$U$1001,MATCH(ROWS($J$2:J583),$J$2:$J$1001,0),MATCH(COLUMNS($Q$1006:U1006),$Q$1006:$U$1006,0)), HYPERLINK("#",""), HYPERLINK(CONCATENATE("#Metadata!", ADDRESS(INDEX($L$2:$L$1001,MATCH(ROWS($J$2:J583),$J$2:$J$1001,0),0), INDEX($Q$1004:$U$1004,1,MATCH(COLUMNS($Q$1006:U1006),$Q$1006:$U$1006,0)))),"Fix")))</f>
        <v xml:space="preserve"> </v>
      </c>
      <c r="J583">
        <f ca="1"/>
        <v>582</v>
      </c>
      <c r="K583">
        <v>100583</v>
      </c>
      <c r="L583">
        <v>583</v>
      </c>
      <c r="M583" t="b">
        <f t="shared" si="9"/>
        <v>1</v>
      </c>
      <c r="N583" t="b">
        <f>COUNTBLANK(Metadata!B583:F583)=COLUMNS(Metadata!B583:F583)</f>
        <v>1</v>
      </c>
      <c r="O583" t="str">
        <v/>
      </c>
      <c r="Q583" t="b">
        <f ca="1"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R583" t="b">
        <f>IF(Metadata!C583="",FALSE,TRUE)</f>
        <v>0</v>
      </c>
      <c r="S583" t="b">
        <f>OR(AND(IF(Metadata!D583="",FALSE,TRUE),EXACT(Metadata!D583,"missing: not collected")),AND(IF(Metadata!D583="",FALSE,TRUE),OR(EXACT(Metadata!D583,"t"),EXACT(Metadata!D583,"f"))))</f>
        <v>0</v>
      </c>
      <c r="T583" t="b">
        <f>AND(IF(Metadata!E583="",FALSE,TRUE),OR(EXACT(Metadata!E583,"a"),EXACT(Metadata!E583,"b")))</f>
        <v>0</v>
      </c>
      <c r="U583" t="b">
        <f>OR(AND(IF(Metadata!F583="",FALSE,TRUE),OR(EXACT(Metadata!F583,"missing: not collected"),EXACT(Metadata!F583,"missing: not provided"))),AND(IF(Metadata!F583="",FALSE,TRUE),OR(EXACT(Metadata!F583,"lo"),EXACT(Metadata!F583,"med"),EXACT(Metadata!F583,"hi"))))</f>
        <v>0</v>
      </c>
    </row>
    <row r="584" spans="1:21" x14ac:dyDescent="0.2">
      <c r="A584" s="4" t="str">
        <f ca="1">IF(B584=" "," ",HYPERLINK(CONCATENATE("#metadata!",ADDRESS(INDEX($L$2:$L$1001,MATCH(ROWS($J$2:J584),$J$2:$J$1001,0),0),1)),INDEX($O$2:$O$1001,MATCH(ROWS($J$2:J584),$J$2:$J$1001,0),0)))</f>
        <v xml:space="preserve"> </v>
      </c>
      <c r="B584" s="3" t="str">
        <f ca="1">IF(OR(INDEX($K$2:$K$1001,MATCH(ROWS($J$2:J584),$J$2:$J$1001,0),1)&gt;=100000,INDEX($Q$1005:$U$1005,1,MATCH(COLUMNS($Q$1006:Q1006),$Q$1006:$U$1006,0))&gt;=100000), " ",IF(INDEX($Q$2:$U$1001,MATCH(ROWS($J$2:J584),$J$2:$J$1001,0),MATCH(COLUMNS($Q$1006:Q1006),$Q$1006:$U$1006,0)), HYPERLINK("#",""), HYPERLINK(CONCATENATE("#Metadata!", ADDRESS(INDEX($L$2:$L$1001,MATCH(ROWS($J$2:J584),$J$2:$J$1001,0),0), INDEX($Q$1004:$U$1004,1,MATCH(COLUMNS($Q$1006:Q1006),$Q$1006:$U$1006,0)))),"Fix")))</f>
        <v xml:space="preserve"> </v>
      </c>
      <c r="C584" s="3" t="str">
        <f ca="1">IF(OR(INDEX($K$2:$K$1001,MATCH(ROWS($J$2:J584),$J$2:$J$1001,0),1)&gt;=100000,INDEX($Q$1005:$U$1005,1,MATCH(COLUMNS($Q$1006:R1006),$Q$1006:$U$1006,0))&gt;=100000), " ",IF(INDEX($Q$2:$U$1001,MATCH(ROWS($J$2:J584),$J$2:$J$1001,0),MATCH(COLUMNS($Q$1006:R1006),$Q$1006:$U$1006,0)), HYPERLINK("#",""), HYPERLINK(CONCATENATE("#Metadata!", ADDRESS(INDEX($L$2:$L$1001,MATCH(ROWS($J$2:J584),$J$2:$J$1001,0),0), INDEX($Q$1004:$U$1004,1,MATCH(COLUMNS($Q$1006:R1006),$Q$1006:$U$1006,0)))),"Fix")))</f>
        <v xml:space="preserve"> </v>
      </c>
      <c r="D584" s="3" t="str">
        <f ca="1">IF(OR(INDEX($K$2:$K$1001,MATCH(ROWS($J$2:J584),$J$2:$J$1001,0),1)&gt;=100000,INDEX($Q$1005:$U$1005,1,MATCH(COLUMNS($Q$1006:S1006),$Q$1006:$U$1006,0))&gt;=100000), " ",IF(INDEX($Q$2:$U$1001,MATCH(ROWS($J$2:J584),$J$2:$J$1001,0),MATCH(COLUMNS($Q$1006:S1006),$Q$1006:$U$1006,0)), HYPERLINK("#",""), HYPERLINK(CONCATENATE("#Metadata!", ADDRESS(INDEX($L$2:$L$1001,MATCH(ROWS($J$2:J584),$J$2:$J$1001,0),0), INDEX($Q$1004:$U$1004,1,MATCH(COLUMNS($Q$1006:S1006),$Q$1006:$U$1006,0)))),"Fix")))</f>
        <v xml:space="preserve"> </v>
      </c>
      <c r="E584" s="3" t="str">
        <f ca="1">IF(OR(INDEX($K$2:$K$1001,MATCH(ROWS($J$2:J584),$J$2:$J$1001,0),1)&gt;=100000,INDEX($Q$1005:$U$1005,1,MATCH(COLUMNS($Q$1006:T1006),$Q$1006:$U$1006,0))&gt;=100000), " ",IF(INDEX($Q$2:$U$1001,MATCH(ROWS($J$2:J584),$J$2:$J$1001,0),MATCH(COLUMNS($Q$1006:T1006),$Q$1006:$U$1006,0)), HYPERLINK("#",""), HYPERLINK(CONCATENATE("#Metadata!", ADDRESS(INDEX($L$2:$L$1001,MATCH(ROWS($J$2:J584),$J$2:$J$1001,0),0), INDEX($Q$1004:$U$1004,1,MATCH(COLUMNS($Q$1006:T1006),$Q$1006:$U$1006,0)))),"Fix")))</f>
        <v xml:space="preserve"> </v>
      </c>
      <c r="F584" s="3" t="str">
        <f ca="1">IF(OR(INDEX($K$2:$K$1001,MATCH(ROWS($J$2:J584),$J$2:$J$1001,0),1)&gt;=100000,INDEX($Q$1005:$U$1005,1,MATCH(COLUMNS($Q$1006:U1006),$Q$1006:$U$1006,0))&gt;=100000), " ",IF(INDEX($Q$2:$U$1001,MATCH(ROWS($J$2:J584),$J$2:$J$1001,0),MATCH(COLUMNS($Q$1006:U1006),$Q$1006:$U$1006,0)), HYPERLINK("#",""), HYPERLINK(CONCATENATE("#Metadata!", ADDRESS(INDEX($L$2:$L$1001,MATCH(ROWS($J$2:J584),$J$2:$J$1001,0),0), INDEX($Q$1004:$U$1004,1,MATCH(COLUMNS($Q$1006:U1006),$Q$1006:$U$1006,0)))),"Fix")))</f>
        <v xml:space="preserve"> </v>
      </c>
      <c r="J584">
        <f ca="1"/>
        <v>583</v>
      </c>
      <c r="K584">
        <v>100584</v>
      </c>
      <c r="L584">
        <v>584</v>
      </c>
      <c r="M584" t="b">
        <f t="shared" si="9"/>
        <v>1</v>
      </c>
      <c r="N584" t="b">
        <f>COUNTBLANK(Metadata!B584:F584)=COLUMNS(Metadata!B584:F584)</f>
        <v>1</v>
      </c>
      <c r="O584" t="str">
        <v/>
      </c>
      <c r="Q584" t="b">
        <f ca="1"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R584" t="b">
        <f>IF(Metadata!C584="",FALSE,TRUE)</f>
        <v>0</v>
      </c>
      <c r="S584" t="b">
        <f>OR(AND(IF(Metadata!D584="",FALSE,TRUE),EXACT(Metadata!D584,"missing: not collected")),AND(IF(Metadata!D584="",FALSE,TRUE),OR(EXACT(Metadata!D584,"t"),EXACT(Metadata!D584,"f"))))</f>
        <v>0</v>
      </c>
      <c r="T584" t="b">
        <f>AND(IF(Metadata!E584="",FALSE,TRUE),OR(EXACT(Metadata!E584,"a"),EXACT(Metadata!E584,"b")))</f>
        <v>0</v>
      </c>
      <c r="U584" t="b">
        <f>OR(AND(IF(Metadata!F584="",FALSE,TRUE),OR(EXACT(Metadata!F584,"missing: not collected"),EXACT(Metadata!F584,"missing: not provided"))),AND(IF(Metadata!F584="",FALSE,TRUE),OR(EXACT(Metadata!F584,"lo"),EXACT(Metadata!F584,"med"),EXACT(Metadata!F584,"hi"))))</f>
        <v>0</v>
      </c>
    </row>
    <row r="585" spans="1:21" x14ac:dyDescent="0.2">
      <c r="A585" s="4" t="str">
        <f ca="1">IF(B585=" "," ",HYPERLINK(CONCATENATE("#metadata!",ADDRESS(INDEX($L$2:$L$1001,MATCH(ROWS($J$2:J585),$J$2:$J$1001,0),0),1)),INDEX($O$2:$O$1001,MATCH(ROWS($J$2:J585),$J$2:$J$1001,0),0)))</f>
        <v xml:space="preserve"> </v>
      </c>
      <c r="B585" s="3" t="str">
        <f ca="1">IF(OR(INDEX($K$2:$K$1001,MATCH(ROWS($J$2:J585),$J$2:$J$1001,0),1)&gt;=100000,INDEX($Q$1005:$U$1005,1,MATCH(COLUMNS($Q$1006:Q1006),$Q$1006:$U$1006,0))&gt;=100000), " ",IF(INDEX($Q$2:$U$1001,MATCH(ROWS($J$2:J585),$J$2:$J$1001,0),MATCH(COLUMNS($Q$1006:Q1006),$Q$1006:$U$1006,0)), HYPERLINK("#",""), HYPERLINK(CONCATENATE("#Metadata!", ADDRESS(INDEX($L$2:$L$1001,MATCH(ROWS($J$2:J585),$J$2:$J$1001,0),0), INDEX($Q$1004:$U$1004,1,MATCH(COLUMNS($Q$1006:Q1006),$Q$1006:$U$1006,0)))),"Fix")))</f>
        <v xml:space="preserve"> </v>
      </c>
      <c r="C585" s="3" t="str">
        <f ca="1">IF(OR(INDEX($K$2:$K$1001,MATCH(ROWS($J$2:J585),$J$2:$J$1001,0),1)&gt;=100000,INDEX($Q$1005:$U$1005,1,MATCH(COLUMNS($Q$1006:R1006),$Q$1006:$U$1006,0))&gt;=100000), " ",IF(INDEX($Q$2:$U$1001,MATCH(ROWS($J$2:J585),$J$2:$J$1001,0),MATCH(COLUMNS($Q$1006:R1006),$Q$1006:$U$1006,0)), HYPERLINK("#",""), HYPERLINK(CONCATENATE("#Metadata!", ADDRESS(INDEX($L$2:$L$1001,MATCH(ROWS($J$2:J585),$J$2:$J$1001,0),0), INDEX($Q$1004:$U$1004,1,MATCH(COLUMNS($Q$1006:R1006),$Q$1006:$U$1006,0)))),"Fix")))</f>
        <v xml:space="preserve"> </v>
      </c>
      <c r="D585" s="3" t="str">
        <f ca="1">IF(OR(INDEX($K$2:$K$1001,MATCH(ROWS($J$2:J585),$J$2:$J$1001,0),1)&gt;=100000,INDEX($Q$1005:$U$1005,1,MATCH(COLUMNS($Q$1006:S1006),$Q$1006:$U$1006,0))&gt;=100000), " ",IF(INDEX($Q$2:$U$1001,MATCH(ROWS($J$2:J585),$J$2:$J$1001,0),MATCH(COLUMNS($Q$1006:S1006),$Q$1006:$U$1006,0)), HYPERLINK("#",""), HYPERLINK(CONCATENATE("#Metadata!", ADDRESS(INDEX($L$2:$L$1001,MATCH(ROWS($J$2:J585),$J$2:$J$1001,0),0), INDEX($Q$1004:$U$1004,1,MATCH(COLUMNS($Q$1006:S1006),$Q$1006:$U$1006,0)))),"Fix")))</f>
        <v xml:space="preserve"> </v>
      </c>
      <c r="E585" s="3" t="str">
        <f ca="1">IF(OR(INDEX($K$2:$K$1001,MATCH(ROWS($J$2:J585),$J$2:$J$1001,0),1)&gt;=100000,INDEX($Q$1005:$U$1005,1,MATCH(COLUMNS($Q$1006:T1006),$Q$1006:$U$1006,0))&gt;=100000), " ",IF(INDEX($Q$2:$U$1001,MATCH(ROWS($J$2:J585),$J$2:$J$1001,0),MATCH(COLUMNS($Q$1006:T1006),$Q$1006:$U$1006,0)), HYPERLINK("#",""), HYPERLINK(CONCATENATE("#Metadata!", ADDRESS(INDEX($L$2:$L$1001,MATCH(ROWS($J$2:J585),$J$2:$J$1001,0),0), INDEX($Q$1004:$U$1004,1,MATCH(COLUMNS($Q$1006:T1006),$Q$1006:$U$1006,0)))),"Fix")))</f>
        <v xml:space="preserve"> </v>
      </c>
      <c r="F585" s="3" t="str">
        <f ca="1">IF(OR(INDEX($K$2:$K$1001,MATCH(ROWS($J$2:J585),$J$2:$J$1001,0),1)&gt;=100000,INDEX($Q$1005:$U$1005,1,MATCH(COLUMNS($Q$1006:U1006),$Q$1006:$U$1006,0))&gt;=100000), " ",IF(INDEX($Q$2:$U$1001,MATCH(ROWS($J$2:J585),$J$2:$J$1001,0),MATCH(COLUMNS($Q$1006:U1006),$Q$1006:$U$1006,0)), HYPERLINK("#",""), HYPERLINK(CONCATENATE("#Metadata!", ADDRESS(INDEX($L$2:$L$1001,MATCH(ROWS($J$2:J585),$J$2:$J$1001,0),0), INDEX($Q$1004:$U$1004,1,MATCH(COLUMNS($Q$1006:U1006),$Q$1006:$U$1006,0)))),"Fix")))</f>
        <v xml:space="preserve"> </v>
      </c>
      <c r="J585">
        <f ca="1"/>
        <v>584</v>
      </c>
      <c r="K585">
        <v>100585</v>
      </c>
      <c r="L585">
        <v>585</v>
      </c>
      <c r="M585" t="b">
        <f t="shared" si="9"/>
        <v>1</v>
      </c>
      <c r="N585" t="b">
        <f>COUNTBLANK(Metadata!B585:F585)=COLUMNS(Metadata!B585:F585)</f>
        <v>1</v>
      </c>
      <c r="O585" t="str">
        <v/>
      </c>
      <c r="Q585" t="b">
        <f ca="1"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R585" t="b">
        <f>IF(Metadata!C585="",FALSE,TRUE)</f>
        <v>0</v>
      </c>
      <c r="S585" t="b">
        <f>OR(AND(IF(Metadata!D585="",FALSE,TRUE),EXACT(Metadata!D585,"missing: not collected")),AND(IF(Metadata!D585="",FALSE,TRUE),OR(EXACT(Metadata!D585,"t"),EXACT(Metadata!D585,"f"))))</f>
        <v>0</v>
      </c>
      <c r="T585" t="b">
        <f>AND(IF(Metadata!E585="",FALSE,TRUE),OR(EXACT(Metadata!E585,"a"),EXACT(Metadata!E585,"b")))</f>
        <v>0</v>
      </c>
      <c r="U585" t="b">
        <f>OR(AND(IF(Metadata!F585="",FALSE,TRUE),OR(EXACT(Metadata!F585,"missing: not collected"),EXACT(Metadata!F585,"missing: not provided"))),AND(IF(Metadata!F585="",FALSE,TRUE),OR(EXACT(Metadata!F585,"lo"),EXACT(Metadata!F585,"med"),EXACT(Metadata!F585,"hi"))))</f>
        <v>0</v>
      </c>
    </row>
    <row r="586" spans="1:21" x14ac:dyDescent="0.2">
      <c r="A586" s="4" t="str">
        <f ca="1">IF(B586=" "," ",HYPERLINK(CONCATENATE("#metadata!",ADDRESS(INDEX($L$2:$L$1001,MATCH(ROWS($J$2:J586),$J$2:$J$1001,0),0),1)),INDEX($O$2:$O$1001,MATCH(ROWS($J$2:J586),$J$2:$J$1001,0),0)))</f>
        <v xml:space="preserve"> </v>
      </c>
      <c r="B586" s="3" t="str">
        <f ca="1">IF(OR(INDEX($K$2:$K$1001,MATCH(ROWS($J$2:J586),$J$2:$J$1001,0),1)&gt;=100000,INDEX($Q$1005:$U$1005,1,MATCH(COLUMNS($Q$1006:Q1006),$Q$1006:$U$1006,0))&gt;=100000), " ",IF(INDEX($Q$2:$U$1001,MATCH(ROWS($J$2:J586),$J$2:$J$1001,0),MATCH(COLUMNS($Q$1006:Q1006),$Q$1006:$U$1006,0)), HYPERLINK("#",""), HYPERLINK(CONCATENATE("#Metadata!", ADDRESS(INDEX($L$2:$L$1001,MATCH(ROWS($J$2:J586),$J$2:$J$1001,0),0), INDEX($Q$1004:$U$1004,1,MATCH(COLUMNS($Q$1006:Q1006),$Q$1006:$U$1006,0)))),"Fix")))</f>
        <v xml:space="preserve"> </v>
      </c>
      <c r="C586" s="3" t="str">
        <f ca="1">IF(OR(INDEX($K$2:$K$1001,MATCH(ROWS($J$2:J586),$J$2:$J$1001,0),1)&gt;=100000,INDEX($Q$1005:$U$1005,1,MATCH(COLUMNS($Q$1006:R1006),$Q$1006:$U$1006,0))&gt;=100000), " ",IF(INDEX($Q$2:$U$1001,MATCH(ROWS($J$2:J586),$J$2:$J$1001,0),MATCH(COLUMNS($Q$1006:R1006),$Q$1006:$U$1006,0)), HYPERLINK("#",""), HYPERLINK(CONCATENATE("#Metadata!", ADDRESS(INDEX($L$2:$L$1001,MATCH(ROWS($J$2:J586),$J$2:$J$1001,0),0), INDEX($Q$1004:$U$1004,1,MATCH(COLUMNS($Q$1006:R1006),$Q$1006:$U$1006,0)))),"Fix")))</f>
        <v xml:space="preserve"> </v>
      </c>
      <c r="D586" s="3" t="str">
        <f ca="1">IF(OR(INDEX($K$2:$K$1001,MATCH(ROWS($J$2:J586),$J$2:$J$1001,0),1)&gt;=100000,INDEX($Q$1005:$U$1005,1,MATCH(COLUMNS($Q$1006:S1006),$Q$1006:$U$1006,0))&gt;=100000), " ",IF(INDEX($Q$2:$U$1001,MATCH(ROWS($J$2:J586),$J$2:$J$1001,0),MATCH(COLUMNS($Q$1006:S1006),$Q$1006:$U$1006,0)), HYPERLINK("#",""), HYPERLINK(CONCATENATE("#Metadata!", ADDRESS(INDEX($L$2:$L$1001,MATCH(ROWS($J$2:J586),$J$2:$J$1001,0),0), INDEX($Q$1004:$U$1004,1,MATCH(COLUMNS($Q$1006:S1006),$Q$1006:$U$1006,0)))),"Fix")))</f>
        <v xml:space="preserve"> </v>
      </c>
      <c r="E586" s="3" t="str">
        <f ca="1">IF(OR(INDEX($K$2:$K$1001,MATCH(ROWS($J$2:J586),$J$2:$J$1001,0),1)&gt;=100000,INDEX($Q$1005:$U$1005,1,MATCH(COLUMNS($Q$1006:T1006),$Q$1006:$U$1006,0))&gt;=100000), " ",IF(INDEX($Q$2:$U$1001,MATCH(ROWS($J$2:J586),$J$2:$J$1001,0),MATCH(COLUMNS($Q$1006:T1006),$Q$1006:$U$1006,0)), HYPERLINK("#",""), HYPERLINK(CONCATENATE("#Metadata!", ADDRESS(INDEX($L$2:$L$1001,MATCH(ROWS($J$2:J586),$J$2:$J$1001,0),0), INDEX($Q$1004:$U$1004,1,MATCH(COLUMNS($Q$1006:T1006),$Q$1006:$U$1006,0)))),"Fix")))</f>
        <v xml:space="preserve"> </v>
      </c>
      <c r="F586" s="3" t="str">
        <f ca="1">IF(OR(INDEX($K$2:$K$1001,MATCH(ROWS($J$2:J586),$J$2:$J$1001,0),1)&gt;=100000,INDEX($Q$1005:$U$1005,1,MATCH(COLUMNS($Q$1006:U1006),$Q$1006:$U$1006,0))&gt;=100000), " ",IF(INDEX($Q$2:$U$1001,MATCH(ROWS($J$2:J586),$J$2:$J$1001,0),MATCH(COLUMNS($Q$1006:U1006),$Q$1006:$U$1006,0)), HYPERLINK("#",""), HYPERLINK(CONCATENATE("#Metadata!", ADDRESS(INDEX($L$2:$L$1001,MATCH(ROWS($J$2:J586),$J$2:$J$1001,0),0), INDEX($Q$1004:$U$1004,1,MATCH(COLUMNS($Q$1006:U1006),$Q$1006:$U$1006,0)))),"Fix")))</f>
        <v xml:space="preserve"> </v>
      </c>
      <c r="J586">
        <f ca="1"/>
        <v>585</v>
      </c>
      <c r="K586">
        <v>100586</v>
      </c>
      <c r="L586">
        <v>586</v>
      </c>
      <c r="M586" t="b">
        <f t="shared" si="9"/>
        <v>1</v>
      </c>
      <c r="N586" t="b">
        <f>COUNTBLANK(Metadata!B586:F586)=COLUMNS(Metadata!B586:F586)</f>
        <v>1</v>
      </c>
      <c r="O586" t="str">
        <v/>
      </c>
      <c r="Q586" t="b">
        <f ca="1"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R586" t="b">
        <f>IF(Metadata!C586="",FALSE,TRUE)</f>
        <v>0</v>
      </c>
      <c r="S586" t="b">
        <f>OR(AND(IF(Metadata!D586="",FALSE,TRUE),EXACT(Metadata!D586,"missing: not collected")),AND(IF(Metadata!D586="",FALSE,TRUE),OR(EXACT(Metadata!D586,"t"),EXACT(Metadata!D586,"f"))))</f>
        <v>0</v>
      </c>
      <c r="T586" t="b">
        <f>AND(IF(Metadata!E586="",FALSE,TRUE),OR(EXACT(Metadata!E586,"a"),EXACT(Metadata!E586,"b")))</f>
        <v>0</v>
      </c>
      <c r="U586" t="b">
        <f>OR(AND(IF(Metadata!F586="",FALSE,TRUE),OR(EXACT(Metadata!F586,"missing: not collected"),EXACT(Metadata!F586,"missing: not provided"))),AND(IF(Metadata!F586="",FALSE,TRUE),OR(EXACT(Metadata!F586,"lo"),EXACT(Metadata!F586,"med"),EXACT(Metadata!F586,"hi"))))</f>
        <v>0</v>
      </c>
    </row>
    <row r="587" spans="1:21" x14ac:dyDescent="0.2">
      <c r="A587" s="4" t="str">
        <f ca="1">IF(B587=" "," ",HYPERLINK(CONCATENATE("#metadata!",ADDRESS(INDEX($L$2:$L$1001,MATCH(ROWS($J$2:J587),$J$2:$J$1001,0),0),1)),INDEX($O$2:$O$1001,MATCH(ROWS($J$2:J587),$J$2:$J$1001,0),0)))</f>
        <v xml:space="preserve"> </v>
      </c>
      <c r="B587" s="3" t="str">
        <f ca="1">IF(OR(INDEX($K$2:$K$1001,MATCH(ROWS($J$2:J587),$J$2:$J$1001,0),1)&gt;=100000,INDEX($Q$1005:$U$1005,1,MATCH(COLUMNS($Q$1006:Q1006),$Q$1006:$U$1006,0))&gt;=100000), " ",IF(INDEX($Q$2:$U$1001,MATCH(ROWS($J$2:J587),$J$2:$J$1001,0),MATCH(COLUMNS($Q$1006:Q1006),$Q$1006:$U$1006,0)), HYPERLINK("#",""), HYPERLINK(CONCATENATE("#Metadata!", ADDRESS(INDEX($L$2:$L$1001,MATCH(ROWS($J$2:J587),$J$2:$J$1001,0),0), INDEX($Q$1004:$U$1004,1,MATCH(COLUMNS($Q$1006:Q1006),$Q$1006:$U$1006,0)))),"Fix")))</f>
        <v xml:space="preserve"> </v>
      </c>
      <c r="C587" s="3" t="str">
        <f ca="1">IF(OR(INDEX($K$2:$K$1001,MATCH(ROWS($J$2:J587),$J$2:$J$1001,0),1)&gt;=100000,INDEX($Q$1005:$U$1005,1,MATCH(COLUMNS($Q$1006:R1006),$Q$1006:$U$1006,0))&gt;=100000), " ",IF(INDEX($Q$2:$U$1001,MATCH(ROWS($J$2:J587),$J$2:$J$1001,0),MATCH(COLUMNS($Q$1006:R1006),$Q$1006:$U$1006,0)), HYPERLINK("#",""), HYPERLINK(CONCATENATE("#Metadata!", ADDRESS(INDEX($L$2:$L$1001,MATCH(ROWS($J$2:J587),$J$2:$J$1001,0),0), INDEX($Q$1004:$U$1004,1,MATCH(COLUMNS($Q$1006:R1006),$Q$1006:$U$1006,0)))),"Fix")))</f>
        <v xml:space="preserve"> </v>
      </c>
      <c r="D587" s="3" t="str">
        <f ca="1">IF(OR(INDEX($K$2:$K$1001,MATCH(ROWS($J$2:J587),$J$2:$J$1001,0),1)&gt;=100000,INDEX($Q$1005:$U$1005,1,MATCH(COLUMNS($Q$1006:S1006),$Q$1006:$U$1006,0))&gt;=100000), " ",IF(INDEX($Q$2:$U$1001,MATCH(ROWS($J$2:J587),$J$2:$J$1001,0),MATCH(COLUMNS($Q$1006:S1006),$Q$1006:$U$1006,0)), HYPERLINK("#",""), HYPERLINK(CONCATENATE("#Metadata!", ADDRESS(INDEX($L$2:$L$1001,MATCH(ROWS($J$2:J587),$J$2:$J$1001,0),0), INDEX($Q$1004:$U$1004,1,MATCH(COLUMNS($Q$1006:S1006),$Q$1006:$U$1006,0)))),"Fix")))</f>
        <v xml:space="preserve"> </v>
      </c>
      <c r="E587" s="3" t="str">
        <f ca="1">IF(OR(INDEX($K$2:$K$1001,MATCH(ROWS($J$2:J587),$J$2:$J$1001,0),1)&gt;=100000,INDEX($Q$1005:$U$1005,1,MATCH(COLUMNS($Q$1006:T1006),$Q$1006:$U$1006,0))&gt;=100000), " ",IF(INDEX($Q$2:$U$1001,MATCH(ROWS($J$2:J587),$J$2:$J$1001,0),MATCH(COLUMNS($Q$1006:T1006),$Q$1006:$U$1006,0)), HYPERLINK("#",""), HYPERLINK(CONCATENATE("#Metadata!", ADDRESS(INDEX($L$2:$L$1001,MATCH(ROWS($J$2:J587),$J$2:$J$1001,0),0), INDEX($Q$1004:$U$1004,1,MATCH(COLUMNS($Q$1006:T1006),$Q$1006:$U$1006,0)))),"Fix")))</f>
        <v xml:space="preserve"> </v>
      </c>
      <c r="F587" s="3" t="str">
        <f ca="1">IF(OR(INDEX($K$2:$K$1001,MATCH(ROWS($J$2:J587),$J$2:$J$1001,0),1)&gt;=100000,INDEX($Q$1005:$U$1005,1,MATCH(COLUMNS($Q$1006:U1006),$Q$1006:$U$1006,0))&gt;=100000), " ",IF(INDEX($Q$2:$U$1001,MATCH(ROWS($J$2:J587),$J$2:$J$1001,0),MATCH(COLUMNS($Q$1006:U1006),$Q$1006:$U$1006,0)), HYPERLINK("#",""), HYPERLINK(CONCATENATE("#Metadata!", ADDRESS(INDEX($L$2:$L$1001,MATCH(ROWS($J$2:J587),$J$2:$J$1001,0),0), INDEX($Q$1004:$U$1004,1,MATCH(COLUMNS($Q$1006:U1006),$Q$1006:$U$1006,0)))),"Fix")))</f>
        <v xml:space="preserve"> </v>
      </c>
      <c r="J587">
        <f ca="1"/>
        <v>586</v>
      </c>
      <c r="K587">
        <v>100587</v>
      </c>
      <c r="L587">
        <v>587</v>
      </c>
      <c r="M587" t="b">
        <f t="shared" si="9"/>
        <v>1</v>
      </c>
      <c r="N587" t="b">
        <f>COUNTBLANK(Metadata!B587:F587)=COLUMNS(Metadata!B587:F587)</f>
        <v>1</v>
      </c>
      <c r="O587" t="str">
        <v/>
      </c>
      <c r="Q587" t="b">
        <f ca="1"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R587" t="b">
        <f>IF(Metadata!C587="",FALSE,TRUE)</f>
        <v>0</v>
      </c>
      <c r="S587" t="b">
        <f>OR(AND(IF(Metadata!D587="",FALSE,TRUE),EXACT(Metadata!D587,"missing: not collected")),AND(IF(Metadata!D587="",FALSE,TRUE),OR(EXACT(Metadata!D587,"t"),EXACT(Metadata!D587,"f"))))</f>
        <v>0</v>
      </c>
      <c r="T587" t="b">
        <f>AND(IF(Metadata!E587="",FALSE,TRUE),OR(EXACT(Metadata!E587,"a"),EXACT(Metadata!E587,"b")))</f>
        <v>0</v>
      </c>
      <c r="U587" t="b">
        <f>OR(AND(IF(Metadata!F587="",FALSE,TRUE),OR(EXACT(Metadata!F587,"missing: not collected"),EXACT(Metadata!F587,"missing: not provided"))),AND(IF(Metadata!F587="",FALSE,TRUE),OR(EXACT(Metadata!F587,"lo"),EXACT(Metadata!F587,"med"),EXACT(Metadata!F587,"hi"))))</f>
        <v>0</v>
      </c>
    </row>
    <row r="588" spans="1:21" x14ac:dyDescent="0.2">
      <c r="A588" s="4" t="str">
        <f ca="1">IF(B588=" "," ",HYPERLINK(CONCATENATE("#metadata!",ADDRESS(INDEX($L$2:$L$1001,MATCH(ROWS($J$2:J588),$J$2:$J$1001,0),0),1)),INDEX($O$2:$O$1001,MATCH(ROWS($J$2:J588),$J$2:$J$1001,0),0)))</f>
        <v xml:space="preserve"> </v>
      </c>
      <c r="B588" s="3" t="str">
        <f ca="1">IF(OR(INDEX($K$2:$K$1001,MATCH(ROWS($J$2:J588),$J$2:$J$1001,0),1)&gt;=100000,INDEX($Q$1005:$U$1005,1,MATCH(COLUMNS($Q$1006:Q1006),$Q$1006:$U$1006,0))&gt;=100000), " ",IF(INDEX($Q$2:$U$1001,MATCH(ROWS($J$2:J588),$J$2:$J$1001,0),MATCH(COLUMNS($Q$1006:Q1006),$Q$1006:$U$1006,0)), HYPERLINK("#",""), HYPERLINK(CONCATENATE("#Metadata!", ADDRESS(INDEX($L$2:$L$1001,MATCH(ROWS($J$2:J588),$J$2:$J$1001,0),0), INDEX($Q$1004:$U$1004,1,MATCH(COLUMNS($Q$1006:Q1006),$Q$1006:$U$1006,0)))),"Fix")))</f>
        <v xml:space="preserve"> </v>
      </c>
      <c r="C588" s="3" t="str">
        <f ca="1">IF(OR(INDEX($K$2:$K$1001,MATCH(ROWS($J$2:J588),$J$2:$J$1001,0),1)&gt;=100000,INDEX($Q$1005:$U$1005,1,MATCH(COLUMNS($Q$1006:R1006),$Q$1006:$U$1006,0))&gt;=100000), " ",IF(INDEX($Q$2:$U$1001,MATCH(ROWS($J$2:J588),$J$2:$J$1001,0),MATCH(COLUMNS($Q$1006:R1006),$Q$1006:$U$1006,0)), HYPERLINK("#",""), HYPERLINK(CONCATENATE("#Metadata!", ADDRESS(INDEX($L$2:$L$1001,MATCH(ROWS($J$2:J588),$J$2:$J$1001,0),0), INDEX($Q$1004:$U$1004,1,MATCH(COLUMNS($Q$1006:R1006),$Q$1006:$U$1006,0)))),"Fix")))</f>
        <v xml:space="preserve"> </v>
      </c>
      <c r="D588" s="3" t="str">
        <f ca="1">IF(OR(INDEX($K$2:$K$1001,MATCH(ROWS($J$2:J588),$J$2:$J$1001,0),1)&gt;=100000,INDEX($Q$1005:$U$1005,1,MATCH(COLUMNS($Q$1006:S1006),$Q$1006:$U$1006,0))&gt;=100000), " ",IF(INDEX($Q$2:$U$1001,MATCH(ROWS($J$2:J588),$J$2:$J$1001,0),MATCH(COLUMNS($Q$1006:S1006),$Q$1006:$U$1006,0)), HYPERLINK("#",""), HYPERLINK(CONCATENATE("#Metadata!", ADDRESS(INDEX($L$2:$L$1001,MATCH(ROWS($J$2:J588),$J$2:$J$1001,0),0), INDEX($Q$1004:$U$1004,1,MATCH(COLUMNS($Q$1006:S1006),$Q$1006:$U$1006,0)))),"Fix")))</f>
        <v xml:space="preserve"> </v>
      </c>
      <c r="E588" s="3" t="str">
        <f ca="1">IF(OR(INDEX($K$2:$K$1001,MATCH(ROWS($J$2:J588),$J$2:$J$1001,0),1)&gt;=100000,INDEX($Q$1005:$U$1005,1,MATCH(COLUMNS($Q$1006:T1006),$Q$1006:$U$1006,0))&gt;=100000), " ",IF(INDEX($Q$2:$U$1001,MATCH(ROWS($J$2:J588),$J$2:$J$1001,0),MATCH(COLUMNS($Q$1006:T1006),$Q$1006:$U$1006,0)), HYPERLINK("#",""), HYPERLINK(CONCATENATE("#Metadata!", ADDRESS(INDEX($L$2:$L$1001,MATCH(ROWS($J$2:J588),$J$2:$J$1001,0),0), INDEX($Q$1004:$U$1004,1,MATCH(COLUMNS($Q$1006:T1006),$Q$1006:$U$1006,0)))),"Fix")))</f>
        <v xml:space="preserve"> </v>
      </c>
      <c r="F588" s="3" t="str">
        <f ca="1">IF(OR(INDEX($K$2:$K$1001,MATCH(ROWS($J$2:J588),$J$2:$J$1001,0),1)&gt;=100000,INDEX($Q$1005:$U$1005,1,MATCH(COLUMNS($Q$1006:U1006),$Q$1006:$U$1006,0))&gt;=100000), " ",IF(INDEX($Q$2:$U$1001,MATCH(ROWS($J$2:J588),$J$2:$J$1001,0),MATCH(COLUMNS($Q$1006:U1006),$Q$1006:$U$1006,0)), HYPERLINK("#",""), HYPERLINK(CONCATENATE("#Metadata!", ADDRESS(INDEX($L$2:$L$1001,MATCH(ROWS($J$2:J588),$J$2:$J$1001,0),0), INDEX($Q$1004:$U$1004,1,MATCH(COLUMNS($Q$1006:U1006),$Q$1006:$U$1006,0)))),"Fix")))</f>
        <v xml:space="preserve"> </v>
      </c>
      <c r="J588">
        <f ca="1"/>
        <v>587</v>
      </c>
      <c r="K588">
        <v>100588</v>
      </c>
      <c r="L588">
        <v>588</v>
      </c>
      <c r="M588" t="b">
        <f t="shared" si="9"/>
        <v>1</v>
      </c>
      <c r="N588" t="b">
        <f>COUNTBLANK(Metadata!B588:F588)=COLUMNS(Metadata!B588:F588)</f>
        <v>1</v>
      </c>
      <c r="O588" t="str">
        <v/>
      </c>
      <c r="Q588" t="b">
        <f ca="1"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R588" t="b">
        <f>IF(Metadata!C588="",FALSE,TRUE)</f>
        <v>0</v>
      </c>
      <c r="S588" t="b">
        <f>OR(AND(IF(Metadata!D588="",FALSE,TRUE),EXACT(Metadata!D588,"missing: not collected")),AND(IF(Metadata!D588="",FALSE,TRUE),OR(EXACT(Metadata!D588,"t"),EXACT(Metadata!D588,"f"))))</f>
        <v>0</v>
      </c>
      <c r="T588" t="b">
        <f>AND(IF(Metadata!E588="",FALSE,TRUE),OR(EXACT(Metadata!E588,"a"),EXACT(Metadata!E588,"b")))</f>
        <v>0</v>
      </c>
      <c r="U588" t="b">
        <f>OR(AND(IF(Metadata!F588="",FALSE,TRUE),OR(EXACT(Metadata!F588,"missing: not collected"),EXACT(Metadata!F588,"missing: not provided"))),AND(IF(Metadata!F588="",FALSE,TRUE),OR(EXACT(Metadata!F588,"lo"),EXACT(Metadata!F588,"med"),EXACT(Metadata!F588,"hi"))))</f>
        <v>0</v>
      </c>
    </row>
    <row r="589" spans="1:21" x14ac:dyDescent="0.2">
      <c r="A589" s="4" t="str">
        <f ca="1">IF(B589=" "," ",HYPERLINK(CONCATENATE("#metadata!",ADDRESS(INDEX($L$2:$L$1001,MATCH(ROWS($J$2:J589),$J$2:$J$1001,0),0),1)),INDEX($O$2:$O$1001,MATCH(ROWS($J$2:J589),$J$2:$J$1001,0),0)))</f>
        <v xml:space="preserve"> </v>
      </c>
      <c r="B589" s="3" t="str">
        <f ca="1">IF(OR(INDEX($K$2:$K$1001,MATCH(ROWS($J$2:J589),$J$2:$J$1001,0),1)&gt;=100000,INDEX($Q$1005:$U$1005,1,MATCH(COLUMNS($Q$1006:Q1006),$Q$1006:$U$1006,0))&gt;=100000), " ",IF(INDEX($Q$2:$U$1001,MATCH(ROWS($J$2:J589),$J$2:$J$1001,0),MATCH(COLUMNS($Q$1006:Q1006),$Q$1006:$U$1006,0)), HYPERLINK("#",""), HYPERLINK(CONCATENATE("#Metadata!", ADDRESS(INDEX($L$2:$L$1001,MATCH(ROWS($J$2:J589),$J$2:$J$1001,0),0), INDEX($Q$1004:$U$1004,1,MATCH(COLUMNS($Q$1006:Q1006),$Q$1006:$U$1006,0)))),"Fix")))</f>
        <v xml:space="preserve"> </v>
      </c>
      <c r="C589" s="3" t="str">
        <f ca="1">IF(OR(INDEX($K$2:$K$1001,MATCH(ROWS($J$2:J589),$J$2:$J$1001,0),1)&gt;=100000,INDEX($Q$1005:$U$1005,1,MATCH(COLUMNS($Q$1006:R1006),$Q$1006:$U$1006,0))&gt;=100000), " ",IF(INDEX($Q$2:$U$1001,MATCH(ROWS($J$2:J589),$J$2:$J$1001,0),MATCH(COLUMNS($Q$1006:R1006),$Q$1006:$U$1006,0)), HYPERLINK("#",""), HYPERLINK(CONCATENATE("#Metadata!", ADDRESS(INDEX($L$2:$L$1001,MATCH(ROWS($J$2:J589),$J$2:$J$1001,0),0), INDEX($Q$1004:$U$1004,1,MATCH(COLUMNS($Q$1006:R1006),$Q$1006:$U$1006,0)))),"Fix")))</f>
        <v xml:space="preserve"> </v>
      </c>
      <c r="D589" s="3" t="str">
        <f ca="1">IF(OR(INDEX($K$2:$K$1001,MATCH(ROWS($J$2:J589),$J$2:$J$1001,0),1)&gt;=100000,INDEX($Q$1005:$U$1005,1,MATCH(COLUMNS($Q$1006:S1006),$Q$1006:$U$1006,0))&gt;=100000), " ",IF(INDEX($Q$2:$U$1001,MATCH(ROWS($J$2:J589),$J$2:$J$1001,0),MATCH(COLUMNS($Q$1006:S1006),$Q$1006:$U$1006,0)), HYPERLINK("#",""), HYPERLINK(CONCATENATE("#Metadata!", ADDRESS(INDEX($L$2:$L$1001,MATCH(ROWS($J$2:J589),$J$2:$J$1001,0),0), INDEX($Q$1004:$U$1004,1,MATCH(COLUMNS($Q$1006:S1006),$Q$1006:$U$1006,0)))),"Fix")))</f>
        <v xml:space="preserve"> </v>
      </c>
      <c r="E589" s="3" t="str">
        <f ca="1">IF(OR(INDEX($K$2:$K$1001,MATCH(ROWS($J$2:J589),$J$2:$J$1001,0),1)&gt;=100000,INDEX($Q$1005:$U$1005,1,MATCH(COLUMNS($Q$1006:T1006),$Q$1006:$U$1006,0))&gt;=100000), " ",IF(INDEX($Q$2:$U$1001,MATCH(ROWS($J$2:J589),$J$2:$J$1001,0),MATCH(COLUMNS($Q$1006:T1006),$Q$1006:$U$1006,0)), HYPERLINK("#",""), HYPERLINK(CONCATENATE("#Metadata!", ADDRESS(INDEX($L$2:$L$1001,MATCH(ROWS($J$2:J589),$J$2:$J$1001,0),0), INDEX($Q$1004:$U$1004,1,MATCH(COLUMNS($Q$1006:T1006),$Q$1006:$U$1006,0)))),"Fix")))</f>
        <v xml:space="preserve"> </v>
      </c>
      <c r="F589" s="3" t="str">
        <f ca="1">IF(OR(INDEX($K$2:$K$1001,MATCH(ROWS($J$2:J589),$J$2:$J$1001,0),1)&gt;=100000,INDEX($Q$1005:$U$1005,1,MATCH(COLUMNS($Q$1006:U1006),$Q$1006:$U$1006,0))&gt;=100000), " ",IF(INDEX($Q$2:$U$1001,MATCH(ROWS($J$2:J589),$J$2:$J$1001,0),MATCH(COLUMNS($Q$1006:U1006),$Q$1006:$U$1006,0)), HYPERLINK("#",""), HYPERLINK(CONCATENATE("#Metadata!", ADDRESS(INDEX($L$2:$L$1001,MATCH(ROWS($J$2:J589),$J$2:$J$1001,0),0), INDEX($Q$1004:$U$1004,1,MATCH(COLUMNS($Q$1006:U1006),$Q$1006:$U$1006,0)))),"Fix")))</f>
        <v xml:space="preserve"> </v>
      </c>
      <c r="J589">
        <f ca="1"/>
        <v>588</v>
      </c>
      <c r="K589">
        <v>100589</v>
      </c>
      <c r="L589">
        <v>589</v>
      </c>
      <c r="M589" t="b">
        <f t="shared" si="9"/>
        <v>1</v>
      </c>
      <c r="N589" t="b">
        <f>COUNTBLANK(Metadata!B589:F589)=COLUMNS(Metadata!B589:F589)</f>
        <v>1</v>
      </c>
      <c r="O589" t="str">
        <v/>
      </c>
      <c r="Q589" t="b">
        <f ca="1"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R589" t="b">
        <f>IF(Metadata!C589="",FALSE,TRUE)</f>
        <v>0</v>
      </c>
      <c r="S589" t="b">
        <f>OR(AND(IF(Metadata!D589="",FALSE,TRUE),EXACT(Metadata!D589,"missing: not collected")),AND(IF(Metadata!D589="",FALSE,TRUE),OR(EXACT(Metadata!D589,"t"),EXACT(Metadata!D589,"f"))))</f>
        <v>0</v>
      </c>
      <c r="T589" t="b">
        <f>AND(IF(Metadata!E589="",FALSE,TRUE),OR(EXACT(Metadata!E589,"a"),EXACT(Metadata!E589,"b")))</f>
        <v>0</v>
      </c>
      <c r="U589" t="b">
        <f>OR(AND(IF(Metadata!F589="",FALSE,TRUE),OR(EXACT(Metadata!F589,"missing: not collected"),EXACT(Metadata!F589,"missing: not provided"))),AND(IF(Metadata!F589="",FALSE,TRUE),OR(EXACT(Metadata!F589,"lo"),EXACT(Metadata!F589,"med"),EXACT(Metadata!F589,"hi"))))</f>
        <v>0</v>
      </c>
    </row>
    <row r="590" spans="1:21" x14ac:dyDescent="0.2">
      <c r="A590" s="4" t="str">
        <f ca="1">IF(B590=" "," ",HYPERLINK(CONCATENATE("#metadata!",ADDRESS(INDEX($L$2:$L$1001,MATCH(ROWS($J$2:J590),$J$2:$J$1001,0),0),1)),INDEX($O$2:$O$1001,MATCH(ROWS($J$2:J590),$J$2:$J$1001,0),0)))</f>
        <v xml:space="preserve"> </v>
      </c>
      <c r="B590" s="3" t="str">
        <f ca="1">IF(OR(INDEX($K$2:$K$1001,MATCH(ROWS($J$2:J590),$J$2:$J$1001,0),1)&gt;=100000,INDEX($Q$1005:$U$1005,1,MATCH(COLUMNS($Q$1006:Q1006),$Q$1006:$U$1006,0))&gt;=100000), " ",IF(INDEX($Q$2:$U$1001,MATCH(ROWS($J$2:J590),$J$2:$J$1001,0),MATCH(COLUMNS($Q$1006:Q1006),$Q$1006:$U$1006,0)), HYPERLINK("#",""), HYPERLINK(CONCATENATE("#Metadata!", ADDRESS(INDEX($L$2:$L$1001,MATCH(ROWS($J$2:J590),$J$2:$J$1001,0),0), INDEX($Q$1004:$U$1004,1,MATCH(COLUMNS($Q$1006:Q1006),$Q$1006:$U$1006,0)))),"Fix")))</f>
        <v xml:space="preserve"> </v>
      </c>
      <c r="C590" s="3" t="str">
        <f ca="1">IF(OR(INDEX($K$2:$K$1001,MATCH(ROWS($J$2:J590),$J$2:$J$1001,0),1)&gt;=100000,INDEX($Q$1005:$U$1005,1,MATCH(COLUMNS($Q$1006:R1006),$Q$1006:$U$1006,0))&gt;=100000), " ",IF(INDEX($Q$2:$U$1001,MATCH(ROWS($J$2:J590),$J$2:$J$1001,0),MATCH(COLUMNS($Q$1006:R1006),$Q$1006:$U$1006,0)), HYPERLINK("#",""), HYPERLINK(CONCATENATE("#Metadata!", ADDRESS(INDEX($L$2:$L$1001,MATCH(ROWS($J$2:J590),$J$2:$J$1001,0),0), INDEX($Q$1004:$U$1004,1,MATCH(COLUMNS($Q$1006:R1006),$Q$1006:$U$1006,0)))),"Fix")))</f>
        <v xml:space="preserve"> </v>
      </c>
      <c r="D590" s="3" t="str">
        <f ca="1">IF(OR(INDEX($K$2:$K$1001,MATCH(ROWS($J$2:J590),$J$2:$J$1001,0),1)&gt;=100000,INDEX($Q$1005:$U$1005,1,MATCH(COLUMNS($Q$1006:S1006),$Q$1006:$U$1006,0))&gt;=100000), " ",IF(INDEX($Q$2:$U$1001,MATCH(ROWS($J$2:J590),$J$2:$J$1001,0),MATCH(COLUMNS($Q$1006:S1006),$Q$1006:$U$1006,0)), HYPERLINK("#",""), HYPERLINK(CONCATENATE("#Metadata!", ADDRESS(INDEX($L$2:$L$1001,MATCH(ROWS($J$2:J590),$J$2:$J$1001,0),0), INDEX($Q$1004:$U$1004,1,MATCH(COLUMNS($Q$1006:S1006),$Q$1006:$U$1006,0)))),"Fix")))</f>
        <v xml:space="preserve"> </v>
      </c>
      <c r="E590" s="3" t="str">
        <f ca="1">IF(OR(INDEX($K$2:$K$1001,MATCH(ROWS($J$2:J590),$J$2:$J$1001,0),1)&gt;=100000,INDEX($Q$1005:$U$1005,1,MATCH(COLUMNS($Q$1006:T1006),$Q$1006:$U$1006,0))&gt;=100000), " ",IF(INDEX($Q$2:$U$1001,MATCH(ROWS($J$2:J590),$J$2:$J$1001,0),MATCH(COLUMNS($Q$1006:T1006),$Q$1006:$U$1006,0)), HYPERLINK("#",""), HYPERLINK(CONCATENATE("#Metadata!", ADDRESS(INDEX($L$2:$L$1001,MATCH(ROWS($J$2:J590),$J$2:$J$1001,0),0), INDEX($Q$1004:$U$1004,1,MATCH(COLUMNS($Q$1006:T1006),$Q$1006:$U$1006,0)))),"Fix")))</f>
        <v xml:space="preserve"> </v>
      </c>
      <c r="F590" s="3" t="str">
        <f ca="1">IF(OR(INDEX($K$2:$K$1001,MATCH(ROWS($J$2:J590),$J$2:$J$1001,0),1)&gt;=100000,INDEX($Q$1005:$U$1005,1,MATCH(COLUMNS($Q$1006:U1006),$Q$1006:$U$1006,0))&gt;=100000), " ",IF(INDEX($Q$2:$U$1001,MATCH(ROWS($J$2:J590),$J$2:$J$1001,0),MATCH(COLUMNS($Q$1006:U1006),$Q$1006:$U$1006,0)), HYPERLINK("#",""), HYPERLINK(CONCATENATE("#Metadata!", ADDRESS(INDEX($L$2:$L$1001,MATCH(ROWS($J$2:J590),$J$2:$J$1001,0),0), INDEX($Q$1004:$U$1004,1,MATCH(COLUMNS($Q$1006:U1006),$Q$1006:$U$1006,0)))),"Fix")))</f>
        <v xml:space="preserve"> </v>
      </c>
      <c r="J590">
        <f ca="1"/>
        <v>589</v>
      </c>
      <c r="K590">
        <v>100590</v>
      </c>
      <c r="L590">
        <v>590</v>
      </c>
      <c r="M590" t="b">
        <f t="shared" si="9"/>
        <v>1</v>
      </c>
      <c r="N590" t="b">
        <f>COUNTBLANK(Metadata!B590:F590)=COLUMNS(Metadata!B590:F590)</f>
        <v>1</v>
      </c>
      <c r="O590" t="str">
        <v/>
      </c>
      <c r="Q590" t="b">
        <f ca="1"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R590" t="b">
        <f>IF(Metadata!C590="",FALSE,TRUE)</f>
        <v>0</v>
      </c>
      <c r="S590" t="b">
        <f>OR(AND(IF(Metadata!D590="",FALSE,TRUE),EXACT(Metadata!D590,"missing: not collected")),AND(IF(Metadata!D590="",FALSE,TRUE),OR(EXACT(Metadata!D590,"t"),EXACT(Metadata!D590,"f"))))</f>
        <v>0</v>
      </c>
      <c r="T590" t="b">
        <f>AND(IF(Metadata!E590="",FALSE,TRUE),OR(EXACT(Metadata!E590,"a"),EXACT(Metadata!E590,"b")))</f>
        <v>0</v>
      </c>
      <c r="U590" t="b">
        <f>OR(AND(IF(Metadata!F590="",FALSE,TRUE),OR(EXACT(Metadata!F590,"missing: not collected"),EXACT(Metadata!F590,"missing: not provided"))),AND(IF(Metadata!F590="",FALSE,TRUE),OR(EXACT(Metadata!F590,"lo"),EXACT(Metadata!F590,"med"),EXACT(Metadata!F590,"hi"))))</f>
        <v>0</v>
      </c>
    </row>
    <row r="591" spans="1:21" x14ac:dyDescent="0.2">
      <c r="A591" s="4" t="str">
        <f ca="1">IF(B591=" "," ",HYPERLINK(CONCATENATE("#metadata!",ADDRESS(INDEX($L$2:$L$1001,MATCH(ROWS($J$2:J591),$J$2:$J$1001,0),0),1)),INDEX($O$2:$O$1001,MATCH(ROWS($J$2:J591),$J$2:$J$1001,0),0)))</f>
        <v xml:space="preserve"> </v>
      </c>
      <c r="B591" s="3" t="str">
        <f ca="1">IF(OR(INDEX($K$2:$K$1001,MATCH(ROWS($J$2:J591),$J$2:$J$1001,0),1)&gt;=100000,INDEX($Q$1005:$U$1005,1,MATCH(COLUMNS($Q$1006:Q1006),$Q$1006:$U$1006,0))&gt;=100000), " ",IF(INDEX($Q$2:$U$1001,MATCH(ROWS($J$2:J591),$J$2:$J$1001,0),MATCH(COLUMNS($Q$1006:Q1006),$Q$1006:$U$1006,0)), HYPERLINK("#",""), HYPERLINK(CONCATENATE("#Metadata!", ADDRESS(INDEX($L$2:$L$1001,MATCH(ROWS($J$2:J591),$J$2:$J$1001,0),0), INDEX($Q$1004:$U$1004,1,MATCH(COLUMNS($Q$1006:Q1006),$Q$1006:$U$1006,0)))),"Fix")))</f>
        <v xml:space="preserve"> </v>
      </c>
      <c r="C591" s="3" t="str">
        <f ca="1">IF(OR(INDEX($K$2:$K$1001,MATCH(ROWS($J$2:J591),$J$2:$J$1001,0),1)&gt;=100000,INDEX($Q$1005:$U$1005,1,MATCH(COLUMNS($Q$1006:R1006),$Q$1006:$U$1006,0))&gt;=100000), " ",IF(INDEX($Q$2:$U$1001,MATCH(ROWS($J$2:J591),$J$2:$J$1001,0),MATCH(COLUMNS($Q$1006:R1006),$Q$1006:$U$1006,0)), HYPERLINK("#",""), HYPERLINK(CONCATENATE("#Metadata!", ADDRESS(INDEX($L$2:$L$1001,MATCH(ROWS($J$2:J591),$J$2:$J$1001,0),0), INDEX($Q$1004:$U$1004,1,MATCH(COLUMNS($Q$1006:R1006),$Q$1006:$U$1006,0)))),"Fix")))</f>
        <v xml:space="preserve"> </v>
      </c>
      <c r="D591" s="3" t="str">
        <f ca="1">IF(OR(INDEX($K$2:$K$1001,MATCH(ROWS($J$2:J591),$J$2:$J$1001,0),1)&gt;=100000,INDEX($Q$1005:$U$1005,1,MATCH(COLUMNS($Q$1006:S1006),$Q$1006:$U$1006,0))&gt;=100000), " ",IF(INDEX($Q$2:$U$1001,MATCH(ROWS($J$2:J591),$J$2:$J$1001,0),MATCH(COLUMNS($Q$1006:S1006),$Q$1006:$U$1006,0)), HYPERLINK("#",""), HYPERLINK(CONCATENATE("#Metadata!", ADDRESS(INDEX($L$2:$L$1001,MATCH(ROWS($J$2:J591),$J$2:$J$1001,0),0), INDEX($Q$1004:$U$1004,1,MATCH(COLUMNS($Q$1006:S1006),$Q$1006:$U$1006,0)))),"Fix")))</f>
        <v xml:space="preserve"> </v>
      </c>
      <c r="E591" s="3" t="str">
        <f ca="1">IF(OR(INDEX($K$2:$K$1001,MATCH(ROWS($J$2:J591),$J$2:$J$1001,0),1)&gt;=100000,INDEX($Q$1005:$U$1005,1,MATCH(COLUMNS($Q$1006:T1006),$Q$1006:$U$1006,0))&gt;=100000), " ",IF(INDEX($Q$2:$U$1001,MATCH(ROWS($J$2:J591),$J$2:$J$1001,0),MATCH(COLUMNS($Q$1006:T1006),$Q$1006:$U$1006,0)), HYPERLINK("#",""), HYPERLINK(CONCATENATE("#Metadata!", ADDRESS(INDEX($L$2:$L$1001,MATCH(ROWS($J$2:J591),$J$2:$J$1001,0),0), INDEX($Q$1004:$U$1004,1,MATCH(COLUMNS($Q$1006:T1006),$Q$1006:$U$1006,0)))),"Fix")))</f>
        <v xml:space="preserve"> </v>
      </c>
      <c r="F591" s="3" t="str">
        <f ca="1">IF(OR(INDEX($K$2:$K$1001,MATCH(ROWS($J$2:J591),$J$2:$J$1001,0),1)&gt;=100000,INDEX($Q$1005:$U$1005,1,MATCH(COLUMNS($Q$1006:U1006),$Q$1006:$U$1006,0))&gt;=100000), " ",IF(INDEX($Q$2:$U$1001,MATCH(ROWS($J$2:J591),$J$2:$J$1001,0),MATCH(COLUMNS($Q$1006:U1006),$Q$1006:$U$1006,0)), HYPERLINK("#",""), HYPERLINK(CONCATENATE("#Metadata!", ADDRESS(INDEX($L$2:$L$1001,MATCH(ROWS($J$2:J591),$J$2:$J$1001,0),0), INDEX($Q$1004:$U$1004,1,MATCH(COLUMNS($Q$1006:U1006),$Q$1006:$U$1006,0)))),"Fix")))</f>
        <v xml:space="preserve"> </v>
      </c>
      <c r="J591">
        <f ca="1"/>
        <v>590</v>
      </c>
      <c r="K591">
        <v>100591</v>
      </c>
      <c r="L591">
        <v>591</v>
      </c>
      <c r="M591" t="b">
        <f t="shared" si="9"/>
        <v>1</v>
      </c>
      <c r="N591" t="b">
        <f>COUNTBLANK(Metadata!B591:F591)=COLUMNS(Metadata!B591:F591)</f>
        <v>1</v>
      </c>
      <c r="O591" t="str">
        <v/>
      </c>
      <c r="Q591" t="b">
        <f ca="1"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R591" t="b">
        <f>IF(Metadata!C591="",FALSE,TRUE)</f>
        <v>0</v>
      </c>
      <c r="S591" t="b">
        <f>OR(AND(IF(Metadata!D591="",FALSE,TRUE),EXACT(Metadata!D591,"missing: not collected")),AND(IF(Metadata!D591="",FALSE,TRUE),OR(EXACT(Metadata!D591,"t"),EXACT(Metadata!D591,"f"))))</f>
        <v>0</v>
      </c>
      <c r="T591" t="b">
        <f>AND(IF(Metadata!E591="",FALSE,TRUE),OR(EXACT(Metadata!E591,"a"),EXACT(Metadata!E591,"b")))</f>
        <v>0</v>
      </c>
      <c r="U591" t="b">
        <f>OR(AND(IF(Metadata!F591="",FALSE,TRUE),OR(EXACT(Metadata!F591,"missing: not collected"),EXACT(Metadata!F591,"missing: not provided"))),AND(IF(Metadata!F591="",FALSE,TRUE),OR(EXACT(Metadata!F591,"lo"),EXACT(Metadata!F591,"med"),EXACT(Metadata!F591,"hi"))))</f>
        <v>0</v>
      </c>
    </row>
    <row r="592" spans="1:21" x14ac:dyDescent="0.2">
      <c r="A592" s="4" t="str">
        <f ca="1">IF(B592=" "," ",HYPERLINK(CONCATENATE("#metadata!",ADDRESS(INDEX($L$2:$L$1001,MATCH(ROWS($J$2:J592),$J$2:$J$1001,0),0),1)),INDEX($O$2:$O$1001,MATCH(ROWS($J$2:J592),$J$2:$J$1001,0),0)))</f>
        <v xml:space="preserve"> </v>
      </c>
      <c r="B592" s="3" t="str">
        <f ca="1">IF(OR(INDEX($K$2:$K$1001,MATCH(ROWS($J$2:J592),$J$2:$J$1001,0),1)&gt;=100000,INDEX($Q$1005:$U$1005,1,MATCH(COLUMNS($Q$1006:Q1006),$Q$1006:$U$1006,0))&gt;=100000), " ",IF(INDEX($Q$2:$U$1001,MATCH(ROWS($J$2:J592),$J$2:$J$1001,0),MATCH(COLUMNS($Q$1006:Q1006),$Q$1006:$U$1006,0)), HYPERLINK("#",""), HYPERLINK(CONCATENATE("#Metadata!", ADDRESS(INDEX($L$2:$L$1001,MATCH(ROWS($J$2:J592),$J$2:$J$1001,0),0), INDEX($Q$1004:$U$1004,1,MATCH(COLUMNS($Q$1006:Q1006),$Q$1006:$U$1006,0)))),"Fix")))</f>
        <v xml:space="preserve"> </v>
      </c>
      <c r="C592" s="3" t="str">
        <f ca="1">IF(OR(INDEX($K$2:$K$1001,MATCH(ROWS($J$2:J592),$J$2:$J$1001,0),1)&gt;=100000,INDEX($Q$1005:$U$1005,1,MATCH(COLUMNS($Q$1006:R1006),$Q$1006:$U$1006,0))&gt;=100000), " ",IF(INDEX($Q$2:$U$1001,MATCH(ROWS($J$2:J592),$J$2:$J$1001,0),MATCH(COLUMNS($Q$1006:R1006),$Q$1006:$U$1006,0)), HYPERLINK("#",""), HYPERLINK(CONCATENATE("#Metadata!", ADDRESS(INDEX($L$2:$L$1001,MATCH(ROWS($J$2:J592),$J$2:$J$1001,0),0), INDEX($Q$1004:$U$1004,1,MATCH(COLUMNS($Q$1006:R1006),$Q$1006:$U$1006,0)))),"Fix")))</f>
        <v xml:space="preserve"> </v>
      </c>
      <c r="D592" s="3" t="str">
        <f ca="1">IF(OR(INDEX($K$2:$K$1001,MATCH(ROWS($J$2:J592),$J$2:$J$1001,0),1)&gt;=100000,INDEX($Q$1005:$U$1005,1,MATCH(COLUMNS($Q$1006:S1006),$Q$1006:$U$1006,0))&gt;=100000), " ",IF(INDEX($Q$2:$U$1001,MATCH(ROWS($J$2:J592),$J$2:$J$1001,0),MATCH(COLUMNS($Q$1006:S1006),$Q$1006:$U$1006,0)), HYPERLINK("#",""), HYPERLINK(CONCATENATE("#Metadata!", ADDRESS(INDEX($L$2:$L$1001,MATCH(ROWS($J$2:J592),$J$2:$J$1001,0),0), INDEX($Q$1004:$U$1004,1,MATCH(COLUMNS($Q$1006:S1006),$Q$1006:$U$1006,0)))),"Fix")))</f>
        <v xml:space="preserve"> </v>
      </c>
      <c r="E592" s="3" t="str">
        <f ca="1">IF(OR(INDEX($K$2:$K$1001,MATCH(ROWS($J$2:J592),$J$2:$J$1001,0),1)&gt;=100000,INDEX($Q$1005:$U$1005,1,MATCH(COLUMNS($Q$1006:T1006),$Q$1006:$U$1006,0))&gt;=100000), " ",IF(INDEX($Q$2:$U$1001,MATCH(ROWS($J$2:J592),$J$2:$J$1001,0),MATCH(COLUMNS($Q$1006:T1006),$Q$1006:$U$1006,0)), HYPERLINK("#",""), HYPERLINK(CONCATENATE("#Metadata!", ADDRESS(INDEX($L$2:$L$1001,MATCH(ROWS($J$2:J592),$J$2:$J$1001,0),0), INDEX($Q$1004:$U$1004,1,MATCH(COLUMNS($Q$1006:T1006),$Q$1006:$U$1006,0)))),"Fix")))</f>
        <v xml:space="preserve"> </v>
      </c>
      <c r="F592" s="3" t="str">
        <f ca="1">IF(OR(INDEX($K$2:$K$1001,MATCH(ROWS($J$2:J592),$J$2:$J$1001,0),1)&gt;=100000,INDEX($Q$1005:$U$1005,1,MATCH(COLUMNS($Q$1006:U1006),$Q$1006:$U$1006,0))&gt;=100000), " ",IF(INDEX($Q$2:$U$1001,MATCH(ROWS($J$2:J592),$J$2:$J$1001,0),MATCH(COLUMNS($Q$1006:U1006),$Q$1006:$U$1006,0)), HYPERLINK("#",""), HYPERLINK(CONCATENATE("#Metadata!", ADDRESS(INDEX($L$2:$L$1001,MATCH(ROWS($J$2:J592),$J$2:$J$1001,0),0), INDEX($Q$1004:$U$1004,1,MATCH(COLUMNS($Q$1006:U1006),$Q$1006:$U$1006,0)))),"Fix")))</f>
        <v xml:space="preserve"> </v>
      </c>
      <c r="J592">
        <f ca="1"/>
        <v>591</v>
      </c>
      <c r="K592">
        <v>100592</v>
      </c>
      <c r="L592">
        <v>592</v>
      </c>
      <c r="M592" t="b">
        <f t="shared" si="9"/>
        <v>1</v>
      </c>
      <c r="N592" t="b">
        <f>COUNTBLANK(Metadata!B592:F592)=COLUMNS(Metadata!B592:F592)</f>
        <v>1</v>
      </c>
      <c r="O592" t="str">
        <v/>
      </c>
      <c r="Q592" t="b">
        <f ca="1"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R592" t="b">
        <f>IF(Metadata!C592="",FALSE,TRUE)</f>
        <v>0</v>
      </c>
      <c r="S592" t="b">
        <f>OR(AND(IF(Metadata!D592="",FALSE,TRUE),EXACT(Metadata!D592,"missing: not collected")),AND(IF(Metadata!D592="",FALSE,TRUE),OR(EXACT(Metadata!D592,"t"),EXACT(Metadata!D592,"f"))))</f>
        <v>0</v>
      </c>
      <c r="T592" t="b">
        <f>AND(IF(Metadata!E592="",FALSE,TRUE),OR(EXACT(Metadata!E592,"a"),EXACT(Metadata!E592,"b")))</f>
        <v>0</v>
      </c>
      <c r="U592" t="b">
        <f>OR(AND(IF(Metadata!F592="",FALSE,TRUE),OR(EXACT(Metadata!F592,"missing: not collected"),EXACT(Metadata!F592,"missing: not provided"))),AND(IF(Metadata!F592="",FALSE,TRUE),OR(EXACT(Metadata!F592,"lo"),EXACT(Metadata!F592,"med"),EXACT(Metadata!F592,"hi"))))</f>
        <v>0</v>
      </c>
    </row>
    <row r="593" spans="1:21" x14ac:dyDescent="0.2">
      <c r="A593" s="4" t="str">
        <f ca="1">IF(B593=" "," ",HYPERLINK(CONCATENATE("#metadata!",ADDRESS(INDEX($L$2:$L$1001,MATCH(ROWS($J$2:J593),$J$2:$J$1001,0),0),1)),INDEX($O$2:$O$1001,MATCH(ROWS($J$2:J593),$J$2:$J$1001,0),0)))</f>
        <v xml:space="preserve"> </v>
      </c>
      <c r="B593" s="3" t="str">
        <f ca="1">IF(OR(INDEX($K$2:$K$1001,MATCH(ROWS($J$2:J593),$J$2:$J$1001,0),1)&gt;=100000,INDEX($Q$1005:$U$1005,1,MATCH(COLUMNS($Q$1006:Q1006),$Q$1006:$U$1006,0))&gt;=100000), " ",IF(INDEX($Q$2:$U$1001,MATCH(ROWS($J$2:J593),$J$2:$J$1001,0),MATCH(COLUMNS($Q$1006:Q1006),$Q$1006:$U$1006,0)), HYPERLINK("#",""), HYPERLINK(CONCATENATE("#Metadata!", ADDRESS(INDEX($L$2:$L$1001,MATCH(ROWS($J$2:J593),$J$2:$J$1001,0),0), INDEX($Q$1004:$U$1004,1,MATCH(COLUMNS($Q$1006:Q1006),$Q$1006:$U$1006,0)))),"Fix")))</f>
        <v xml:space="preserve"> </v>
      </c>
      <c r="C593" s="3" t="str">
        <f ca="1">IF(OR(INDEX($K$2:$K$1001,MATCH(ROWS($J$2:J593),$J$2:$J$1001,0),1)&gt;=100000,INDEX($Q$1005:$U$1005,1,MATCH(COLUMNS($Q$1006:R1006),$Q$1006:$U$1006,0))&gt;=100000), " ",IF(INDEX($Q$2:$U$1001,MATCH(ROWS($J$2:J593),$J$2:$J$1001,0),MATCH(COLUMNS($Q$1006:R1006),$Q$1006:$U$1006,0)), HYPERLINK("#",""), HYPERLINK(CONCATENATE("#Metadata!", ADDRESS(INDEX($L$2:$L$1001,MATCH(ROWS($J$2:J593),$J$2:$J$1001,0),0), INDEX($Q$1004:$U$1004,1,MATCH(COLUMNS($Q$1006:R1006),$Q$1006:$U$1006,0)))),"Fix")))</f>
        <v xml:space="preserve"> </v>
      </c>
      <c r="D593" s="3" t="str">
        <f ca="1">IF(OR(INDEX($K$2:$K$1001,MATCH(ROWS($J$2:J593),$J$2:$J$1001,0),1)&gt;=100000,INDEX($Q$1005:$U$1005,1,MATCH(COLUMNS($Q$1006:S1006),$Q$1006:$U$1006,0))&gt;=100000), " ",IF(INDEX($Q$2:$U$1001,MATCH(ROWS($J$2:J593),$J$2:$J$1001,0),MATCH(COLUMNS($Q$1006:S1006),$Q$1006:$U$1006,0)), HYPERLINK("#",""), HYPERLINK(CONCATENATE("#Metadata!", ADDRESS(INDEX($L$2:$L$1001,MATCH(ROWS($J$2:J593),$J$2:$J$1001,0),0), INDEX($Q$1004:$U$1004,1,MATCH(COLUMNS($Q$1006:S1006),$Q$1006:$U$1006,0)))),"Fix")))</f>
        <v xml:space="preserve"> </v>
      </c>
      <c r="E593" s="3" t="str">
        <f ca="1">IF(OR(INDEX($K$2:$K$1001,MATCH(ROWS($J$2:J593),$J$2:$J$1001,0),1)&gt;=100000,INDEX($Q$1005:$U$1005,1,MATCH(COLUMNS($Q$1006:T1006),$Q$1006:$U$1006,0))&gt;=100000), " ",IF(INDEX($Q$2:$U$1001,MATCH(ROWS($J$2:J593),$J$2:$J$1001,0),MATCH(COLUMNS($Q$1006:T1006),$Q$1006:$U$1006,0)), HYPERLINK("#",""), HYPERLINK(CONCATENATE("#Metadata!", ADDRESS(INDEX($L$2:$L$1001,MATCH(ROWS($J$2:J593),$J$2:$J$1001,0),0), INDEX($Q$1004:$U$1004,1,MATCH(COLUMNS($Q$1006:T1006),$Q$1006:$U$1006,0)))),"Fix")))</f>
        <v xml:space="preserve"> </v>
      </c>
      <c r="F593" s="3" t="str">
        <f ca="1">IF(OR(INDEX($K$2:$K$1001,MATCH(ROWS($J$2:J593),$J$2:$J$1001,0),1)&gt;=100000,INDEX($Q$1005:$U$1005,1,MATCH(COLUMNS($Q$1006:U1006),$Q$1006:$U$1006,0))&gt;=100000), " ",IF(INDEX($Q$2:$U$1001,MATCH(ROWS($J$2:J593),$J$2:$J$1001,0),MATCH(COLUMNS($Q$1006:U1006),$Q$1006:$U$1006,0)), HYPERLINK("#",""), HYPERLINK(CONCATENATE("#Metadata!", ADDRESS(INDEX($L$2:$L$1001,MATCH(ROWS($J$2:J593),$J$2:$J$1001,0),0), INDEX($Q$1004:$U$1004,1,MATCH(COLUMNS($Q$1006:U1006),$Q$1006:$U$1006,0)))),"Fix")))</f>
        <v xml:space="preserve"> </v>
      </c>
      <c r="J593">
        <f ca="1"/>
        <v>592</v>
      </c>
      <c r="K593">
        <v>100593</v>
      </c>
      <c r="L593">
        <v>593</v>
      </c>
      <c r="M593" t="b">
        <f t="shared" si="9"/>
        <v>1</v>
      </c>
      <c r="N593" t="b">
        <f>COUNTBLANK(Metadata!B593:F593)=COLUMNS(Metadata!B593:F593)</f>
        <v>1</v>
      </c>
      <c r="O593" t="str">
        <v/>
      </c>
      <c r="Q593" t="b">
        <f ca="1"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R593" t="b">
        <f>IF(Metadata!C593="",FALSE,TRUE)</f>
        <v>0</v>
      </c>
      <c r="S593" t="b">
        <f>OR(AND(IF(Metadata!D593="",FALSE,TRUE),EXACT(Metadata!D593,"missing: not collected")),AND(IF(Metadata!D593="",FALSE,TRUE),OR(EXACT(Metadata!D593,"t"),EXACT(Metadata!D593,"f"))))</f>
        <v>0</v>
      </c>
      <c r="T593" t="b">
        <f>AND(IF(Metadata!E593="",FALSE,TRUE),OR(EXACT(Metadata!E593,"a"),EXACT(Metadata!E593,"b")))</f>
        <v>0</v>
      </c>
      <c r="U593" t="b">
        <f>OR(AND(IF(Metadata!F593="",FALSE,TRUE),OR(EXACT(Metadata!F593,"missing: not collected"),EXACT(Metadata!F593,"missing: not provided"))),AND(IF(Metadata!F593="",FALSE,TRUE),OR(EXACT(Metadata!F593,"lo"),EXACT(Metadata!F593,"med"),EXACT(Metadata!F593,"hi"))))</f>
        <v>0</v>
      </c>
    </row>
    <row r="594" spans="1:21" x14ac:dyDescent="0.2">
      <c r="A594" s="4" t="str">
        <f ca="1">IF(B594=" "," ",HYPERLINK(CONCATENATE("#metadata!",ADDRESS(INDEX($L$2:$L$1001,MATCH(ROWS($J$2:J594),$J$2:$J$1001,0),0),1)),INDEX($O$2:$O$1001,MATCH(ROWS($J$2:J594),$J$2:$J$1001,0),0)))</f>
        <v xml:space="preserve"> </v>
      </c>
      <c r="B594" s="3" t="str">
        <f ca="1">IF(OR(INDEX($K$2:$K$1001,MATCH(ROWS($J$2:J594),$J$2:$J$1001,0),1)&gt;=100000,INDEX($Q$1005:$U$1005,1,MATCH(COLUMNS($Q$1006:Q1006),$Q$1006:$U$1006,0))&gt;=100000), " ",IF(INDEX($Q$2:$U$1001,MATCH(ROWS($J$2:J594),$J$2:$J$1001,0),MATCH(COLUMNS($Q$1006:Q1006),$Q$1006:$U$1006,0)), HYPERLINK("#",""), HYPERLINK(CONCATENATE("#Metadata!", ADDRESS(INDEX($L$2:$L$1001,MATCH(ROWS($J$2:J594),$J$2:$J$1001,0),0), INDEX($Q$1004:$U$1004,1,MATCH(COLUMNS($Q$1006:Q1006),$Q$1006:$U$1006,0)))),"Fix")))</f>
        <v xml:space="preserve"> </v>
      </c>
      <c r="C594" s="3" t="str">
        <f ca="1">IF(OR(INDEX($K$2:$K$1001,MATCH(ROWS($J$2:J594),$J$2:$J$1001,0),1)&gt;=100000,INDEX($Q$1005:$U$1005,1,MATCH(COLUMNS($Q$1006:R1006),$Q$1006:$U$1006,0))&gt;=100000), " ",IF(INDEX($Q$2:$U$1001,MATCH(ROWS($J$2:J594),$J$2:$J$1001,0),MATCH(COLUMNS($Q$1006:R1006),$Q$1006:$U$1006,0)), HYPERLINK("#",""), HYPERLINK(CONCATENATE("#Metadata!", ADDRESS(INDEX($L$2:$L$1001,MATCH(ROWS($J$2:J594),$J$2:$J$1001,0),0), INDEX($Q$1004:$U$1004,1,MATCH(COLUMNS($Q$1006:R1006),$Q$1006:$U$1006,0)))),"Fix")))</f>
        <v xml:space="preserve"> </v>
      </c>
      <c r="D594" s="3" t="str">
        <f ca="1">IF(OR(INDEX($K$2:$K$1001,MATCH(ROWS($J$2:J594),$J$2:$J$1001,0),1)&gt;=100000,INDEX($Q$1005:$U$1005,1,MATCH(COLUMNS($Q$1006:S1006),$Q$1006:$U$1006,0))&gt;=100000), " ",IF(INDEX($Q$2:$U$1001,MATCH(ROWS($J$2:J594),$J$2:$J$1001,0),MATCH(COLUMNS($Q$1006:S1006),$Q$1006:$U$1006,0)), HYPERLINK("#",""), HYPERLINK(CONCATENATE("#Metadata!", ADDRESS(INDEX($L$2:$L$1001,MATCH(ROWS($J$2:J594),$J$2:$J$1001,0),0), INDEX($Q$1004:$U$1004,1,MATCH(COLUMNS($Q$1006:S1006),$Q$1006:$U$1006,0)))),"Fix")))</f>
        <v xml:space="preserve"> </v>
      </c>
      <c r="E594" s="3" t="str">
        <f ca="1">IF(OR(INDEX($K$2:$K$1001,MATCH(ROWS($J$2:J594),$J$2:$J$1001,0),1)&gt;=100000,INDEX($Q$1005:$U$1005,1,MATCH(COLUMNS($Q$1006:T1006),$Q$1006:$U$1006,0))&gt;=100000), " ",IF(INDEX($Q$2:$U$1001,MATCH(ROWS($J$2:J594),$J$2:$J$1001,0),MATCH(COLUMNS($Q$1006:T1006),$Q$1006:$U$1006,0)), HYPERLINK("#",""), HYPERLINK(CONCATENATE("#Metadata!", ADDRESS(INDEX($L$2:$L$1001,MATCH(ROWS($J$2:J594),$J$2:$J$1001,0),0), INDEX($Q$1004:$U$1004,1,MATCH(COLUMNS($Q$1006:T1006),$Q$1006:$U$1006,0)))),"Fix")))</f>
        <v xml:space="preserve"> </v>
      </c>
      <c r="F594" s="3" t="str">
        <f ca="1">IF(OR(INDEX($K$2:$K$1001,MATCH(ROWS($J$2:J594),$J$2:$J$1001,0),1)&gt;=100000,INDEX($Q$1005:$U$1005,1,MATCH(COLUMNS($Q$1006:U1006),$Q$1006:$U$1006,0))&gt;=100000), " ",IF(INDEX($Q$2:$U$1001,MATCH(ROWS($J$2:J594),$J$2:$J$1001,0),MATCH(COLUMNS($Q$1006:U1006),$Q$1006:$U$1006,0)), HYPERLINK("#",""), HYPERLINK(CONCATENATE("#Metadata!", ADDRESS(INDEX($L$2:$L$1001,MATCH(ROWS($J$2:J594),$J$2:$J$1001,0),0), INDEX($Q$1004:$U$1004,1,MATCH(COLUMNS($Q$1006:U1006),$Q$1006:$U$1006,0)))),"Fix")))</f>
        <v xml:space="preserve"> </v>
      </c>
      <c r="J594">
        <f ca="1"/>
        <v>593</v>
      </c>
      <c r="K594">
        <v>100594</v>
      </c>
      <c r="L594">
        <v>594</v>
      </c>
      <c r="M594" t="b">
        <f t="shared" si="9"/>
        <v>1</v>
      </c>
      <c r="N594" t="b">
        <f>COUNTBLANK(Metadata!B594:F594)=COLUMNS(Metadata!B594:F594)</f>
        <v>1</v>
      </c>
      <c r="O594" t="str">
        <v/>
      </c>
      <c r="Q594" t="b">
        <f ca="1"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R594" t="b">
        <f>IF(Metadata!C594="",FALSE,TRUE)</f>
        <v>0</v>
      </c>
      <c r="S594" t="b">
        <f>OR(AND(IF(Metadata!D594="",FALSE,TRUE),EXACT(Metadata!D594,"missing: not collected")),AND(IF(Metadata!D594="",FALSE,TRUE),OR(EXACT(Metadata!D594,"t"),EXACT(Metadata!D594,"f"))))</f>
        <v>0</v>
      </c>
      <c r="T594" t="b">
        <f>AND(IF(Metadata!E594="",FALSE,TRUE),OR(EXACT(Metadata!E594,"a"),EXACT(Metadata!E594,"b")))</f>
        <v>0</v>
      </c>
      <c r="U594" t="b">
        <f>OR(AND(IF(Metadata!F594="",FALSE,TRUE),OR(EXACT(Metadata!F594,"missing: not collected"),EXACT(Metadata!F594,"missing: not provided"))),AND(IF(Metadata!F594="",FALSE,TRUE),OR(EXACT(Metadata!F594,"lo"),EXACT(Metadata!F594,"med"),EXACT(Metadata!F594,"hi"))))</f>
        <v>0</v>
      </c>
    </row>
    <row r="595" spans="1:21" x14ac:dyDescent="0.2">
      <c r="A595" s="4" t="str">
        <f ca="1">IF(B595=" "," ",HYPERLINK(CONCATENATE("#metadata!",ADDRESS(INDEX($L$2:$L$1001,MATCH(ROWS($J$2:J595),$J$2:$J$1001,0),0),1)),INDEX($O$2:$O$1001,MATCH(ROWS($J$2:J595),$J$2:$J$1001,0),0)))</f>
        <v xml:space="preserve"> </v>
      </c>
      <c r="B595" s="3" t="str">
        <f ca="1">IF(OR(INDEX($K$2:$K$1001,MATCH(ROWS($J$2:J595),$J$2:$J$1001,0),1)&gt;=100000,INDEX($Q$1005:$U$1005,1,MATCH(COLUMNS($Q$1006:Q1006),$Q$1006:$U$1006,0))&gt;=100000), " ",IF(INDEX($Q$2:$U$1001,MATCH(ROWS($J$2:J595),$J$2:$J$1001,0),MATCH(COLUMNS($Q$1006:Q1006),$Q$1006:$U$1006,0)), HYPERLINK("#",""), HYPERLINK(CONCATENATE("#Metadata!", ADDRESS(INDEX($L$2:$L$1001,MATCH(ROWS($J$2:J595),$J$2:$J$1001,0),0), INDEX($Q$1004:$U$1004,1,MATCH(COLUMNS($Q$1006:Q1006),$Q$1006:$U$1006,0)))),"Fix")))</f>
        <v xml:space="preserve"> </v>
      </c>
      <c r="C595" s="3" t="str">
        <f ca="1">IF(OR(INDEX($K$2:$K$1001,MATCH(ROWS($J$2:J595),$J$2:$J$1001,0),1)&gt;=100000,INDEX($Q$1005:$U$1005,1,MATCH(COLUMNS($Q$1006:R1006),$Q$1006:$U$1006,0))&gt;=100000), " ",IF(INDEX($Q$2:$U$1001,MATCH(ROWS($J$2:J595),$J$2:$J$1001,0),MATCH(COLUMNS($Q$1006:R1006),$Q$1006:$U$1006,0)), HYPERLINK("#",""), HYPERLINK(CONCATENATE("#Metadata!", ADDRESS(INDEX($L$2:$L$1001,MATCH(ROWS($J$2:J595),$J$2:$J$1001,0),0), INDEX($Q$1004:$U$1004,1,MATCH(COLUMNS($Q$1006:R1006),$Q$1006:$U$1006,0)))),"Fix")))</f>
        <v xml:space="preserve"> </v>
      </c>
      <c r="D595" s="3" t="str">
        <f ca="1">IF(OR(INDEX($K$2:$K$1001,MATCH(ROWS($J$2:J595),$J$2:$J$1001,0),1)&gt;=100000,INDEX($Q$1005:$U$1005,1,MATCH(COLUMNS($Q$1006:S1006),$Q$1006:$U$1006,0))&gt;=100000), " ",IF(INDEX($Q$2:$U$1001,MATCH(ROWS($J$2:J595),$J$2:$J$1001,0),MATCH(COLUMNS($Q$1006:S1006),$Q$1006:$U$1006,0)), HYPERLINK("#",""), HYPERLINK(CONCATENATE("#Metadata!", ADDRESS(INDEX($L$2:$L$1001,MATCH(ROWS($J$2:J595),$J$2:$J$1001,0),0), INDEX($Q$1004:$U$1004,1,MATCH(COLUMNS($Q$1006:S1006),$Q$1006:$U$1006,0)))),"Fix")))</f>
        <v xml:space="preserve"> </v>
      </c>
      <c r="E595" s="3" t="str">
        <f ca="1">IF(OR(INDEX($K$2:$K$1001,MATCH(ROWS($J$2:J595),$J$2:$J$1001,0),1)&gt;=100000,INDEX($Q$1005:$U$1005,1,MATCH(COLUMNS($Q$1006:T1006),$Q$1006:$U$1006,0))&gt;=100000), " ",IF(INDEX($Q$2:$U$1001,MATCH(ROWS($J$2:J595),$J$2:$J$1001,0),MATCH(COLUMNS($Q$1006:T1006),$Q$1006:$U$1006,0)), HYPERLINK("#",""), HYPERLINK(CONCATENATE("#Metadata!", ADDRESS(INDEX($L$2:$L$1001,MATCH(ROWS($J$2:J595),$J$2:$J$1001,0),0), INDEX($Q$1004:$U$1004,1,MATCH(COLUMNS($Q$1006:T1006),$Q$1006:$U$1006,0)))),"Fix")))</f>
        <v xml:space="preserve"> </v>
      </c>
      <c r="F595" s="3" t="str">
        <f ca="1">IF(OR(INDEX($K$2:$K$1001,MATCH(ROWS($J$2:J595),$J$2:$J$1001,0),1)&gt;=100000,INDEX($Q$1005:$U$1005,1,MATCH(COLUMNS($Q$1006:U1006),$Q$1006:$U$1006,0))&gt;=100000), " ",IF(INDEX($Q$2:$U$1001,MATCH(ROWS($J$2:J595),$J$2:$J$1001,0),MATCH(COLUMNS($Q$1006:U1006),$Q$1006:$U$1006,0)), HYPERLINK("#",""), HYPERLINK(CONCATENATE("#Metadata!", ADDRESS(INDEX($L$2:$L$1001,MATCH(ROWS($J$2:J595),$J$2:$J$1001,0),0), INDEX($Q$1004:$U$1004,1,MATCH(COLUMNS($Q$1006:U1006),$Q$1006:$U$1006,0)))),"Fix")))</f>
        <v xml:space="preserve"> </v>
      </c>
      <c r="J595">
        <f ca="1"/>
        <v>594</v>
      </c>
      <c r="K595">
        <v>100595</v>
      </c>
      <c r="L595">
        <v>595</v>
      </c>
      <c r="M595" t="b">
        <f t="shared" si="9"/>
        <v>1</v>
      </c>
      <c r="N595" t="b">
        <f>COUNTBLANK(Metadata!B595:F595)=COLUMNS(Metadata!B595:F595)</f>
        <v>1</v>
      </c>
      <c r="O595" t="str">
        <v/>
      </c>
      <c r="Q595" t="b">
        <f ca="1"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R595" t="b">
        <f>IF(Metadata!C595="",FALSE,TRUE)</f>
        <v>0</v>
      </c>
      <c r="S595" t="b">
        <f>OR(AND(IF(Metadata!D595="",FALSE,TRUE),EXACT(Metadata!D595,"missing: not collected")),AND(IF(Metadata!D595="",FALSE,TRUE),OR(EXACT(Metadata!D595,"t"),EXACT(Metadata!D595,"f"))))</f>
        <v>0</v>
      </c>
      <c r="T595" t="b">
        <f>AND(IF(Metadata!E595="",FALSE,TRUE),OR(EXACT(Metadata!E595,"a"),EXACT(Metadata!E595,"b")))</f>
        <v>0</v>
      </c>
      <c r="U595" t="b">
        <f>OR(AND(IF(Metadata!F595="",FALSE,TRUE),OR(EXACT(Metadata!F595,"missing: not collected"),EXACT(Metadata!F595,"missing: not provided"))),AND(IF(Metadata!F595="",FALSE,TRUE),OR(EXACT(Metadata!F595,"lo"),EXACT(Metadata!F595,"med"),EXACT(Metadata!F595,"hi"))))</f>
        <v>0</v>
      </c>
    </row>
    <row r="596" spans="1:21" x14ac:dyDescent="0.2">
      <c r="A596" s="4" t="str">
        <f ca="1">IF(B596=" "," ",HYPERLINK(CONCATENATE("#metadata!",ADDRESS(INDEX($L$2:$L$1001,MATCH(ROWS($J$2:J596),$J$2:$J$1001,0),0),1)),INDEX($O$2:$O$1001,MATCH(ROWS($J$2:J596),$J$2:$J$1001,0),0)))</f>
        <v xml:space="preserve"> </v>
      </c>
      <c r="B596" s="3" t="str">
        <f ca="1">IF(OR(INDEX($K$2:$K$1001,MATCH(ROWS($J$2:J596),$J$2:$J$1001,0),1)&gt;=100000,INDEX($Q$1005:$U$1005,1,MATCH(COLUMNS($Q$1006:Q1006),$Q$1006:$U$1006,0))&gt;=100000), " ",IF(INDEX($Q$2:$U$1001,MATCH(ROWS($J$2:J596),$J$2:$J$1001,0),MATCH(COLUMNS($Q$1006:Q1006),$Q$1006:$U$1006,0)), HYPERLINK("#",""), HYPERLINK(CONCATENATE("#Metadata!", ADDRESS(INDEX($L$2:$L$1001,MATCH(ROWS($J$2:J596),$J$2:$J$1001,0),0), INDEX($Q$1004:$U$1004,1,MATCH(COLUMNS($Q$1006:Q1006),$Q$1006:$U$1006,0)))),"Fix")))</f>
        <v xml:space="preserve"> </v>
      </c>
      <c r="C596" s="3" t="str">
        <f ca="1">IF(OR(INDEX($K$2:$K$1001,MATCH(ROWS($J$2:J596),$J$2:$J$1001,0),1)&gt;=100000,INDEX($Q$1005:$U$1005,1,MATCH(COLUMNS($Q$1006:R1006),$Q$1006:$U$1006,0))&gt;=100000), " ",IF(INDEX($Q$2:$U$1001,MATCH(ROWS($J$2:J596),$J$2:$J$1001,0),MATCH(COLUMNS($Q$1006:R1006),$Q$1006:$U$1006,0)), HYPERLINK("#",""), HYPERLINK(CONCATENATE("#Metadata!", ADDRESS(INDEX($L$2:$L$1001,MATCH(ROWS($J$2:J596),$J$2:$J$1001,0),0), INDEX($Q$1004:$U$1004,1,MATCH(COLUMNS($Q$1006:R1006),$Q$1006:$U$1006,0)))),"Fix")))</f>
        <v xml:space="preserve"> </v>
      </c>
      <c r="D596" s="3" t="str">
        <f ca="1">IF(OR(INDEX($K$2:$K$1001,MATCH(ROWS($J$2:J596),$J$2:$J$1001,0),1)&gt;=100000,INDEX($Q$1005:$U$1005,1,MATCH(COLUMNS($Q$1006:S1006),$Q$1006:$U$1006,0))&gt;=100000), " ",IF(INDEX($Q$2:$U$1001,MATCH(ROWS($J$2:J596),$J$2:$J$1001,0),MATCH(COLUMNS($Q$1006:S1006),$Q$1006:$U$1006,0)), HYPERLINK("#",""), HYPERLINK(CONCATENATE("#Metadata!", ADDRESS(INDEX($L$2:$L$1001,MATCH(ROWS($J$2:J596),$J$2:$J$1001,0),0), INDEX($Q$1004:$U$1004,1,MATCH(COLUMNS($Q$1006:S1006),$Q$1006:$U$1006,0)))),"Fix")))</f>
        <v xml:space="preserve"> </v>
      </c>
      <c r="E596" s="3" t="str">
        <f ca="1">IF(OR(INDEX($K$2:$K$1001,MATCH(ROWS($J$2:J596),$J$2:$J$1001,0),1)&gt;=100000,INDEX($Q$1005:$U$1005,1,MATCH(COLUMNS($Q$1006:T1006),$Q$1006:$U$1006,0))&gt;=100000), " ",IF(INDEX($Q$2:$U$1001,MATCH(ROWS($J$2:J596),$J$2:$J$1001,0),MATCH(COLUMNS($Q$1006:T1006),$Q$1006:$U$1006,0)), HYPERLINK("#",""), HYPERLINK(CONCATENATE("#Metadata!", ADDRESS(INDEX($L$2:$L$1001,MATCH(ROWS($J$2:J596),$J$2:$J$1001,0),0), INDEX($Q$1004:$U$1004,1,MATCH(COLUMNS($Q$1006:T1006),$Q$1006:$U$1006,0)))),"Fix")))</f>
        <v xml:space="preserve"> </v>
      </c>
      <c r="F596" s="3" t="str">
        <f ca="1">IF(OR(INDEX($K$2:$K$1001,MATCH(ROWS($J$2:J596),$J$2:$J$1001,0),1)&gt;=100000,INDEX($Q$1005:$U$1005,1,MATCH(COLUMNS($Q$1006:U1006),$Q$1006:$U$1006,0))&gt;=100000), " ",IF(INDEX($Q$2:$U$1001,MATCH(ROWS($J$2:J596),$J$2:$J$1001,0),MATCH(COLUMNS($Q$1006:U1006),$Q$1006:$U$1006,0)), HYPERLINK("#",""), HYPERLINK(CONCATENATE("#Metadata!", ADDRESS(INDEX($L$2:$L$1001,MATCH(ROWS($J$2:J596),$J$2:$J$1001,0),0), INDEX($Q$1004:$U$1004,1,MATCH(COLUMNS($Q$1006:U1006),$Q$1006:$U$1006,0)))),"Fix")))</f>
        <v xml:space="preserve"> </v>
      </c>
      <c r="J596">
        <f ca="1"/>
        <v>595</v>
      </c>
      <c r="K596">
        <v>100596</v>
      </c>
      <c r="L596">
        <v>596</v>
      </c>
      <c r="M596" t="b">
        <f t="shared" si="9"/>
        <v>1</v>
      </c>
      <c r="N596" t="b">
        <f>COUNTBLANK(Metadata!B596:F596)=COLUMNS(Metadata!B596:F596)</f>
        <v>1</v>
      </c>
      <c r="O596" t="str">
        <v/>
      </c>
      <c r="Q596" t="b">
        <f ca="1"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R596" t="b">
        <f>IF(Metadata!C596="",FALSE,TRUE)</f>
        <v>0</v>
      </c>
      <c r="S596" t="b">
        <f>OR(AND(IF(Metadata!D596="",FALSE,TRUE),EXACT(Metadata!D596,"missing: not collected")),AND(IF(Metadata!D596="",FALSE,TRUE),OR(EXACT(Metadata!D596,"t"),EXACT(Metadata!D596,"f"))))</f>
        <v>0</v>
      </c>
      <c r="T596" t="b">
        <f>AND(IF(Metadata!E596="",FALSE,TRUE),OR(EXACT(Metadata!E596,"a"),EXACT(Metadata!E596,"b")))</f>
        <v>0</v>
      </c>
      <c r="U596" t="b">
        <f>OR(AND(IF(Metadata!F596="",FALSE,TRUE),OR(EXACT(Metadata!F596,"missing: not collected"),EXACT(Metadata!F596,"missing: not provided"))),AND(IF(Metadata!F596="",FALSE,TRUE),OR(EXACT(Metadata!F596,"lo"),EXACT(Metadata!F596,"med"),EXACT(Metadata!F596,"hi"))))</f>
        <v>0</v>
      </c>
    </row>
    <row r="597" spans="1:21" x14ac:dyDescent="0.2">
      <c r="A597" s="4" t="str">
        <f ca="1">IF(B597=" "," ",HYPERLINK(CONCATENATE("#metadata!",ADDRESS(INDEX($L$2:$L$1001,MATCH(ROWS($J$2:J597),$J$2:$J$1001,0),0),1)),INDEX($O$2:$O$1001,MATCH(ROWS($J$2:J597),$J$2:$J$1001,0),0)))</f>
        <v xml:space="preserve"> </v>
      </c>
      <c r="B597" s="3" t="str">
        <f ca="1">IF(OR(INDEX($K$2:$K$1001,MATCH(ROWS($J$2:J597),$J$2:$J$1001,0),1)&gt;=100000,INDEX($Q$1005:$U$1005,1,MATCH(COLUMNS($Q$1006:Q1006),$Q$1006:$U$1006,0))&gt;=100000), " ",IF(INDEX($Q$2:$U$1001,MATCH(ROWS($J$2:J597),$J$2:$J$1001,0),MATCH(COLUMNS($Q$1006:Q1006),$Q$1006:$U$1006,0)), HYPERLINK("#",""), HYPERLINK(CONCATENATE("#Metadata!", ADDRESS(INDEX($L$2:$L$1001,MATCH(ROWS($J$2:J597),$J$2:$J$1001,0),0), INDEX($Q$1004:$U$1004,1,MATCH(COLUMNS($Q$1006:Q1006),$Q$1006:$U$1006,0)))),"Fix")))</f>
        <v xml:space="preserve"> </v>
      </c>
      <c r="C597" s="3" t="str">
        <f ca="1">IF(OR(INDEX($K$2:$K$1001,MATCH(ROWS($J$2:J597),$J$2:$J$1001,0),1)&gt;=100000,INDEX($Q$1005:$U$1005,1,MATCH(COLUMNS($Q$1006:R1006),$Q$1006:$U$1006,0))&gt;=100000), " ",IF(INDEX($Q$2:$U$1001,MATCH(ROWS($J$2:J597),$J$2:$J$1001,0),MATCH(COLUMNS($Q$1006:R1006),$Q$1006:$U$1006,0)), HYPERLINK("#",""), HYPERLINK(CONCATENATE("#Metadata!", ADDRESS(INDEX($L$2:$L$1001,MATCH(ROWS($J$2:J597),$J$2:$J$1001,0),0), INDEX($Q$1004:$U$1004,1,MATCH(COLUMNS($Q$1006:R1006),$Q$1006:$U$1006,0)))),"Fix")))</f>
        <v xml:space="preserve"> </v>
      </c>
      <c r="D597" s="3" t="str">
        <f ca="1">IF(OR(INDEX($K$2:$K$1001,MATCH(ROWS($J$2:J597),$J$2:$J$1001,0),1)&gt;=100000,INDEX($Q$1005:$U$1005,1,MATCH(COLUMNS($Q$1006:S1006),$Q$1006:$U$1006,0))&gt;=100000), " ",IF(INDEX($Q$2:$U$1001,MATCH(ROWS($J$2:J597),$J$2:$J$1001,0),MATCH(COLUMNS($Q$1006:S1006),$Q$1006:$U$1006,0)), HYPERLINK("#",""), HYPERLINK(CONCATENATE("#Metadata!", ADDRESS(INDEX($L$2:$L$1001,MATCH(ROWS($J$2:J597),$J$2:$J$1001,0),0), INDEX($Q$1004:$U$1004,1,MATCH(COLUMNS($Q$1006:S1006),$Q$1006:$U$1006,0)))),"Fix")))</f>
        <v xml:space="preserve"> </v>
      </c>
      <c r="E597" s="3" t="str">
        <f ca="1">IF(OR(INDEX($K$2:$K$1001,MATCH(ROWS($J$2:J597),$J$2:$J$1001,0),1)&gt;=100000,INDEX($Q$1005:$U$1005,1,MATCH(COLUMNS($Q$1006:T1006),$Q$1006:$U$1006,0))&gt;=100000), " ",IF(INDEX($Q$2:$U$1001,MATCH(ROWS($J$2:J597),$J$2:$J$1001,0),MATCH(COLUMNS($Q$1006:T1006),$Q$1006:$U$1006,0)), HYPERLINK("#",""), HYPERLINK(CONCATENATE("#Metadata!", ADDRESS(INDEX($L$2:$L$1001,MATCH(ROWS($J$2:J597),$J$2:$J$1001,0),0), INDEX($Q$1004:$U$1004,1,MATCH(COLUMNS($Q$1006:T1006),$Q$1006:$U$1006,0)))),"Fix")))</f>
        <v xml:space="preserve"> </v>
      </c>
      <c r="F597" s="3" t="str">
        <f ca="1">IF(OR(INDEX($K$2:$K$1001,MATCH(ROWS($J$2:J597),$J$2:$J$1001,0),1)&gt;=100000,INDEX($Q$1005:$U$1005,1,MATCH(COLUMNS($Q$1006:U1006),$Q$1006:$U$1006,0))&gt;=100000), " ",IF(INDEX($Q$2:$U$1001,MATCH(ROWS($J$2:J597),$J$2:$J$1001,0),MATCH(COLUMNS($Q$1006:U1006),$Q$1006:$U$1006,0)), HYPERLINK("#",""), HYPERLINK(CONCATENATE("#Metadata!", ADDRESS(INDEX($L$2:$L$1001,MATCH(ROWS($J$2:J597),$J$2:$J$1001,0),0), INDEX($Q$1004:$U$1004,1,MATCH(COLUMNS($Q$1006:U1006),$Q$1006:$U$1006,0)))),"Fix")))</f>
        <v xml:space="preserve"> </v>
      </c>
      <c r="J597">
        <f ca="1"/>
        <v>596</v>
      </c>
      <c r="K597">
        <v>100597</v>
      </c>
      <c r="L597">
        <v>597</v>
      </c>
      <c r="M597" t="b">
        <f t="shared" si="9"/>
        <v>1</v>
      </c>
      <c r="N597" t="b">
        <f>COUNTBLANK(Metadata!B597:F597)=COLUMNS(Metadata!B597:F597)</f>
        <v>1</v>
      </c>
      <c r="O597" t="str">
        <v/>
      </c>
      <c r="Q597" t="b">
        <f ca="1"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R597" t="b">
        <f>IF(Metadata!C597="",FALSE,TRUE)</f>
        <v>0</v>
      </c>
      <c r="S597" t="b">
        <f>OR(AND(IF(Metadata!D597="",FALSE,TRUE),EXACT(Metadata!D597,"missing: not collected")),AND(IF(Metadata!D597="",FALSE,TRUE),OR(EXACT(Metadata!D597,"t"),EXACT(Metadata!D597,"f"))))</f>
        <v>0</v>
      </c>
      <c r="T597" t="b">
        <f>AND(IF(Metadata!E597="",FALSE,TRUE),OR(EXACT(Metadata!E597,"a"),EXACT(Metadata!E597,"b")))</f>
        <v>0</v>
      </c>
      <c r="U597" t="b">
        <f>OR(AND(IF(Metadata!F597="",FALSE,TRUE),OR(EXACT(Metadata!F597,"missing: not collected"),EXACT(Metadata!F597,"missing: not provided"))),AND(IF(Metadata!F597="",FALSE,TRUE),OR(EXACT(Metadata!F597,"lo"),EXACT(Metadata!F597,"med"),EXACT(Metadata!F597,"hi"))))</f>
        <v>0</v>
      </c>
    </row>
    <row r="598" spans="1:21" x14ac:dyDescent="0.2">
      <c r="A598" s="4" t="str">
        <f ca="1">IF(B598=" "," ",HYPERLINK(CONCATENATE("#metadata!",ADDRESS(INDEX($L$2:$L$1001,MATCH(ROWS($J$2:J598),$J$2:$J$1001,0),0),1)),INDEX($O$2:$O$1001,MATCH(ROWS($J$2:J598),$J$2:$J$1001,0),0)))</f>
        <v xml:space="preserve"> </v>
      </c>
      <c r="B598" s="3" t="str">
        <f ca="1">IF(OR(INDEX($K$2:$K$1001,MATCH(ROWS($J$2:J598),$J$2:$J$1001,0),1)&gt;=100000,INDEX($Q$1005:$U$1005,1,MATCH(COLUMNS($Q$1006:Q1006),$Q$1006:$U$1006,0))&gt;=100000), " ",IF(INDEX($Q$2:$U$1001,MATCH(ROWS($J$2:J598),$J$2:$J$1001,0),MATCH(COLUMNS($Q$1006:Q1006),$Q$1006:$U$1006,0)), HYPERLINK("#",""), HYPERLINK(CONCATENATE("#Metadata!", ADDRESS(INDEX($L$2:$L$1001,MATCH(ROWS($J$2:J598),$J$2:$J$1001,0),0), INDEX($Q$1004:$U$1004,1,MATCH(COLUMNS($Q$1006:Q1006),$Q$1006:$U$1006,0)))),"Fix")))</f>
        <v xml:space="preserve"> </v>
      </c>
      <c r="C598" s="3" t="str">
        <f ca="1">IF(OR(INDEX($K$2:$K$1001,MATCH(ROWS($J$2:J598),$J$2:$J$1001,0),1)&gt;=100000,INDEX($Q$1005:$U$1005,1,MATCH(COLUMNS($Q$1006:R1006),$Q$1006:$U$1006,0))&gt;=100000), " ",IF(INDEX($Q$2:$U$1001,MATCH(ROWS($J$2:J598),$J$2:$J$1001,0),MATCH(COLUMNS($Q$1006:R1006),$Q$1006:$U$1006,0)), HYPERLINK("#",""), HYPERLINK(CONCATENATE("#Metadata!", ADDRESS(INDEX($L$2:$L$1001,MATCH(ROWS($J$2:J598),$J$2:$J$1001,0),0), INDEX($Q$1004:$U$1004,1,MATCH(COLUMNS($Q$1006:R1006),$Q$1006:$U$1006,0)))),"Fix")))</f>
        <v xml:space="preserve"> </v>
      </c>
      <c r="D598" s="3" t="str">
        <f ca="1">IF(OR(INDEX($K$2:$K$1001,MATCH(ROWS($J$2:J598),$J$2:$J$1001,0),1)&gt;=100000,INDEX($Q$1005:$U$1005,1,MATCH(COLUMNS($Q$1006:S1006),$Q$1006:$U$1006,0))&gt;=100000), " ",IF(INDEX($Q$2:$U$1001,MATCH(ROWS($J$2:J598),$J$2:$J$1001,0),MATCH(COLUMNS($Q$1006:S1006),$Q$1006:$U$1006,0)), HYPERLINK("#",""), HYPERLINK(CONCATENATE("#Metadata!", ADDRESS(INDEX($L$2:$L$1001,MATCH(ROWS($J$2:J598),$J$2:$J$1001,0),0), INDEX($Q$1004:$U$1004,1,MATCH(COLUMNS($Q$1006:S1006),$Q$1006:$U$1006,0)))),"Fix")))</f>
        <v xml:space="preserve"> </v>
      </c>
      <c r="E598" s="3" t="str">
        <f ca="1">IF(OR(INDEX($K$2:$K$1001,MATCH(ROWS($J$2:J598),$J$2:$J$1001,0),1)&gt;=100000,INDEX($Q$1005:$U$1005,1,MATCH(COLUMNS($Q$1006:T1006),$Q$1006:$U$1006,0))&gt;=100000), " ",IF(INDEX($Q$2:$U$1001,MATCH(ROWS($J$2:J598),$J$2:$J$1001,0),MATCH(COLUMNS($Q$1006:T1006),$Q$1006:$U$1006,0)), HYPERLINK("#",""), HYPERLINK(CONCATENATE("#Metadata!", ADDRESS(INDEX($L$2:$L$1001,MATCH(ROWS($J$2:J598),$J$2:$J$1001,0),0), INDEX($Q$1004:$U$1004,1,MATCH(COLUMNS($Q$1006:T1006),$Q$1006:$U$1006,0)))),"Fix")))</f>
        <v xml:space="preserve"> </v>
      </c>
      <c r="F598" s="3" t="str">
        <f ca="1">IF(OR(INDEX($K$2:$K$1001,MATCH(ROWS($J$2:J598),$J$2:$J$1001,0),1)&gt;=100000,INDEX($Q$1005:$U$1005,1,MATCH(COLUMNS($Q$1006:U1006),$Q$1006:$U$1006,0))&gt;=100000), " ",IF(INDEX($Q$2:$U$1001,MATCH(ROWS($J$2:J598),$J$2:$J$1001,0),MATCH(COLUMNS($Q$1006:U1006),$Q$1006:$U$1006,0)), HYPERLINK("#",""), HYPERLINK(CONCATENATE("#Metadata!", ADDRESS(INDEX($L$2:$L$1001,MATCH(ROWS($J$2:J598),$J$2:$J$1001,0),0), INDEX($Q$1004:$U$1004,1,MATCH(COLUMNS($Q$1006:U1006),$Q$1006:$U$1006,0)))),"Fix")))</f>
        <v xml:space="preserve"> </v>
      </c>
      <c r="J598">
        <f ca="1"/>
        <v>597</v>
      </c>
      <c r="K598">
        <v>100598</v>
      </c>
      <c r="L598">
        <v>598</v>
      </c>
      <c r="M598" t="b">
        <f t="shared" si="9"/>
        <v>1</v>
      </c>
      <c r="N598" t="b">
        <f>COUNTBLANK(Metadata!B598:F598)=COLUMNS(Metadata!B598:F598)</f>
        <v>1</v>
      </c>
      <c r="O598" t="str">
        <v/>
      </c>
      <c r="Q598" t="b">
        <f ca="1"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R598" t="b">
        <f>IF(Metadata!C598="",FALSE,TRUE)</f>
        <v>0</v>
      </c>
      <c r="S598" t="b">
        <f>OR(AND(IF(Metadata!D598="",FALSE,TRUE),EXACT(Metadata!D598,"missing: not collected")),AND(IF(Metadata!D598="",FALSE,TRUE),OR(EXACT(Metadata!D598,"t"),EXACT(Metadata!D598,"f"))))</f>
        <v>0</v>
      </c>
      <c r="T598" t="b">
        <f>AND(IF(Metadata!E598="",FALSE,TRUE),OR(EXACT(Metadata!E598,"a"),EXACT(Metadata!E598,"b")))</f>
        <v>0</v>
      </c>
      <c r="U598" t="b">
        <f>OR(AND(IF(Metadata!F598="",FALSE,TRUE),OR(EXACT(Metadata!F598,"missing: not collected"),EXACT(Metadata!F598,"missing: not provided"))),AND(IF(Metadata!F598="",FALSE,TRUE),OR(EXACT(Metadata!F598,"lo"),EXACT(Metadata!F598,"med"),EXACT(Metadata!F598,"hi"))))</f>
        <v>0</v>
      </c>
    </row>
    <row r="599" spans="1:21" x14ac:dyDescent="0.2">
      <c r="A599" s="4" t="str">
        <f ca="1">IF(B599=" "," ",HYPERLINK(CONCATENATE("#metadata!",ADDRESS(INDEX($L$2:$L$1001,MATCH(ROWS($J$2:J599),$J$2:$J$1001,0),0),1)),INDEX($O$2:$O$1001,MATCH(ROWS($J$2:J599),$J$2:$J$1001,0),0)))</f>
        <v xml:space="preserve"> </v>
      </c>
      <c r="B599" s="3" t="str">
        <f ca="1">IF(OR(INDEX($K$2:$K$1001,MATCH(ROWS($J$2:J599),$J$2:$J$1001,0),1)&gt;=100000,INDEX($Q$1005:$U$1005,1,MATCH(COLUMNS($Q$1006:Q1006),$Q$1006:$U$1006,0))&gt;=100000), " ",IF(INDEX($Q$2:$U$1001,MATCH(ROWS($J$2:J599),$J$2:$J$1001,0),MATCH(COLUMNS($Q$1006:Q1006),$Q$1006:$U$1006,0)), HYPERLINK("#",""), HYPERLINK(CONCATENATE("#Metadata!", ADDRESS(INDEX($L$2:$L$1001,MATCH(ROWS($J$2:J599),$J$2:$J$1001,0),0), INDEX($Q$1004:$U$1004,1,MATCH(COLUMNS($Q$1006:Q1006),$Q$1006:$U$1006,0)))),"Fix")))</f>
        <v xml:space="preserve"> </v>
      </c>
      <c r="C599" s="3" t="str">
        <f ca="1">IF(OR(INDEX($K$2:$K$1001,MATCH(ROWS($J$2:J599),$J$2:$J$1001,0),1)&gt;=100000,INDEX($Q$1005:$U$1005,1,MATCH(COLUMNS($Q$1006:R1006),$Q$1006:$U$1006,0))&gt;=100000), " ",IF(INDEX($Q$2:$U$1001,MATCH(ROWS($J$2:J599),$J$2:$J$1001,0),MATCH(COLUMNS($Q$1006:R1006),$Q$1006:$U$1006,0)), HYPERLINK("#",""), HYPERLINK(CONCATENATE("#Metadata!", ADDRESS(INDEX($L$2:$L$1001,MATCH(ROWS($J$2:J599),$J$2:$J$1001,0),0), INDEX($Q$1004:$U$1004,1,MATCH(COLUMNS($Q$1006:R1006),$Q$1006:$U$1006,0)))),"Fix")))</f>
        <v xml:space="preserve"> </v>
      </c>
      <c r="D599" s="3" t="str">
        <f ca="1">IF(OR(INDEX($K$2:$K$1001,MATCH(ROWS($J$2:J599),$J$2:$J$1001,0),1)&gt;=100000,INDEX($Q$1005:$U$1005,1,MATCH(COLUMNS($Q$1006:S1006),$Q$1006:$U$1006,0))&gt;=100000), " ",IF(INDEX($Q$2:$U$1001,MATCH(ROWS($J$2:J599),$J$2:$J$1001,0),MATCH(COLUMNS($Q$1006:S1006),$Q$1006:$U$1006,0)), HYPERLINK("#",""), HYPERLINK(CONCATENATE("#Metadata!", ADDRESS(INDEX($L$2:$L$1001,MATCH(ROWS($J$2:J599),$J$2:$J$1001,0),0), INDEX($Q$1004:$U$1004,1,MATCH(COLUMNS($Q$1006:S1006),$Q$1006:$U$1006,0)))),"Fix")))</f>
        <v xml:space="preserve"> </v>
      </c>
      <c r="E599" s="3" t="str">
        <f ca="1">IF(OR(INDEX($K$2:$K$1001,MATCH(ROWS($J$2:J599),$J$2:$J$1001,0),1)&gt;=100000,INDEX($Q$1005:$U$1005,1,MATCH(COLUMNS($Q$1006:T1006),$Q$1006:$U$1006,0))&gt;=100000), " ",IF(INDEX($Q$2:$U$1001,MATCH(ROWS($J$2:J599),$J$2:$J$1001,0),MATCH(COLUMNS($Q$1006:T1006),$Q$1006:$U$1006,0)), HYPERLINK("#",""), HYPERLINK(CONCATENATE("#Metadata!", ADDRESS(INDEX($L$2:$L$1001,MATCH(ROWS($J$2:J599),$J$2:$J$1001,0),0), INDEX($Q$1004:$U$1004,1,MATCH(COLUMNS($Q$1006:T1006),$Q$1006:$U$1006,0)))),"Fix")))</f>
        <v xml:space="preserve"> </v>
      </c>
      <c r="F599" s="3" t="str">
        <f ca="1">IF(OR(INDEX($K$2:$K$1001,MATCH(ROWS($J$2:J599),$J$2:$J$1001,0),1)&gt;=100000,INDEX($Q$1005:$U$1005,1,MATCH(COLUMNS($Q$1006:U1006),$Q$1006:$U$1006,0))&gt;=100000), " ",IF(INDEX($Q$2:$U$1001,MATCH(ROWS($J$2:J599),$J$2:$J$1001,0),MATCH(COLUMNS($Q$1006:U1006),$Q$1006:$U$1006,0)), HYPERLINK("#",""), HYPERLINK(CONCATENATE("#Metadata!", ADDRESS(INDEX($L$2:$L$1001,MATCH(ROWS($J$2:J599),$J$2:$J$1001,0),0), INDEX($Q$1004:$U$1004,1,MATCH(COLUMNS($Q$1006:U1006),$Q$1006:$U$1006,0)))),"Fix")))</f>
        <v xml:space="preserve"> </v>
      </c>
      <c r="J599">
        <f ca="1"/>
        <v>598</v>
      </c>
      <c r="K599">
        <v>100599</v>
      </c>
      <c r="L599">
        <v>599</v>
      </c>
      <c r="M599" t="b">
        <f t="shared" si="9"/>
        <v>1</v>
      </c>
      <c r="N599" t="b">
        <f>COUNTBLANK(Metadata!B599:F599)=COLUMNS(Metadata!B599:F599)</f>
        <v>1</v>
      </c>
      <c r="O599" t="str">
        <v/>
      </c>
      <c r="Q599" t="b">
        <f ca="1"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R599" t="b">
        <f>IF(Metadata!C599="",FALSE,TRUE)</f>
        <v>0</v>
      </c>
      <c r="S599" t="b">
        <f>OR(AND(IF(Metadata!D599="",FALSE,TRUE),EXACT(Metadata!D599,"missing: not collected")),AND(IF(Metadata!D599="",FALSE,TRUE),OR(EXACT(Metadata!D599,"t"),EXACT(Metadata!D599,"f"))))</f>
        <v>0</v>
      </c>
      <c r="T599" t="b">
        <f>AND(IF(Metadata!E599="",FALSE,TRUE),OR(EXACT(Metadata!E599,"a"),EXACT(Metadata!E599,"b")))</f>
        <v>0</v>
      </c>
      <c r="U599" t="b">
        <f>OR(AND(IF(Metadata!F599="",FALSE,TRUE),OR(EXACT(Metadata!F599,"missing: not collected"),EXACT(Metadata!F599,"missing: not provided"))),AND(IF(Metadata!F599="",FALSE,TRUE),OR(EXACT(Metadata!F599,"lo"),EXACT(Metadata!F599,"med"),EXACT(Metadata!F599,"hi"))))</f>
        <v>0</v>
      </c>
    </row>
    <row r="600" spans="1:21" x14ac:dyDescent="0.2">
      <c r="A600" s="4" t="str">
        <f ca="1">IF(B600=" "," ",HYPERLINK(CONCATENATE("#metadata!",ADDRESS(INDEX($L$2:$L$1001,MATCH(ROWS($J$2:J600),$J$2:$J$1001,0),0),1)),INDEX($O$2:$O$1001,MATCH(ROWS($J$2:J600),$J$2:$J$1001,0),0)))</f>
        <v xml:space="preserve"> </v>
      </c>
      <c r="B600" s="3" t="str">
        <f ca="1">IF(OR(INDEX($K$2:$K$1001,MATCH(ROWS($J$2:J600),$J$2:$J$1001,0),1)&gt;=100000,INDEX($Q$1005:$U$1005,1,MATCH(COLUMNS($Q$1006:Q1006),$Q$1006:$U$1006,0))&gt;=100000), " ",IF(INDEX($Q$2:$U$1001,MATCH(ROWS($J$2:J600),$J$2:$J$1001,0),MATCH(COLUMNS($Q$1006:Q1006),$Q$1006:$U$1006,0)), HYPERLINK("#",""), HYPERLINK(CONCATENATE("#Metadata!", ADDRESS(INDEX($L$2:$L$1001,MATCH(ROWS($J$2:J600),$J$2:$J$1001,0),0), INDEX($Q$1004:$U$1004,1,MATCH(COLUMNS($Q$1006:Q1006),$Q$1006:$U$1006,0)))),"Fix")))</f>
        <v xml:space="preserve"> </v>
      </c>
      <c r="C600" s="3" t="str">
        <f ca="1">IF(OR(INDEX($K$2:$K$1001,MATCH(ROWS($J$2:J600),$J$2:$J$1001,0),1)&gt;=100000,INDEX($Q$1005:$U$1005,1,MATCH(COLUMNS($Q$1006:R1006),$Q$1006:$U$1006,0))&gt;=100000), " ",IF(INDEX($Q$2:$U$1001,MATCH(ROWS($J$2:J600),$J$2:$J$1001,0),MATCH(COLUMNS($Q$1006:R1006),$Q$1006:$U$1006,0)), HYPERLINK("#",""), HYPERLINK(CONCATENATE("#Metadata!", ADDRESS(INDEX($L$2:$L$1001,MATCH(ROWS($J$2:J600),$J$2:$J$1001,0),0), INDEX($Q$1004:$U$1004,1,MATCH(COLUMNS($Q$1006:R1006),$Q$1006:$U$1006,0)))),"Fix")))</f>
        <v xml:space="preserve"> </v>
      </c>
      <c r="D600" s="3" t="str">
        <f ca="1">IF(OR(INDEX($K$2:$K$1001,MATCH(ROWS($J$2:J600),$J$2:$J$1001,0),1)&gt;=100000,INDEX($Q$1005:$U$1005,1,MATCH(COLUMNS($Q$1006:S1006),$Q$1006:$U$1006,0))&gt;=100000), " ",IF(INDEX($Q$2:$U$1001,MATCH(ROWS($J$2:J600),$J$2:$J$1001,0),MATCH(COLUMNS($Q$1006:S1006),$Q$1006:$U$1006,0)), HYPERLINK("#",""), HYPERLINK(CONCATENATE("#Metadata!", ADDRESS(INDEX($L$2:$L$1001,MATCH(ROWS($J$2:J600),$J$2:$J$1001,0),0), INDEX($Q$1004:$U$1004,1,MATCH(COLUMNS($Q$1006:S1006),$Q$1006:$U$1006,0)))),"Fix")))</f>
        <v xml:space="preserve"> </v>
      </c>
      <c r="E600" s="3" t="str">
        <f ca="1">IF(OR(INDEX($K$2:$K$1001,MATCH(ROWS($J$2:J600),$J$2:$J$1001,0),1)&gt;=100000,INDEX($Q$1005:$U$1005,1,MATCH(COLUMNS($Q$1006:T1006),$Q$1006:$U$1006,0))&gt;=100000), " ",IF(INDEX($Q$2:$U$1001,MATCH(ROWS($J$2:J600),$J$2:$J$1001,0),MATCH(COLUMNS($Q$1006:T1006),$Q$1006:$U$1006,0)), HYPERLINK("#",""), HYPERLINK(CONCATENATE("#Metadata!", ADDRESS(INDEX($L$2:$L$1001,MATCH(ROWS($J$2:J600),$J$2:$J$1001,0),0), INDEX($Q$1004:$U$1004,1,MATCH(COLUMNS($Q$1006:T1006),$Q$1006:$U$1006,0)))),"Fix")))</f>
        <v xml:space="preserve"> </v>
      </c>
      <c r="F600" s="3" t="str">
        <f ca="1">IF(OR(INDEX($K$2:$K$1001,MATCH(ROWS($J$2:J600),$J$2:$J$1001,0),1)&gt;=100000,INDEX($Q$1005:$U$1005,1,MATCH(COLUMNS($Q$1006:U1006),$Q$1006:$U$1006,0))&gt;=100000), " ",IF(INDEX($Q$2:$U$1001,MATCH(ROWS($J$2:J600),$J$2:$J$1001,0),MATCH(COLUMNS($Q$1006:U1006),$Q$1006:$U$1006,0)), HYPERLINK("#",""), HYPERLINK(CONCATENATE("#Metadata!", ADDRESS(INDEX($L$2:$L$1001,MATCH(ROWS($J$2:J600),$J$2:$J$1001,0),0), INDEX($Q$1004:$U$1004,1,MATCH(COLUMNS($Q$1006:U1006),$Q$1006:$U$1006,0)))),"Fix")))</f>
        <v xml:space="preserve"> </v>
      </c>
      <c r="J600">
        <f ca="1"/>
        <v>599</v>
      </c>
      <c r="K600">
        <v>100600</v>
      </c>
      <c r="L600">
        <v>600</v>
      </c>
      <c r="M600" t="b">
        <f t="shared" si="9"/>
        <v>1</v>
      </c>
      <c r="N600" t="b">
        <f>COUNTBLANK(Metadata!B600:F600)=COLUMNS(Metadata!B600:F600)</f>
        <v>1</v>
      </c>
      <c r="O600" t="str">
        <v/>
      </c>
      <c r="Q600" t="b">
        <f ca="1"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R600" t="b">
        <f>IF(Metadata!C600="",FALSE,TRUE)</f>
        <v>0</v>
      </c>
      <c r="S600" t="b">
        <f>OR(AND(IF(Metadata!D600="",FALSE,TRUE),EXACT(Metadata!D600,"missing: not collected")),AND(IF(Metadata!D600="",FALSE,TRUE),OR(EXACT(Metadata!D600,"t"),EXACT(Metadata!D600,"f"))))</f>
        <v>0</v>
      </c>
      <c r="T600" t="b">
        <f>AND(IF(Metadata!E600="",FALSE,TRUE),OR(EXACT(Metadata!E600,"a"),EXACT(Metadata!E600,"b")))</f>
        <v>0</v>
      </c>
      <c r="U600" t="b">
        <f>OR(AND(IF(Metadata!F600="",FALSE,TRUE),OR(EXACT(Metadata!F600,"missing: not collected"),EXACT(Metadata!F600,"missing: not provided"))),AND(IF(Metadata!F600="",FALSE,TRUE),OR(EXACT(Metadata!F600,"lo"),EXACT(Metadata!F600,"med"),EXACT(Metadata!F600,"hi"))))</f>
        <v>0</v>
      </c>
    </row>
    <row r="601" spans="1:21" x14ac:dyDescent="0.2">
      <c r="A601" s="4" t="str">
        <f ca="1">IF(B601=" "," ",HYPERLINK(CONCATENATE("#metadata!",ADDRESS(INDEX($L$2:$L$1001,MATCH(ROWS($J$2:J601),$J$2:$J$1001,0),0),1)),INDEX($O$2:$O$1001,MATCH(ROWS($J$2:J601),$J$2:$J$1001,0),0)))</f>
        <v xml:space="preserve"> </v>
      </c>
      <c r="B601" s="3" t="str">
        <f ca="1">IF(OR(INDEX($K$2:$K$1001,MATCH(ROWS($J$2:J601),$J$2:$J$1001,0),1)&gt;=100000,INDEX($Q$1005:$U$1005,1,MATCH(COLUMNS($Q$1006:Q1006),$Q$1006:$U$1006,0))&gt;=100000), " ",IF(INDEX($Q$2:$U$1001,MATCH(ROWS($J$2:J601),$J$2:$J$1001,0),MATCH(COLUMNS($Q$1006:Q1006),$Q$1006:$U$1006,0)), HYPERLINK("#",""), HYPERLINK(CONCATENATE("#Metadata!", ADDRESS(INDEX($L$2:$L$1001,MATCH(ROWS($J$2:J601),$J$2:$J$1001,0),0), INDEX($Q$1004:$U$1004,1,MATCH(COLUMNS($Q$1006:Q1006),$Q$1006:$U$1006,0)))),"Fix")))</f>
        <v xml:space="preserve"> </v>
      </c>
      <c r="C601" s="3" t="str">
        <f ca="1">IF(OR(INDEX($K$2:$K$1001,MATCH(ROWS($J$2:J601),$J$2:$J$1001,0),1)&gt;=100000,INDEX($Q$1005:$U$1005,1,MATCH(COLUMNS($Q$1006:R1006),$Q$1006:$U$1006,0))&gt;=100000), " ",IF(INDEX($Q$2:$U$1001,MATCH(ROWS($J$2:J601),$J$2:$J$1001,0),MATCH(COLUMNS($Q$1006:R1006),$Q$1006:$U$1006,0)), HYPERLINK("#",""), HYPERLINK(CONCATENATE("#Metadata!", ADDRESS(INDEX($L$2:$L$1001,MATCH(ROWS($J$2:J601),$J$2:$J$1001,0),0), INDEX($Q$1004:$U$1004,1,MATCH(COLUMNS($Q$1006:R1006),$Q$1006:$U$1006,0)))),"Fix")))</f>
        <v xml:space="preserve"> </v>
      </c>
      <c r="D601" s="3" t="str">
        <f ca="1">IF(OR(INDEX($K$2:$K$1001,MATCH(ROWS($J$2:J601),$J$2:$J$1001,0),1)&gt;=100000,INDEX($Q$1005:$U$1005,1,MATCH(COLUMNS($Q$1006:S1006),$Q$1006:$U$1006,0))&gt;=100000), " ",IF(INDEX($Q$2:$U$1001,MATCH(ROWS($J$2:J601),$J$2:$J$1001,0),MATCH(COLUMNS($Q$1006:S1006),$Q$1006:$U$1006,0)), HYPERLINK("#",""), HYPERLINK(CONCATENATE("#Metadata!", ADDRESS(INDEX($L$2:$L$1001,MATCH(ROWS($J$2:J601),$J$2:$J$1001,0),0), INDEX($Q$1004:$U$1004,1,MATCH(COLUMNS($Q$1006:S1006),$Q$1006:$U$1006,0)))),"Fix")))</f>
        <v xml:space="preserve"> </v>
      </c>
      <c r="E601" s="3" t="str">
        <f ca="1">IF(OR(INDEX($K$2:$K$1001,MATCH(ROWS($J$2:J601),$J$2:$J$1001,0),1)&gt;=100000,INDEX($Q$1005:$U$1005,1,MATCH(COLUMNS($Q$1006:T1006),$Q$1006:$U$1006,0))&gt;=100000), " ",IF(INDEX($Q$2:$U$1001,MATCH(ROWS($J$2:J601),$J$2:$J$1001,0),MATCH(COLUMNS($Q$1006:T1006),$Q$1006:$U$1006,0)), HYPERLINK("#",""), HYPERLINK(CONCATENATE("#Metadata!", ADDRESS(INDEX($L$2:$L$1001,MATCH(ROWS($J$2:J601),$J$2:$J$1001,0),0), INDEX($Q$1004:$U$1004,1,MATCH(COLUMNS($Q$1006:T1006),$Q$1006:$U$1006,0)))),"Fix")))</f>
        <v xml:space="preserve"> </v>
      </c>
      <c r="F601" s="3" t="str">
        <f ca="1">IF(OR(INDEX($K$2:$K$1001,MATCH(ROWS($J$2:J601),$J$2:$J$1001,0),1)&gt;=100000,INDEX($Q$1005:$U$1005,1,MATCH(COLUMNS($Q$1006:U1006),$Q$1006:$U$1006,0))&gt;=100000), " ",IF(INDEX($Q$2:$U$1001,MATCH(ROWS($J$2:J601),$J$2:$J$1001,0),MATCH(COLUMNS($Q$1006:U1006),$Q$1006:$U$1006,0)), HYPERLINK("#",""), HYPERLINK(CONCATENATE("#Metadata!", ADDRESS(INDEX($L$2:$L$1001,MATCH(ROWS($J$2:J601),$J$2:$J$1001,0),0), INDEX($Q$1004:$U$1004,1,MATCH(COLUMNS($Q$1006:U1006),$Q$1006:$U$1006,0)))),"Fix")))</f>
        <v xml:space="preserve"> </v>
      </c>
      <c r="J601">
        <f ca="1"/>
        <v>600</v>
      </c>
      <c r="K601">
        <v>100601</v>
      </c>
      <c r="L601">
        <v>601</v>
      </c>
      <c r="M601" t="b">
        <f t="shared" si="9"/>
        <v>1</v>
      </c>
      <c r="N601" t="b">
        <f>COUNTBLANK(Metadata!B601:F601)=COLUMNS(Metadata!B601:F601)</f>
        <v>1</v>
      </c>
      <c r="O601" t="str">
        <v/>
      </c>
      <c r="Q601" t="b">
        <f ca="1"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R601" t="b">
        <f>IF(Metadata!C601="",FALSE,TRUE)</f>
        <v>0</v>
      </c>
      <c r="S601" t="b">
        <f>OR(AND(IF(Metadata!D601="",FALSE,TRUE),EXACT(Metadata!D601,"missing: not collected")),AND(IF(Metadata!D601="",FALSE,TRUE),OR(EXACT(Metadata!D601,"t"),EXACT(Metadata!D601,"f"))))</f>
        <v>0</v>
      </c>
      <c r="T601" t="b">
        <f>AND(IF(Metadata!E601="",FALSE,TRUE),OR(EXACT(Metadata!E601,"a"),EXACT(Metadata!E601,"b")))</f>
        <v>0</v>
      </c>
      <c r="U601" t="b">
        <f>OR(AND(IF(Metadata!F601="",FALSE,TRUE),OR(EXACT(Metadata!F601,"missing: not collected"),EXACT(Metadata!F601,"missing: not provided"))),AND(IF(Metadata!F601="",FALSE,TRUE),OR(EXACT(Metadata!F601,"lo"),EXACT(Metadata!F601,"med"),EXACT(Metadata!F601,"hi"))))</f>
        <v>0</v>
      </c>
    </row>
    <row r="602" spans="1:21" x14ac:dyDescent="0.2">
      <c r="A602" s="4" t="str">
        <f ca="1">IF(B602=" "," ",HYPERLINK(CONCATENATE("#metadata!",ADDRESS(INDEX($L$2:$L$1001,MATCH(ROWS($J$2:J602),$J$2:$J$1001,0),0),1)),INDEX($O$2:$O$1001,MATCH(ROWS($J$2:J602),$J$2:$J$1001,0),0)))</f>
        <v xml:space="preserve"> </v>
      </c>
      <c r="B602" s="3" t="str">
        <f ca="1">IF(OR(INDEX($K$2:$K$1001,MATCH(ROWS($J$2:J602),$J$2:$J$1001,0),1)&gt;=100000,INDEX($Q$1005:$U$1005,1,MATCH(COLUMNS($Q$1006:Q1006),$Q$1006:$U$1006,0))&gt;=100000), " ",IF(INDEX($Q$2:$U$1001,MATCH(ROWS($J$2:J602),$J$2:$J$1001,0),MATCH(COLUMNS($Q$1006:Q1006),$Q$1006:$U$1006,0)), HYPERLINK("#",""), HYPERLINK(CONCATENATE("#Metadata!", ADDRESS(INDEX($L$2:$L$1001,MATCH(ROWS($J$2:J602),$J$2:$J$1001,0),0), INDEX($Q$1004:$U$1004,1,MATCH(COLUMNS($Q$1006:Q1006),$Q$1006:$U$1006,0)))),"Fix")))</f>
        <v xml:space="preserve"> </v>
      </c>
      <c r="C602" s="3" t="str">
        <f ca="1">IF(OR(INDEX($K$2:$K$1001,MATCH(ROWS($J$2:J602),$J$2:$J$1001,0),1)&gt;=100000,INDEX($Q$1005:$U$1005,1,MATCH(COLUMNS($Q$1006:R1006),$Q$1006:$U$1006,0))&gt;=100000), " ",IF(INDEX($Q$2:$U$1001,MATCH(ROWS($J$2:J602),$J$2:$J$1001,0),MATCH(COLUMNS($Q$1006:R1006),$Q$1006:$U$1006,0)), HYPERLINK("#",""), HYPERLINK(CONCATENATE("#Metadata!", ADDRESS(INDEX($L$2:$L$1001,MATCH(ROWS($J$2:J602),$J$2:$J$1001,0),0), INDEX($Q$1004:$U$1004,1,MATCH(COLUMNS($Q$1006:R1006),$Q$1006:$U$1006,0)))),"Fix")))</f>
        <v xml:space="preserve"> </v>
      </c>
      <c r="D602" s="3" t="str">
        <f ca="1">IF(OR(INDEX($K$2:$K$1001,MATCH(ROWS($J$2:J602),$J$2:$J$1001,0),1)&gt;=100000,INDEX($Q$1005:$U$1005,1,MATCH(COLUMNS($Q$1006:S1006),$Q$1006:$U$1006,0))&gt;=100000), " ",IF(INDEX($Q$2:$U$1001,MATCH(ROWS($J$2:J602),$J$2:$J$1001,0),MATCH(COLUMNS($Q$1006:S1006),$Q$1006:$U$1006,0)), HYPERLINK("#",""), HYPERLINK(CONCATENATE("#Metadata!", ADDRESS(INDEX($L$2:$L$1001,MATCH(ROWS($J$2:J602),$J$2:$J$1001,0),0), INDEX($Q$1004:$U$1004,1,MATCH(COLUMNS($Q$1006:S1006),$Q$1006:$U$1006,0)))),"Fix")))</f>
        <v xml:space="preserve"> </v>
      </c>
      <c r="E602" s="3" t="str">
        <f ca="1">IF(OR(INDEX($K$2:$K$1001,MATCH(ROWS($J$2:J602),$J$2:$J$1001,0),1)&gt;=100000,INDEX($Q$1005:$U$1005,1,MATCH(COLUMNS($Q$1006:T1006),$Q$1006:$U$1006,0))&gt;=100000), " ",IF(INDEX($Q$2:$U$1001,MATCH(ROWS($J$2:J602),$J$2:$J$1001,0),MATCH(COLUMNS($Q$1006:T1006),$Q$1006:$U$1006,0)), HYPERLINK("#",""), HYPERLINK(CONCATENATE("#Metadata!", ADDRESS(INDEX($L$2:$L$1001,MATCH(ROWS($J$2:J602),$J$2:$J$1001,0),0), INDEX($Q$1004:$U$1004,1,MATCH(COLUMNS($Q$1006:T1006),$Q$1006:$U$1006,0)))),"Fix")))</f>
        <v xml:space="preserve"> </v>
      </c>
      <c r="F602" s="3" t="str">
        <f ca="1">IF(OR(INDEX($K$2:$K$1001,MATCH(ROWS($J$2:J602),$J$2:$J$1001,0),1)&gt;=100000,INDEX($Q$1005:$U$1005,1,MATCH(COLUMNS($Q$1006:U1006),$Q$1006:$U$1006,0))&gt;=100000), " ",IF(INDEX($Q$2:$U$1001,MATCH(ROWS($J$2:J602),$J$2:$J$1001,0),MATCH(COLUMNS($Q$1006:U1006),$Q$1006:$U$1006,0)), HYPERLINK("#",""), HYPERLINK(CONCATENATE("#Metadata!", ADDRESS(INDEX($L$2:$L$1001,MATCH(ROWS($J$2:J602),$J$2:$J$1001,0),0), INDEX($Q$1004:$U$1004,1,MATCH(COLUMNS($Q$1006:U1006),$Q$1006:$U$1006,0)))),"Fix")))</f>
        <v xml:space="preserve"> </v>
      </c>
      <c r="J602">
        <f ca="1"/>
        <v>601</v>
      </c>
      <c r="K602">
        <v>100602</v>
      </c>
      <c r="L602">
        <v>602</v>
      </c>
      <c r="M602" t="b">
        <f t="shared" si="9"/>
        <v>1</v>
      </c>
      <c r="N602" t="b">
        <f>COUNTBLANK(Metadata!B602:F602)=COLUMNS(Metadata!B602:F602)</f>
        <v>1</v>
      </c>
      <c r="O602" t="str">
        <v/>
      </c>
      <c r="Q602" t="b">
        <f ca="1"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R602" t="b">
        <f>IF(Metadata!C602="",FALSE,TRUE)</f>
        <v>0</v>
      </c>
      <c r="S602" t="b">
        <f>OR(AND(IF(Metadata!D602="",FALSE,TRUE),EXACT(Metadata!D602,"missing: not collected")),AND(IF(Metadata!D602="",FALSE,TRUE),OR(EXACT(Metadata!D602,"t"),EXACT(Metadata!D602,"f"))))</f>
        <v>0</v>
      </c>
      <c r="T602" t="b">
        <f>AND(IF(Metadata!E602="",FALSE,TRUE),OR(EXACT(Metadata!E602,"a"),EXACT(Metadata!E602,"b")))</f>
        <v>0</v>
      </c>
      <c r="U602" t="b">
        <f>OR(AND(IF(Metadata!F602="",FALSE,TRUE),OR(EXACT(Metadata!F602,"missing: not collected"),EXACT(Metadata!F602,"missing: not provided"))),AND(IF(Metadata!F602="",FALSE,TRUE),OR(EXACT(Metadata!F602,"lo"),EXACT(Metadata!F602,"med"),EXACT(Metadata!F602,"hi"))))</f>
        <v>0</v>
      </c>
    </row>
    <row r="603" spans="1:21" x14ac:dyDescent="0.2">
      <c r="A603" s="4" t="str">
        <f ca="1">IF(B603=" "," ",HYPERLINK(CONCATENATE("#metadata!",ADDRESS(INDEX($L$2:$L$1001,MATCH(ROWS($J$2:J603),$J$2:$J$1001,0),0),1)),INDEX($O$2:$O$1001,MATCH(ROWS($J$2:J603),$J$2:$J$1001,0),0)))</f>
        <v xml:space="preserve"> </v>
      </c>
      <c r="B603" s="3" t="str">
        <f ca="1">IF(OR(INDEX($K$2:$K$1001,MATCH(ROWS($J$2:J603),$J$2:$J$1001,0),1)&gt;=100000,INDEX($Q$1005:$U$1005,1,MATCH(COLUMNS($Q$1006:Q1006),$Q$1006:$U$1006,0))&gt;=100000), " ",IF(INDEX($Q$2:$U$1001,MATCH(ROWS($J$2:J603),$J$2:$J$1001,0),MATCH(COLUMNS($Q$1006:Q1006),$Q$1006:$U$1006,0)), HYPERLINK("#",""), HYPERLINK(CONCATENATE("#Metadata!", ADDRESS(INDEX($L$2:$L$1001,MATCH(ROWS($J$2:J603),$J$2:$J$1001,0),0), INDEX($Q$1004:$U$1004,1,MATCH(COLUMNS($Q$1006:Q1006),$Q$1006:$U$1006,0)))),"Fix")))</f>
        <v xml:space="preserve"> </v>
      </c>
      <c r="C603" s="3" t="str">
        <f ca="1">IF(OR(INDEX($K$2:$K$1001,MATCH(ROWS($J$2:J603),$J$2:$J$1001,0),1)&gt;=100000,INDEX($Q$1005:$U$1005,1,MATCH(COLUMNS($Q$1006:R1006),$Q$1006:$U$1006,0))&gt;=100000), " ",IF(INDEX($Q$2:$U$1001,MATCH(ROWS($J$2:J603),$J$2:$J$1001,0),MATCH(COLUMNS($Q$1006:R1006),$Q$1006:$U$1006,0)), HYPERLINK("#",""), HYPERLINK(CONCATENATE("#Metadata!", ADDRESS(INDEX($L$2:$L$1001,MATCH(ROWS($J$2:J603),$J$2:$J$1001,0),0), INDEX($Q$1004:$U$1004,1,MATCH(COLUMNS($Q$1006:R1006),$Q$1006:$U$1006,0)))),"Fix")))</f>
        <v xml:space="preserve"> </v>
      </c>
      <c r="D603" s="3" t="str">
        <f ca="1">IF(OR(INDEX($K$2:$K$1001,MATCH(ROWS($J$2:J603),$J$2:$J$1001,0),1)&gt;=100000,INDEX($Q$1005:$U$1005,1,MATCH(COLUMNS($Q$1006:S1006),$Q$1006:$U$1006,0))&gt;=100000), " ",IF(INDEX($Q$2:$U$1001,MATCH(ROWS($J$2:J603),$J$2:$J$1001,0),MATCH(COLUMNS($Q$1006:S1006),$Q$1006:$U$1006,0)), HYPERLINK("#",""), HYPERLINK(CONCATENATE("#Metadata!", ADDRESS(INDEX($L$2:$L$1001,MATCH(ROWS($J$2:J603),$J$2:$J$1001,0),0), INDEX($Q$1004:$U$1004,1,MATCH(COLUMNS($Q$1006:S1006),$Q$1006:$U$1006,0)))),"Fix")))</f>
        <v xml:space="preserve"> </v>
      </c>
      <c r="E603" s="3" t="str">
        <f ca="1">IF(OR(INDEX($K$2:$K$1001,MATCH(ROWS($J$2:J603),$J$2:$J$1001,0),1)&gt;=100000,INDEX($Q$1005:$U$1005,1,MATCH(COLUMNS($Q$1006:T1006),$Q$1006:$U$1006,0))&gt;=100000), " ",IF(INDEX($Q$2:$U$1001,MATCH(ROWS($J$2:J603),$J$2:$J$1001,0),MATCH(COLUMNS($Q$1006:T1006),$Q$1006:$U$1006,0)), HYPERLINK("#",""), HYPERLINK(CONCATENATE("#Metadata!", ADDRESS(INDEX($L$2:$L$1001,MATCH(ROWS($J$2:J603),$J$2:$J$1001,0),0), INDEX($Q$1004:$U$1004,1,MATCH(COLUMNS($Q$1006:T1006),$Q$1006:$U$1006,0)))),"Fix")))</f>
        <v xml:space="preserve"> </v>
      </c>
      <c r="F603" s="3" t="str">
        <f ca="1">IF(OR(INDEX($K$2:$K$1001,MATCH(ROWS($J$2:J603),$J$2:$J$1001,0),1)&gt;=100000,INDEX($Q$1005:$U$1005,1,MATCH(COLUMNS($Q$1006:U1006),$Q$1006:$U$1006,0))&gt;=100000), " ",IF(INDEX($Q$2:$U$1001,MATCH(ROWS($J$2:J603),$J$2:$J$1001,0),MATCH(COLUMNS($Q$1006:U1006),$Q$1006:$U$1006,0)), HYPERLINK("#",""), HYPERLINK(CONCATENATE("#Metadata!", ADDRESS(INDEX($L$2:$L$1001,MATCH(ROWS($J$2:J603),$J$2:$J$1001,0),0), INDEX($Q$1004:$U$1004,1,MATCH(COLUMNS($Q$1006:U1006),$Q$1006:$U$1006,0)))),"Fix")))</f>
        <v xml:space="preserve"> </v>
      </c>
      <c r="J603">
        <f ca="1"/>
        <v>602</v>
      </c>
      <c r="K603">
        <v>100603</v>
      </c>
      <c r="L603">
        <v>603</v>
      </c>
      <c r="M603" t="b">
        <f t="shared" si="9"/>
        <v>1</v>
      </c>
      <c r="N603" t="b">
        <f>COUNTBLANK(Metadata!B603:F603)=COLUMNS(Metadata!B603:F603)</f>
        <v>1</v>
      </c>
      <c r="O603" t="str">
        <v/>
      </c>
      <c r="Q603" t="b">
        <f ca="1"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R603" t="b">
        <f>IF(Metadata!C603="",FALSE,TRUE)</f>
        <v>0</v>
      </c>
      <c r="S603" t="b">
        <f>OR(AND(IF(Metadata!D603="",FALSE,TRUE),EXACT(Metadata!D603,"missing: not collected")),AND(IF(Metadata!D603="",FALSE,TRUE),OR(EXACT(Metadata!D603,"t"),EXACT(Metadata!D603,"f"))))</f>
        <v>0</v>
      </c>
      <c r="T603" t="b">
        <f>AND(IF(Metadata!E603="",FALSE,TRUE),OR(EXACT(Metadata!E603,"a"),EXACT(Metadata!E603,"b")))</f>
        <v>0</v>
      </c>
      <c r="U603" t="b">
        <f>OR(AND(IF(Metadata!F603="",FALSE,TRUE),OR(EXACT(Metadata!F603,"missing: not collected"),EXACT(Metadata!F603,"missing: not provided"))),AND(IF(Metadata!F603="",FALSE,TRUE),OR(EXACT(Metadata!F603,"lo"),EXACT(Metadata!F603,"med"),EXACT(Metadata!F603,"hi"))))</f>
        <v>0</v>
      </c>
    </row>
    <row r="604" spans="1:21" x14ac:dyDescent="0.2">
      <c r="A604" s="4" t="str">
        <f ca="1">IF(B604=" "," ",HYPERLINK(CONCATENATE("#metadata!",ADDRESS(INDEX($L$2:$L$1001,MATCH(ROWS($J$2:J604),$J$2:$J$1001,0),0),1)),INDEX($O$2:$O$1001,MATCH(ROWS($J$2:J604),$J$2:$J$1001,0),0)))</f>
        <v xml:space="preserve"> </v>
      </c>
      <c r="B604" s="3" t="str">
        <f ca="1">IF(OR(INDEX($K$2:$K$1001,MATCH(ROWS($J$2:J604),$J$2:$J$1001,0),1)&gt;=100000,INDEX($Q$1005:$U$1005,1,MATCH(COLUMNS($Q$1006:Q1006),$Q$1006:$U$1006,0))&gt;=100000), " ",IF(INDEX($Q$2:$U$1001,MATCH(ROWS($J$2:J604),$J$2:$J$1001,0),MATCH(COLUMNS($Q$1006:Q1006),$Q$1006:$U$1006,0)), HYPERLINK("#",""), HYPERLINK(CONCATENATE("#Metadata!", ADDRESS(INDEX($L$2:$L$1001,MATCH(ROWS($J$2:J604),$J$2:$J$1001,0),0), INDEX($Q$1004:$U$1004,1,MATCH(COLUMNS($Q$1006:Q1006),$Q$1006:$U$1006,0)))),"Fix")))</f>
        <v xml:space="preserve"> </v>
      </c>
      <c r="C604" s="3" t="str">
        <f ca="1">IF(OR(INDEX($K$2:$K$1001,MATCH(ROWS($J$2:J604),$J$2:$J$1001,0),1)&gt;=100000,INDEX($Q$1005:$U$1005,1,MATCH(COLUMNS($Q$1006:R1006),$Q$1006:$U$1006,0))&gt;=100000), " ",IF(INDEX($Q$2:$U$1001,MATCH(ROWS($J$2:J604),$J$2:$J$1001,0),MATCH(COLUMNS($Q$1006:R1006),$Q$1006:$U$1006,0)), HYPERLINK("#",""), HYPERLINK(CONCATENATE("#Metadata!", ADDRESS(INDEX($L$2:$L$1001,MATCH(ROWS($J$2:J604),$J$2:$J$1001,0),0), INDEX($Q$1004:$U$1004,1,MATCH(COLUMNS($Q$1006:R1006),$Q$1006:$U$1006,0)))),"Fix")))</f>
        <v xml:space="preserve"> </v>
      </c>
      <c r="D604" s="3" t="str">
        <f ca="1">IF(OR(INDEX($K$2:$K$1001,MATCH(ROWS($J$2:J604),$J$2:$J$1001,0),1)&gt;=100000,INDEX($Q$1005:$U$1005,1,MATCH(COLUMNS($Q$1006:S1006),$Q$1006:$U$1006,0))&gt;=100000), " ",IF(INDEX($Q$2:$U$1001,MATCH(ROWS($J$2:J604),$J$2:$J$1001,0),MATCH(COLUMNS($Q$1006:S1006),$Q$1006:$U$1006,0)), HYPERLINK("#",""), HYPERLINK(CONCATENATE("#Metadata!", ADDRESS(INDEX($L$2:$L$1001,MATCH(ROWS($J$2:J604),$J$2:$J$1001,0),0), INDEX($Q$1004:$U$1004,1,MATCH(COLUMNS($Q$1006:S1006),$Q$1006:$U$1006,0)))),"Fix")))</f>
        <v xml:space="preserve"> </v>
      </c>
      <c r="E604" s="3" t="str">
        <f ca="1">IF(OR(INDEX($K$2:$K$1001,MATCH(ROWS($J$2:J604),$J$2:$J$1001,0),1)&gt;=100000,INDEX($Q$1005:$U$1005,1,MATCH(COLUMNS($Q$1006:T1006),$Q$1006:$U$1006,0))&gt;=100000), " ",IF(INDEX($Q$2:$U$1001,MATCH(ROWS($J$2:J604),$J$2:$J$1001,0),MATCH(COLUMNS($Q$1006:T1006),$Q$1006:$U$1006,0)), HYPERLINK("#",""), HYPERLINK(CONCATENATE("#Metadata!", ADDRESS(INDEX($L$2:$L$1001,MATCH(ROWS($J$2:J604),$J$2:$J$1001,0),0), INDEX($Q$1004:$U$1004,1,MATCH(COLUMNS($Q$1006:T1006),$Q$1006:$U$1006,0)))),"Fix")))</f>
        <v xml:space="preserve"> </v>
      </c>
      <c r="F604" s="3" t="str">
        <f ca="1">IF(OR(INDEX($K$2:$K$1001,MATCH(ROWS($J$2:J604),$J$2:$J$1001,0),1)&gt;=100000,INDEX($Q$1005:$U$1005,1,MATCH(COLUMNS($Q$1006:U1006),$Q$1006:$U$1006,0))&gt;=100000), " ",IF(INDEX($Q$2:$U$1001,MATCH(ROWS($J$2:J604),$J$2:$J$1001,0),MATCH(COLUMNS($Q$1006:U1006),$Q$1006:$U$1006,0)), HYPERLINK("#",""), HYPERLINK(CONCATENATE("#Metadata!", ADDRESS(INDEX($L$2:$L$1001,MATCH(ROWS($J$2:J604),$J$2:$J$1001,0),0), INDEX($Q$1004:$U$1004,1,MATCH(COLUMNS($Q$1006:U1006),$Q$1006:$U$1006,0)))),"Fix")))</f>
        <v xml:space="preserve"> </v>
      </c>
      <c r="J604">
        <f ca="1"/>
        <v>603</v>
      </c>
      <c r="K604">
        <v>100604</v>
      </c>
      <c r="L604">
        <v>604</v>
      </c>
      <c r="M604" t="b">
        <f t="shared" si="9"/>
        <v>1</v>
      </c>
      <c r="N604" t="b">
        <f>COUNTBLANK(Metadata!B604:F604)=COLUMNS(Metadata!B604:F604)</f>
        <v>1</v>
      </c>
      <c r="O604" t="str">
        <v/>
      </c>
      <c r="Q604" t="b">
        <f ca="1"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R604" t="b">
        <f>IF(Metadata!C604="",FALSE,TRUE)</f>
        <v>0</v>
      </c>
      <c r="S604" t="b">
        <f>OR(AND(IF(Metadata!D604="",FALSE,TRUE),EXACT(Metadata!D604,"missing: not collected")),AND(IF(Metadata!D604="",FALSE,TRUE),OR(EXACT(Metadata!D604,"t"),EXACT(Metadata!D604,"f"))))</f>
        <v>0</v>
      </c>
      <c r="T604" t="b">
        <f>AND(IF(Metadata!E604="",FALSE,TRUE),OR(EXACT(Metadata!E604,"a"),EXACT(Metadata!E604,"b")))</f>
        <v>0</v>
      </c>
      <c r="U604" t="b">
        <f>OR(AND(IF(Metadata!F604="",FALSE,TRUE),OR(EXACT(Metadata!F604,"missing: not collected"),EXACT(Metadata!F604,"missing: not provided"))),AND(IF(Metadata!F604="",FALSE,TRUE),OR(EXACT(Metadata!F604,"lo"),EXACT(Metadata!F604,"med"),EXACT(Metadata!F604,"hi"))))</f>
        <v>0</v>
      </c>
    </row>
    <row r="605" spans="1:21" x14ac:dyDescent="0.2">
      <c r="A605" s="4" t="str">
        <f ca="1">IF(B605=" "," ",HYPERLINK(CONCATENATE("#metadata!",ADDRESS(INDEX($L$2:$L$1001,MATCH(ROWS($J$2:J605),$J$2:$J$1001,0),0),1)),INDEX($O$2:$O$1001,MATCH(ROWS($J$2:J605),$J$2:$J$1001,0),0)))</f>
        <v xml:space="preserve"> </v>
      </c>
      <c r="B605" s="3" t="str">
        <f ca="1">IF(OR(INDEX($K$2:$K$1001,MATCH(ROWS($J$2:J605),$J$2:$J$1001,0),1)&gt;=100000,INDEX($Q$1005:$U$1005,1,MATCH(COLUMNS($Q$1006:Q1006),$Q$1006:$U$1006,0))&gt;=100000), " ",IF(INDEX($Q$2:$U$1001,MATCH(ROWS($J$2:J605),$J$2:$J$1001,0),MATCH(COLUMNS($Q$1006:Q1006),$Q$1006:$U$1006,0)), HYPERLINK("#",""), HYPERLINK(CONCATENATE("#Metadata!", ADDRESS(INDEX($L$2:$L$1001,MATCH(ROWS($J$2:J605),$J$2:$J$1001,0),0), INDEX($Q$1004:$U$1004,1,MATCH(COLUMNS($Q$1006:Q1006),$Q$1006:$U$1006,0)))),"Fix")))</f>
        <v xml:space="preserve"> </v>
      </c>
      <c r="C605" s="3" t="str">
        <f ca="1">IF(OR(INDEX($K$2:$K$1001,MATCH(ROWS($J$2:J605),$J$2:$J$1001,0),1)&gt;=100000,INDEX($Q$1005:$U$1005,1,MATCH(COLUMNS($Q$1006:R1006),$Q$1006:$U$1006,0))&gt;=100000), " ",IF(INDEX($Q$2:$U$1001,MATCH(ROWS($J$2:J605),$J$2:$J$1001,0),MATCH(COLUMNS($Q$1006:R1006),$Q$1006:$U$1006,0)), HYPERLINK("#",""), HYPERLINK(CONCATENATE("#Metadata!", ADDRESS(INDEX($L$2:$L$1001,MATCH(ROWS($J$2:J605),$J$2:$J$1001,0),0), INDEX($Q$1004:$U$1004,1,MATCH(COLUMNS($Q$1006:R1006),$Q$1006:$U$1006,0)))),"Fix")))</f>
        <v xml:space="preserve"> </v>
      </c>
      <c r="D605" s="3" t="str">
        <f ca="1">IF(OR(INDEX($K$2:$K$1001,MATCH(ROWS($J$2:J605),$J$2:$J$1001,0),1)&gt;=100000,INDEX($Q$1005:$U$1005,1,MATCH(COLUMNS($Q$1006:S1006),$Q$1006:$U$1006,0))&gt;=100000), " ",IF(INDEX($Q$2:$U$1001,MATCH(ROWS($J$2:J605),$J$2:$J$1001,0),MATCH(COLUMNS($Q$1006:S1006),$Q$1006:$U$1006,0)), HYPERLINK("#",""), HYPERLINK(CONCATENATE("#Metadata!", ADDRESS(INDEX($L$2:$L$1001,MATCH(ROWS($J$2:J605),$J$2:$J$1001,0),0), INDEX($Q$1004:$U$1004,1,MATCH(COLUMNS($Q$1006:S1006),$Q$1006:$U$1006,0)))),"Fix")))</f>
        <v xml:space="preserve"> </v>
      </c>
      <c r="E605" s="3" t="str">
        <f ca="1">IF(OR(INDEX($K$2:$K$1001,MATCH(ROWS($J$2:J605),$J$2:$J$1001,0),1)&gt;=100000,INDEX($Q$1005:$U$1005,1,MATCH(COLUMNS($Q$1006:T1006),$Q$1006:$U$1006,0))&gt;=100000), " ",IF(INDEX($Q$2:$U$1001,MATCH(ROWS($J$2:J605),$J$2:$J$1001,0),MATCH(COLUMNS($Q$1006:T1006),$Q$1006:$U$1006,0)), HYPERLINK("#",""), HYPERLINK(CONCATENATE("#Metadata!", ADDRESS(INDEX($L$2:$L$1001,MATCH(ROWS($J$2:J605),$J$2:$J$1001,0),0), INDEX($Q$1004:$U$1004,1,MATCH(COLUMNS($Q$1006:T1006),$Q$1006:$U$1006,0)))),"Fix")))</f>
        <v xml:space="preserve"> </v>
      </c>
      <c r="F605" s="3" t="str">
        <f ca="1">IF(OR(INDEX($K$2:$K$1001,MATCH(ROWS($J$2:J605),$J$2:$J$1001,0),1)&gt;=100000,INDEX($Q$1005:$U$1005,1,MATCH(COLUMNS($Q$1006:U1006),$Q$1006:$U$1006,0))&gt;=100000), " ",IF(INDEX($Q$2:$U$1001,MATCH(ROWS($J$2:J605),$J$2:$J$1001,0),MATCH(COLUMNS($Q$1006:U1006),$Q$1006:$U$1006,0)), HYPERLINK("#",""), HYPERLINK(CONCATENATE("#Metadata!", ADDRESS(INDEX($L$2:$L$1001,MATCH(ROWS($J$2:J605),$J$2:$J$1001,0),0), INDEX($Q$1004:$U$1004,1,MATCH(COLUMNS($Q$1006:U1006),$Q$1006:$U$1006,0)))),"Fix")))</f>
        <v xml:space="preserve"> </v>
      </c>
      <c r="J605">
        <f ca="1"/>
        <v>604</v>
      </c>
      <c r="K605">
        <v>100605</v>
      </c>
      <c r="L605">
        <v>605</v>
      </c>
      <c r="M605" t="b">
        <f t="shared" si="9"/>
        <v>1</v>
      </c>
      <c r="N605" t="b">
        <f>COUNTBLANK(Metadata!B605:F605)=COLUMNS(Metadata!B605:F605)</f>
        <v>1</v>
      </c>
      <c r="O605" t="str">
        <v/>
      </c>
      <c r="Q605" t="b">
        <f ca="1"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R605" t="b">
        <f>IF(Metadata!C605="",FALSE,TRUE)</f>
        <v>0</v>
      </c>
      <c r="S605" t="b">
        <f>OR(AND(IF(Metadata!D605="",FALSE,TRUE),EXACT(Metadata!D605,"missing: not collected")),AND(IF(Metadata!D605="",FALSE,TRUE),OR(EXACT(Metadata!D605,"t"),EXACT(Metadata!D605,"f"))))</f>
        <v>0</v>
      </c>
      <c r="T605" t="b">
        <f>AND(IF(Metadata!E605="",FALSE,TRUE),OR(EXACT(Metadata!E605,"a"),EXACT(Metadata!E605,"b")))</f>
        <v>0</v>
      </c>
      <c r="U605" t="b">
        <f>OR(AND(IF(Metadata!F605="",FALSE,TRUE),OR(EXACT(Metadata!F605,"missing: not collected"),EXACT(Metadata!F605,"missing: not provided"))),AND(IF(Metadata!F605="",FALSE,TRUE),OR(EXACT(Metadata!F605,"lo"),EXACT(Metadata!F605,"med"),EXACT(Metadata!F605,"hi"))))</f>
        <v>0</v>
      </c>
    </row>
    <row r="606" spans="1:21" x14ac:dyDescent="0.2">
      <c r="A606" s="4" t="str">
        <f ca="1">IF(B606=" "," ",HYPERLINK(CONCATENATE("#metadata!",ADDRESS(INDEX($L$2:$L$1001,MATCH(ROWS($J$2:J606),$J$2:$J$1001,0),0),1)),INDEX($O$2:$O$1001,MATCH(ROWS($J$2:J606),$J$2:$J$1001,0),0)))</f>
        <v xml:space="preserve"> </v>
      </c>
      <c r="B606" s="3" t="str">
        <f ca="1">IF(OR(INDEX($K$2:$K$1001,MATCH(ROWS($J$2:J606),$J$2:$J$1001,0),1)&gt;=100000,INDEX($Q$1005:$U$1005,1,MATCH(COLUMNS($Q$1006:Q1006),$Q$1006:$U$1006,0))&gt;=100000), " ",IF(INDEX($Q$2:$U$1001,MATCH(ROWS($J$2:J606),$J$2:$J$1001,0),MATCH(COLUMNS($Q$1006:Q1006),$Q$1006:$U$1006,0)), HYPERLINK("#",""), HYPERLINK(CONCATENATE("#Metadata!", ADDRESS(INDEX($L$2:$L$1001,MATCH(ROWS($J$2:J606),$J$2:$J$1001,0),0), INDEX($Q$1004:$U$1004,1,MATCH(COLUMNS($Q$1006:Q1006),$Q$1006:$U$1006,0)))),"Fix")))</f>
        <v xml:space="preserve"> </v>
      </c>
      <c r="C606" s="3" t="str">
        <f ca="1">IF(OR(INDEX($K$2:$K$1001,MATCH(ROWS($J$2:J606),$J$2:$J$1001,0),1)&gt;=100000,INDEX($Q$1005:$U$1005,1,MATCH(COLUMNS($Q$1006:R1006),$Q$1006:$U$1006,0))&gt;=100000), " ",IF(INDEX($Q$2:$U$1001,MATCH(ROWS($J$2:J606),$J$2:$J$1001,0),MATCH(COLUMNS($Q$1006:R1006),$Q$1006:$U$1006,0)), HYPERLINK("#",""), HYPERLINK(CONCATENATE("#Metadata!", ADDRESS(INDEX($L$2:$L$1001,MATCH(ROWS($J$2:J606),$J$2:$J$1001,0),0), INDEX($Q$1004:$U$1004,1,MATCH(COLUMNS($Q$1006:R1006),$Q$1006:$U$1006,0)))),"Fix")))</f>
        <v xml:space="preserve"> </v>
      </c>
      <c r="D606" s="3" t="str">
        <f ca="1">IF(OR(INDEX($K$2:$K$1001,MATCH(ROWS($J$2:J606),$J$2:$J$1001,0),1)&gt;=100000,INDEX($Q$1005:$U$1005,1,MATCH(COLUMNS($Q$1006:S1006),$Q$1006:$U$1006,0))&gt;=100000), " ",IF(INDEX($Q$2:$U$1001,MATCH(ROWS($J$2:J606),$J$2:$J$1001,0),MATCH(COLUMNS($Q$1006:S1006),$Q$1006:$U$1006,0)), HYPERLINK("#",""), HYPERLINK(CONCATENATE("#Metadata!", ADDRESS(INDEX($L$2:$L$1001,MATCH(ROWS($J$2:J606),$J$2:$J$1001,0),0), INDEX($Q$1004:$U$1004,1,MATCH(COLUMNS($Q$1006:S1006),$Q$1006:$U$1006,0)))),"Fix")))</f>
        <v xml:space="preserve"> </v>
      </c>
      <c r="E606" s="3" t="str">
        <f ca="1">IF(OR(INDEX($K$2:$K$1001,MATCH(ROWS($J$2:J606),$J$2:$J$1001,0),1)&gt;=100000,INDEX($Q$1005:$U$1005,1,MATCH(COLUMNS($Q$1006:T1006),$Q$1006:$U$1006,0))&gt;=100000), " ",IF(INDEX($Q$2:$U$1001,MATCH(ROWS($J$2:J606),$J$2:$J$1001,0),MATCH(COLUMNS($Q$1006:T1006),$Q$1006:$U$1006,0)), HYPERLINK("#",""), HYPERLINK(CONCATENATE("#Metadata!", ADDRESS(INDEX($L$2:$L$1001,MATCH(ROWS($J$2:J606),$J$2:$J$1001,0),0), INDEX($Q$1004:$U$1004,1,MATCH(COLUMNS($Q$1006:T1006),$Q$1006:$U$1006,0)))),"Fix")))</f>
        <v xml:space="preserve"> </v>
      </c>
      <c r="F606" s="3" t="str">
        <f ca="1">IF(OR(INDEX($K$2:$K$1001,MATCH(ROWS($J$2:J606),$J$2:$J$1001,0),1)&gt;=100000,INDEX($Q$1005:$U$1005,1,MATCH(COLUMNS($Q$1006:U1006),$Q$1006:$U$1006,0))&gt;=100000), " ",IF(INDEX($Q$2:$U$1001,MATCH(ROWS($J$2:J606),$J$2:$J$1001,0),MATCH(COLUMNS($Q$1006:U1006),$Q$1006:$U$1006,0)), HYPERLINK("#",""), HYPERLINK(CONCATENATE("#Metadata!", ADDRESS(INDEX($L$2:$L$1001,MATCH(ROWS($J$2:J606),$J$2:$J$1001,0),0), INDEX($Q$1004:$U$1004,1,MATCH(COLUMNS($Q$1006:U1006),$Q$1006:$U$1006,0)))),"Fix")))</f>
        <v xml:space="preserve"> </v>
      </c>
      <c r="J606">
        <f ca="1"/>
        <v>605</v>
      </c>
      <c r="K606">
        <v>100606</v>
      </c>
      <c r="L606">
        <v>606</v>
      </c>
      <c r="M606" t="b">
        <f t="shared" si="9"/>
        <v>1</v>
      </c>
      <c r="N606" t="b">
        <f>COUNTBLANK(Metadata!B606:F606)=COLUMNS(Metadata!B606:F606)</f>
        <v>1</v>
      </c>
      <c r="O606" t="str">
        <v/>
      </c>
      <c r="Q606" t="b">
        <f ca="1"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R606" t="b">
        <f>IF(Metadata!C606="",FALSE,TRUE)</f>
        <v>0</v>
      </c>
      <c r="S606" t="b">
        <f>OR(AND(IF(Metadata!D606="",FALSE,TRUE),EXACT(Metadata!D606,"missing: not collected")),AND(IF(Metadata!D606="",FALSE,TRUE),OR(EXACT(Metadata!D606,"t"),EXACT(Metadata!D606,"f"))))</f>
        <v>0</v>
      </c>
      <c r="T606" t="b">
        <f>AND(IF(Metadata!E606="",FALSE,TRUE),OR(EXACT(Metadata!E606,"a"),EXACT(Metadata!E606,"b")))</f>
        <v>0</v>
      </c>
      <c r="U606" t="b">
        <f>OR(AND(IF(Metadata!F606="",FALSE,TRUE),OR(EXACT(Metadata!F606,"missing: not collected"),EXACT(Metadata!F606,"missing: not provided"))),AND(IF(Metadata!F606="",FALSE,TRUE),OR(EXACT(Metadata!F606,"lo"),EXACT(Metadata!F606,"med"),EXACT(Metadata!F606,"hi"))))</f>
        <v>0</v>
      </c>
    </row>
    <row r="607" spans="1:21" x14ac:dyDescent="0.2">
      <c r="A607" s="4" t="str">
        <f ca="1">IF(B607=" "," ",HYPERLINK(CONCATENATE("#metadata!",ADDRESS(INDEX($L$2:$L$1001,MATCH(ROWS($J$2:J607),$J$2:$J$1001,0),0),1)),INDEX($O$2:$O$1001,MATCH(ROWS($J$2:J607),$J$2:$J$1001,0),0)))</f>
        <v xml:space="preserve"> </v>
      </c>
      <c r="B607" s="3" t="str">
        <f ca="1">IF(OR(INDEX($K$2:$K$1001,MATCH(ROWS($J$2:J607),$J$2:$J$1001,0),1)&gt;=100000,INDEX($Q$1005:$U$1005,1,MATCH(COLUMNS($Q$1006:Q1006),$Q$1006:$U$1006,0))&gt;=100000), " ",IF(INDEX($Q$2:$U$1001,MATCH(ROWS($J$2:J607),$J$2:$J$1001,0),MATCH(COLUMNS($Q$1006:Q1006),$Q$1006:$U$1006,0)), HYPERLINK("#",""), HYPERLINK(CONCATENATE("#Metadata!", ADDRESS(INDEX($L$2:$L$1001,MATCH(ROWS($J$2:J607),$J$2:$J$1001,0),0), INDEX($Q$1004:$U$1004,1,MATCH(COLUMNS($Q$1006:Q1006),$Q$1006:$U$1006,0)))),"Fix")))</f>
        <v xml:space="preserve"> </v>
      </c>
      <c r="C607" s="3" t="str">
        <f ca="1">IF(OR(INDEX($K$2:$K$1001,MATCH(ROWS($J$2:J607),$J$2:$J$1001,0),1)&gt;=100000,INDEX($Q$1005:$U$1005,1,MATCH(COLUMNS($Q$1006:R1006),$Q$1006:$U$1006,0))&gt;=100000), " ",IF(INDEX($Q$2:$U$1001,MATCH(ROWS($J$2:J607),$J$2:$J$1001,0),MATCH(COLUMNS($Q$1006:R1006),$Q$1006:$U$1006,0)), HYPERLINK("#",""), HYPERLINK(CONCATENATE("#Metadata!", ADDRESS(INDEX($L$2:$L$1001,MATCH(ROWS($J$2:J607),$J$2:$J$1001,0),0), INDEX($Q$1004:$U$1004,1,MATCH(COLUMNS($Q$1006:R1006),$Q$1006:$U$1006,0)))),"Fix")))</f>
        <v xml:space="preserve"> </v>
      </c>
      <c r="D607" s="3" t="str">
        <f ca="1">IF(OR(INDEX($K$2:$K$1001,MATCH(ROWS($J$2:J607),$J$2:$J$1001,0),1)&gt;=100000,INDEX($Q$1005:$U$1005,1,MATCH(COLUMNS($Q$1006:S1006),$Q$1006:$U$1006,0))&gt;=100000), " ",IF(INDEX($Q$2:$U$1001,MATCH(ROWS($J$2:J607),$J$2:$J$1001,0),MATCH(COLUMNS($Q$1006:S1006),$Q$1006:$U$1006,0)), HYPERLINK("#",""), HYPERLINK(CONCATENATE("#Metadata!", ADDRESS(INDEX($L$2:$L$1001,MATCH(ROWS($J$2:J607),$J$2:$J$1001,0),0), INDEX($Q$1004:$U$1004,1,MATCH(COLUMNS($Q$1006:S1006),$Q$1006:$U$1006,0)))),"Fix")))</f>
        <v xml:space="preserve"> </v>
      </c>
      <c r="E607" s="3" t="str">
        <f ca="1">IF(OR(INDEX($K$2:$K$1001,MATCH(ROWS($J$2:J607),$J$2:$J$1001,0),1)&gt;=100000,INDEX($Q$1005:$U$1005,1,MATCH(COLUMNS($Q$1006:T1006),$Q$1006:$U$1006,0))&gt;=100000), " ",IF(INDEX($Q$2:$U$1001,MATCH(ROWS($J$2:J607),$J$2:$J$1001,0),MATCH(COLUMNS($Q$1006:T1006),$Q$1006:$U$1006,0)), HYPERLINK("#",""), HYPERLINK(CONCATENATE("#Metadata!", ADDRESS(INDEX($L$2:$L$1001,MATCH(ROWS($J$2:J607),$J$2:$J$1001,0),0), INDEX($Q$1004:$U$1004,1,MATCH(COLUMNS($Q$1006:T1006),$Q$1006:$U$1006,0)))),"Fix")))</f>
        <v xml:space="preserve"> </v>
      </c>
      <c r="F607" s="3" t="str">
        <f ca="1">IF(OR(INDEX($K$2:$K$1001,MATCH(ROWS($J$2:J607),$J$2:$J$1001,0),1)&gt;=100000,INDEX($Q$1005:$U$1005,1,MATCH(COLUMNS($Q$1006:U1006),$Q$1006:$U$1006,0))&gt;=100000), " ",IF(INDEX($Q$2:$U$1001,MATCH(ROWS($J$2:J607),$J$2:$J$1001,0),MATCH(COLUMNS($Q$1006:U1006),$Q$1006:$U$1006,0)), HYPERLINK("#",""), HYPERLINK(CONCATENATE("#Metadata!", ADDRESS(INDEX($L$2:$L$1001,MATCH(ROWS($J$2:J607),$J$2:$J$1001,0),0), INDEX($Q$1004:$U$1004,1,MATCH(COLUMNS($Q$1006:U1006),$Q$1006:$U$1006,0)))),"Fix")))</f>
        <v xml:space="preserve"> </v>
      </c>
      <c r="J607">
        <f ca="1"/>
        <v>606</v>
      </c>
      <c r="K607">
        <v>100607</v>
      </c>
      <c r="L607">
        <v>607</v>
      </c>
      <c r="M607" t="b">
        <f t="shared" si="9"/>
        <v>1</v>
      </c>
      <c r="N607" t="b">
        <f>COUNTBLANK(Metadata!B607:F607)=COLUMNS(Metadata!B607:F607)</f>
        <v>1</v>
      </c>
      <c r="O607" t="str">
        <v/>
      </c>
      <c r="Q607" t="b">
        <f ca="1"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R607" t="b">
        <f>IF(Metadata!C607="",FALSE,TRUE)</f>
        <v>0</v>
      </c>
      <c r="S607" t="b">
        <f>OR(AND(IF(Metadata!D607="",FALSE,TRUE),EXACT(Metadata!D607,"missing: not collected")),AND(IF(Metadata!D607="",FALSE,TRUE),OR(EXACT(Metadata!D607,"t"),EXACT(Metadata!D607,"f"))))</f>
        <v>0</v>
      </c>
      <c r="T607" t="b">
        <f>AND(IF(Metadata!E607="",FALSE,TRUE),OR(EXACT(Metadata!E607,"a"),EXACT(Metadata!E607,"b")))</f>
        <v>0</v>
      </c>
      <c r="U607" t="b">
        <f>OR(AND(IF(Metadata!F607="",FALSE,TRUE),OR(EXACT(Metadata!F607,"missing: not collected"),EXACT(Metadata!F607,"missing: not provided"))),AND(IF(Metadata!F607="",FALSE,TRUE),OR(EXACT(Metadata!F607,"lo"),EXACT(Metadata!F607,"med"),EXACT(Metadata!F607,"hi"))))</f>
        <v>0</v>
      </c>
    </row>
    <row r="608" spans="1:21" x14ac:dyDescent="0.2">
      <c r="A608" s="4" t="str">
        <f ca="1">IF(B608=" "," ",HYPERLINK(CONCATENATE("#metadata!",ADDRESS(INDEX($L$2:$L$1001,MATCH(ROWS($J$2:J608),$J$2:$J$1001,0),0),1)),INDEX($O$2:$O$1001,MATCH(ROWS($J$2:J608),$J$2:$J$1001,0),0)))</f>
        <v xml:space="preserve"> </v>
      </c>
      <c r="B608" s="3" t="str">
        <f ca="1">IF(OR(INDEX($K$2:$K$1001,MATCH(ROWS($J$2:J608),$J$2:$J$1001,0),1)&gt;=100000,INDEX($Q$1005:$U$1005,1,MATCH(COLUMNS($Q$1006:Q1006),$Q$1006:$U$1006,0))&gt;=100000), " ",IF(INDEX($Q$2:$U$1001,MATCH(ROWS($J$2:J608),$J$2:$J$1001,0),MATCH(COLUMNS($Q$1006:Q1006),$Q$1006:$U$1006,0)), HYPERLINK("#",""), HYPERLINK(CONCATENATE("#Metadata!", ADDRESS(INDEX($L$2:$L$1001,MATCH(ROWS($J$2:J608),$J$2:$J$1001,0),0), INDEX($Q$1004:$U$1004,1,MATCH(COLUMNS($Q$1006:Q1006),$Q$1006:$U$1006,0)))),"Fix")))</f>
        <v xml:space="preserve"> </v>
      </c>
      <c r="C608" s="3" t="str">
        <f ca="1">IF(OR(INDEX($K$2:$K$1001,MATCH(ROWS($J$2:J608),$J$2:$J$1001,0),1)&gt;=100000,INDEX($Q$1005:$U$1005,1,MATCH(COLUMNS($Q$1006:R1006),$Q$1006:$U$1006,0))&gt;=100000), " ",IF(INDEX($Q$2:$U$1001,MATCH(ROWS($J$2:J608),$J$2:$J$1001,0),MATCH(COLUMNS($Q$1006:R1006),$Q$1006:$U$1006,0)), HYPERLINK("#",""), HYPERLINK(CONCATENATE("#Metadata!", ADDRESS(INDEX($L$2:$L$1001,MATCH(ROWS($J$2:J608),$J$2:$J$1001,0),0), INDEX($Q$1004:$U$1004,1,MATCH(COLUMNS($Q$1006:R1006),$Q$1006:$U$1006,0)))),"Fix")))</f>
        <v xml:space="preserve"> </v>
      </c>
      <c r="D608" s="3" t="str">
        <f ca="1">IF(OR(INDEX($K$2:$K$1001,MATCH(ROWS($J$2:J608),$J$2:$J$1001,0),1)&gt;=100000,INDEX($Q$1005:$U$1005,1,MATCH(COLUMNS($Q$1006:S1006),$Q$1006:$U$1006,0))&gt;=100000), " ",IF(INDEX($Q$2:$U$1001,MATCH(ROWS($J$2:J608),$J$2:$J$1001,0),MATCH(COLUMNS($Q$1006:S1006),$Q$1006:$U$1006,0)), HYPERLINK("#",""), HYPERLINK(CONCATENATE("#Metadata!", ADDRESS(INDEX($L$2:$L$1001,MATCH(ROWS($J$2:J608),$J$2:$J$1001,0),0), INDEX($Q$1004:$U$1004,1,MATCH(COLUMNS($Q$1006:S1006),$Q$1006:$U$1006,0)))),"Fix")))</f>
        <v xml:space="preserve"> </v>
      </c>
      <c r="E608" s="3" t="str">
        <f ca="1">IF(OR(INDEX($K$2:$K$1001,MATCH(ROWS($J$2:J608),$J$2:$J$1001,0),1)&gt;=100000,INDEX($Q$1005:$U$1005,1,MATCH(COLUMNS($Q$1006:T1006),$Q$1006:$U$1006,0))&gt;=100000), " ",IF(INDEX($Q$2:$U$1001,MATCH(ROWS($J$2:J608),$J$2:$J$1001,0),MATCH(COLUMNS($Q$1006:T1006),$Q$1006:$U$1006,0)), HYPERLINK("#",""), HYPERLINK(CONCATENATE("#Metadata!", ADDRESS(INDEX($L$2:$L$1001,MATCH(ROWS($J$2:J608),$J$2:$J$1001,0),0), INDEX($Q$1004:$U$1004,1,MATCH(COLUMNS($Q$1006:T1006),$Q$1006:$U$1006,0)))),"Fix")))</f>
        <v xml:space="preserve"> </v>
      </c>
      <c r="F608" s="3" t="str">
        <f ca="1">IF(OR(INDEX($K$2:$K$1001,MATCH(ROWS($J$2:J608),$J$2:$J$1001,0),1)&gt;=100000,INDEX($Q$1005:$U$1005,1,MATCH(COLUMNS($Q$1006:U1006),$Q$1006:$U$1006,0))&gt;=100000), " ",IF(INDEX($Q$2:$U$1001,MATCH(ROWS($J$2:J608),$J$2:$J$1001,0),MATCH(COLUMNS($Q$1006:U1006),$Q$1006:$U$1006,0)), HYPERLINK("#",""), HYPERLINK(CONCATENATE("#Metadata!", ADDRESS(INDEX($L$2:$L$1001,MATCH(ROWS($J$2:J608),$J$2:$J$1001,0),0), INDEX($Q$1004:$U$1004,1,MATCH(COLUMNS($Q$1006:U1006),$Q$1006:$U$1006,0)))),"Fix")))</f>
        <v xml:space="preserve"> </v>
      </c>
      <c r="J608">
        <f ca="1"/>
        <v>607</v>
      </c>
      <c r="K608">
        <v>100608</v>
      </c>
      <c r="L608">
        <v>608</v>
      </c>
      <c r="M608" t="b">
        <f t="shared" si="9"/>
        <v>1</v>
      </c>
      <c r="N608" t="b">
        <f>COUNTBLANK(Metadata!B608:F608)=COLUMNS(Metadata!B608:F608)</f>
        <v>1</v>
      </c>
      <c r="O608" t="str">
        <v/>
      </c>
      <c r="Q608" t="b">
        <f ca="1"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R608" t="b">
        <f>IF(Metadata!C608="",FALSE,TRUE)</f>
        <v>0</v>
      </c>
      <c r="S608" t="b">
        <f>OR(AND(IF(Metadata!D608="",FALSE,TRUE),EXACT(Metadata!D608,"missing: not collected")),AND(IF(Metadata!D608="",FALSE,TRUE),OR(EXACT(Metadata!D608,"t"),EXACT(Metadata!D608,"f"))))</f>
        <v>0</v>
      </c>
      <c r="T608" t="b">
        <f>AND(IF(Metadata!E608="",FALSE,TRUE),OR(EXACT(Metadata!E608,"a"),EXACT(Metadata!E608,"b")))</f>
        <v>0</v>
      </c>
      <c r="U608" t="b">
        <f>OR(AND(IF(Metadata!F608="",FALSE,TRUE),OR(EXACT(Metadata!F608,"missing: not collected"),EXACT(Metadata!F608,"missing: not provided"))),AND(IF(Metadata!F608="",FALSE,TRUE),OR(EXACT(Metadata!F608,"lo"),EXACT(Metadata!F608,"med"),EXACT(Metadata!F608,"hi"))))</f>
        <v>0</v>
      </c>
    </row>
    <row r="609" spans="1:21" x14ac:dyDescent="0.2">
      <c r="A609" s="4" t="str">
        <f ca="1">IF(B609=" "," ",HYPERLINK(CONCATENATE("#metadata!",ADDRESS(INDEX($L$2:$L$1001,MATCH(ROWS($J$2:J609),$J$2:$J$1001,0),0),1)),INDEX($O$2:$O$1001,MATCH(ROWS($J$2:J609),$J$2:$J$1001,0),0)))</f>
        <v xml:space="preserve"> </v>
      </c>
      <c r="B609" s="3" t="str">
        <f ca="1">IF(OR(INDEX($K$2:$K$1001,MATCH(ROWS($J$2:J609),$J$2:$J$1001,0),1)&gt;=100000,INDEX($Q$1005:$U$1005,1,MATCH(COLUMNS($Q$1006:Q1006),$Q$1006:$U$1006,0))&gt;=100000), " ",IF(INDEX($Q$2:$U$1001,MATCH(ROWS($J$2:J609),$J$2:$J$1001,0),MATCH(COLUMNS($Q$1006:Q1006),$Q$1006:$U$1006,0)), HYPERLINK("#",""), HYPERLINK(CONCATENATE("#Metadata!", ADDRESS(INDEX($L$2:$L$1001,MATCH(ROWS($J$2:J609),$J$2:$J$1001,0),0), INDEX($Q$1004:$U$1004,1,MATCH(COLUMNS($Q$1006:Q1006),$Q$1006:$U$1006,0)))),"Fix")))</f>
        <v xml:space="preserve"> </v>
      </c>
      <c r="C609" s="3" t="str">
        <f ca="1">IF(OR(INDEX($K$2:$K$1001,MATCH(ROWS($J$2:J609),$J$2:$J$1001,0),1)&gt;=100000,INDEX($Q$1005:$U$1005,1,MATCH(COLUMNS($Q$1006:R1006),$Q$1006:$U$1006,0))&gt;=100000), " ",IF(INDEX($Q$2:$U$1001,MATCH(ROWS($J$2:J609),$J$2:$J$1001,0),MATCH(COLUMNS($Q$1006:R1006),$Q$1006:$U$1006,0)), HYPERLINK("#",""), HYPERLINK(CONCATENATE("#Metadata!", ADDRESS(INDEX($L$2:$L$1001,MATCH(ROWS($J$2:J609),$J$2:$J$1001,0),0), INDEX($Q$1004:$U$1004,1,MATCH(COLUMNS($Q$1006:R1006),$Q$1006:$U$1006,0)))),"Fix")))</f>
        <v xml:space="preserve"> </v>
      </c>
      <c r="D609" s="3" t="str">
        <f ca="1">IF(OR(INDEX($K$2:$K$1001,MATCH(ROWS($J$2:J609),$J$2:$J$1001,0),1)&gt;=100000,INDEX($Q$1005:$U$1005,1,MATCH(COLUMNS($Q$1006:S1006),$Q$1006:$U$1006,0))&gt;=100000), " ",IF(INDEX($Q$2:$U$1001,MATCH(ROWS($J$2:J609),$J$2:$J$1001,0),MATCH(COLUMNS($Q$1006:S1006),$Q$1006:$U$1006,0)), HYPERLINK("#",""), HYPERLINK(CONCATENATE("#Metadata!", ADDRESS(INDEX($L$2:$L$1001,MATCH(ROWS($J$2:J609),$J$2:$J$1001,0),0), INDEX($Q$1004:$U$1004,1,MATCH(COLUMNS($Q$1006:S1006),$Q$1006:$U$1006,0)))),"Fix")))</f>
        <v xml:space="preserve"> </v>
      </c>
      <c r="E609" s="3" t="str">
        <f ca="1">IF(OR(INDEX($K$2:$K$1001,MATCH(ROWS($J$2:J609),$J$2:$J$1001,0),1)&gt;=100000,INDEX($Q$1005:$U$1005,1,MATCH(COLUMNS($Q$1006:T1006),$Q$1006:$U$1006,0))&gt;=100000), " ",IF(INDEX($Q$2:$U$1001,MATCH(ROWS($J$2:J609),$J$2:$J$1001,0),MATCH(COLUMNS($Q$1006:T1006),$Q$1006:$U$1006,0)), HYPERLINK("#",""), HYPERLINK(CONCATENATE("#Metadata!", ADDRESS(INDEX($L$2:$L$1001,MATCH(ROWS($J$2:J609),$J$2:$J$1001,0),0), INDEX($Q$1004:$U$1004,1,MATCH(COLUMNS($Q$1006:T1006),$Q$1006:$U$1006,0)))),"Fix")))</f>
        <v xml:space="preserve"> </v>
      </c>
      <c r="F609" s="3" t="str">
        <f ca="1">IF(OR(INDEX($K$2:$K$1001,MATCH(ROWS($J$2:J609),$J$2:$J$1001,0),1)&gt;=100000,INDEX($Q$1005:$U$1005,1,MATCH(COLUMNS($Q$1006:U1006),$Q$1006:$U$1006,0))&gt;=100000), " ",IF(INDEX($Q$2:$U$1001,MATCH(ROWS($J$2:J609),$J$2:$J$1001,0),MATCH(COLUMNS($Q$1006:U1006),$Q$1006:$U$1006,0)), HYPERLINK("#",""), HYPERLINK(CONCATENATE("#Metadata!", ADDRESS(INDEX($L$2:$L$1001,MATCH(ROWS($J$2:J609),$J$2:$J$1001,0),0), INDEX($Q$1004:$U$1004,1,MATCH(COLUMNS($Q$1006:U1006),$Q$1006:$U$1006,0)))),"Fix")))</f>
        <v xml:space="preserve"> </v>
      </c>
      <c r="J609">
        <f ca="1"/>
        <v>608</v>
      </c>
      <c r="K609">
        <v>100609</v>
      </c>
      <c r="L609">
        <v>609</v>
      </c>
      <c r="M609" t="b">
        <f t="shared" si="9"/>
        <v>1</v>
      </c>
      <c r="N609" t="b">
        <f>COUNTBLANK(Metadata!B609:F609)=COLUMNS(Metadata!B609:F609)</f>
        <v>1</v>
      </c>
      <c r="O609" t="str">
        <v/>
      </c>
      <c r="Q609" t="b">
        <f ca="1"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R609" t="b">
        <f>IF(Metadata!C609="",FALSE,TRUE)</f>
        <v>0</v>
      </c>
      <c r="S609" t="b">
        <f>OR(AND(IF(Metadata!D609="",FALSE,TRUE),EXACT(Metadata!D609,"missing: not collected")),AND(IF(Metadata!D609="",FALSE,TRUE),OR(EXACT(Metadata!D609,"t"),EXACT(Metadata!D609,"f"))))</f>
        <v>0</v>
      </c>
      <c r="T609" t="b">
        <f>AND(IF(Metadata!E609="",FALSE,TRUE),OR(EXACT(Metadata!E609,"a"),EXACT(Metadata!E609,"b")))</f>
        <v>0</v>
      </c>
      <c r="U609" t="b">
        <f>OR(AND(IF(Metadata!F609="",FALSE,TRUE),OR(EXACT(Metadata!F609,"missing: not collected"),EXACT(Metadata!F609,"missing: not provided"))),AND(IF(Metadata!F609="",FALSE,TRUE),OR(EXACT(Metadata!F609,"lo"),EXACT(Metadata!F609,"med"),EXACT(Metadata!F609,"hi"))))</f>
        <v>0</v>
      </c>
    </row>
    <row r="610" spans="1:21" x14ac:dyDescent="0.2">
      <c r="A610" s="4" t="str">
        <f ca="1">IF(B610=" "," ",HYPERLINK(CONCATENATE("#metadata!",ADDRESS(INDEX($L$2:$L$1001,MATCH(ROWS($J$2:J610),$J$2:$J$1001,0),0),1)),INDEX($O$2:$O$1001,MATCH(ROWS($J$2:J610),$J$2:$J$1001,0),0)))</f>
        <v xml:space="preserve"> </v>
      </c>
      <c r="B610" s="3" t="str">
        <f ca="1">IF(OR(INDEX($K$2:$K$1001,MATCH(ROWS($J$2:J610),$J$2:$J$1001,0),1)&gt;=100000,INDEX($Q$1005:$U$1005,1,MATCH(COLUMNS($Q$1006:Q1006),$Q$1006:$U$1006,0))&gt;=100000), " ",IF(INDEX($Q$2:$U$1001,MATCH(ROWS($J$2:J610),$J$2:$J$1001,0),MATCH(COLUMNS($Q$1006:Q1006),$Q$1006:$U$1006,0)), HYPERLINK("#",""), HYPERLINK(CONCATENATE("#Metadata!", ADDRESS(INDEX($L$2:$L$1001,MATCH(ROWS($J$2:J610),$J$2:$J$1001,0),0), INDEX($Q$1004:$U$1004,1,MATCH(COLUMNS($Q$1006:Q1006),$Q$1006:$U$1006,0)))),"Fix")))</f>
        <v xml:space="preserve"> </v>
      </c>
      <c r="C610" s="3" t="str">
        <f ca="1">IF(OR(INDEX($K$2:$K$1001,MATCH(ROWS($J$2:J610),$J$2:$J$1001,0),1)&gt;=100000,INDEX($Q$1005:$U$1005,1,MATCH(COLUMNS($Q$1006:R1006),$Q$1006:$U$1006,0))&gt;=100000), " ",IF(INDEX($Q$2:$U$1001,MATCH(ROWS($J$2:J610),$J$2:$J$1001,0),MATCH(COLUMNS($Q$1006:R1006),$Q$1006:$U$1006,0)), HYPERLINK("#",""), HYPERLINK(CONCATENATE("#Metadata!", ADDRESS(INDEX($L$2:$L$1001,MATCH(ROWS($J$2:J610),$J$2:$J$1001,0),0), INDEX($Q$1004:$U$1004,1,MATCH(COLUMNS($Q$1006:R1006),$Q$1006:$U$1006,0)))),"Fix")))</f>
        <v xml:space="preserve"> </v>
      </c>
      <c r="D610" s="3" t="str">
        <f ca="1">IF(OR(INDEX($K$2:$K$1001,MATCH(ROWS($J$2:J610),$J$2:$J$1001,0),1)&gt;=100000,INDEX($Q$1005:$U$1005,1,MATCH(COLUMNS($Q$1006:S1006),$Q$1006:$U$1006,0))&gt;=100000), " ",IF(INDEX($Q$2:$U$1001,MATCH(ROWS($J$2:J610),$J$2:$J$1001,0),MATCH(COLUMNS($Q$1006:S1006),$Q$1006:$U$1006,0)), HYPERLINK("#",""), HYPERLINK(CONCATENATE("#Metadata!", ADDRESS(INDEX($L$2:$L$1001,MATCH(ROWS($J$2:J610),$J$2:$J$1001,0),0), INDEX($Q$1004:$U$1004,1,MATCH(COLUMNS($Q$1006:S1006),$Q$1006:$U$1006,0)))),"Fix")))</f>
        <v xml:space="preserve"> </v>
      </c>
      <c r="E610" s="3" t="str">
        <f ca="1">IF(OR(INDEX($K$2:$K$1001,MATCH(ROWS($J$2:J610),$J$2:$J$1001,0),1)&gt;=100000,INDEX($Q$1005:$U$1005,1,MATCH(COLUMNS($Q$1006:T1006),$Q$1006:$U$1006,0))&gt;=100000), " ",IF(INDEX($Q$2:$U$1001,MATCH(ROWS($J$2:J610),$J$2:$J$1001,0),MATCH(COLUMNS($Q$1006:T1006),$Q$1006:$U$1006,0)), HYPERLINK("#",""), HYPERLINK(CONCATENATE("#Metadata!", ADDRESS(INDEX($L$2:$L$1001,MATCH(ROWS($J$2:J610),$J$2:$J$1001,0),0), INDEX($Q$1004:$U$1004,1,MATCH(COLUMNS($Q$1006:T1006),$Q$1006:$U$1006,0)))),"Fix")))</f>
        <v xml:space="preserve"> </v>
      </c>
      <c r="F610" s="3" t="str">
        <f ca="1">IF(OR(INDEX($K$2:$K$1001,MATCH(ROWS($J$2:J610),$J$2:$J$1001,0),1)&gt;=100000,INDEX($Q$1005:$U$1005,1,MATCH(COLUMNS($Q$1006:U1006),$Q$1006:$U$1006,0))&gt;=100000), " ",IF(INDEX($Q$2:$U$1001,MATCH(ROWS($J$2:J610),$J$2:$J$1001,0),MATCH(COLUMNS($Q$1006:U1006),$Q$1006:$U$1006,0)), HYPERLINK("#",""), HYPERLINK(CONCATENATE("#Metadata!", ADDRESS(INDEX($L$2:$L$1001,MATCH(ROWS($J$2:J610),$J$2:$J$1001,0),0), INDEX($Q$1004:$U$1004,1,MATCH(COLUMNS($Q$1006:U1006),$Q$1006:$U$1006,0)))),"Fix")))</f>
        <v xml:space="preserve"> </v>
      </c>
      <c r="J610">
        <f ca="1"/>
        <v>609</v>
      </c>
      <c r="K610">
        <v>100610</v>
      </c>
      <c r="L610">
        <v>610</v>
      </c>
      <c r="M610" t="b">
        <f t="shared" si="9"/>
        <v>1</v>
      </c>
      <c r="N610" t="b">
        <f>COUNTBLANK(Metadata!B610:F610)=COLUMNS(Metadata!B610:F610)</f>
        <v>1</v>
      </c>
      <c r="O610" t="str">
        <v/>
      </c>
      <c r="Q610" t="b">
        <f ca="1"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R610" t="b">
        <f>IF(Metadata!C610="",FALSE,TRUE)</f>
        <v>0</v>
      </c>
      <c r="S610" t="b">
        <f>OR(AND(IF(Metadata!D610="",FALSE,TRUE),EXACT(Metadata!D610,"missing: not collected")),AND(IF(Metadata!D610="",FALSE,TRUE),OR(EXACT(Metadata!D610,"t"),EXACT(Metadata!D610,"f"))))</f>
        <v>0</v>
      </c>
      <c r="T610" t="b">
        <f>AND(IF(Metadata!E610="",FALSE,TRUE),OR(EXACT(Metadata!E610,"a"),EXACT(Metadata!E610,"b")))</f>
        <v>0</v>
      </c>
      <c r="U610" t="b">
        <f>OR(AND(IF(Metadata!F610="",FALSE,TRUE),OR(EXACT(Metadata!F610,"missing: not collected"),EXACT(Metadata!F610,"missing: not provided"))),AND(IF(Metadata!F610="",FALSE,TRUE),OR(EXACT(Metadata!F610,"lo"),EXACT(Metadata!F610,"med"),EXACT(Metadata!F610,"hi"))))</f>
        <v>0</v>
      </c>
    </row>
    <row r="611" spans="1:21" x14ac:dyDescent="0.2">
      <c r="A611" s="4" t="str">
        <f ca="1">IF(B611=" "," ",HYPERLINK(CONCATENATE("#metadata!",ADDRESS(INDEX($L$2:$L$1001,MATCH(ROWS($J$2:J611),$J$2:$J$1001,0),0),1)),INDEX($O$2:$O$1001,MATCH(ROWS($J$2:J611),$J$2:$J$1001,0),0)))</f>
        <v xml:space="preserve"> </v>
      </c>
      <c r="B611" s="3" t="str">
        <f ca="1">IF(OR(INDEX($K$2:$K$1001,MATCH(ROWS($J$2:J611),$J$2:$J$1001,0),1)&gt;=100000,INDEX($Q$1005:$U$1005,1,MATCH(COLUMNS($Q$1006:Q1006),$Q$1006:$U$1006,0))&gt;=100000), " ",IF(INDEX($Q$2:$U$1001,MATCH(ROWS($J$2:J611),$J$2:$J$1001,0),MATCH(COLUMNS($Q$1006:Q1006),$Q$1006:$U$1006,0)), HYPERLINK("#",""), HYPERLINK(CONCATENATE("#Metadata!", ADDRESS(INDEX($L$2:$L$1001,MATCH(ROWS($J$2:J611),$J$2:$J$1001,0),0), INDEX($Q$1004:$U$1004,1,MATCH(COLUMNS($Q$1006:Q1006),$Q$1006:$U$1006,0)))),"Fix")))</f>
        <v xml:space="preserve"> </v>
      </c>
      <c r="C611" s="3" t="str">
        <f ca="1">IF(OR(INDEX($K$2:$K$1001,MATCH(ROWS($J$2:J611),$J$2:$J$1001,0),1)&gt;=100000,INDEX($Q$1005:$U$1005,1,MATCH(COLUMNS($Q$1006:R1006),$Q$1006:$U$1006,0))&gt;=100000), " ",IF(INDEX($Q$2:$U$1001,MATCH(ROWS($J$2:J611),$J$2:$J$1001,0),MATCH(COLUMNS($Q$1006:R1006),$Q$1006:$U$1006,0)), HYPERLINK("#",""), HYPERLINK(CONCATENATE("#Metadata!", ADDRESS(INDEX($L$2:$L$1001,MATCH(ROWS($J$2:J611),$J$2:$J$1001,0),0), INDEX($Q$1004:$U$1004,1,MATCH(COLUMNS($Q$1006:R1006),$Q$1006:$U$1006,0)))),"Fix")))</f>
        <v xml:space="preserve"> </v>
      </c>
      <c r="D611" s="3" t="str">
        <f ca="1">IF(OR(INDEX($K$2:$K$1001,MATCH(ROWS($J$2:J611),$J$2:$J$1001,0),1)&gt;=100000,INDEX($Q$1005:$U$1005,1,MATCH(COLUMNS($Q$1006:S1006),$Q$1006:$U$1006,0))&gt;=100000), " ",IF(INDEX($Q$2:$U$1001,MATCH(ROWS($J$2:J611),$J$2:$J$1001,0),MATCH(COLUMNS($Q$1006:S1006),$Q$1006:$U$1006,0)), HYPERLINK("#",""), HYPERLINK(CONCATENATE("#Metadata!", ADDRESS(INDEX($L$2:$L$1001,MATCH(ROWS($J$2:J611),$J$2:$J$1001,0),0), INDEX($Q$1004:$U$1004,1,MATCH(COLUMNS($Q$1006:S1006),$Q$1006:$U$1006,0)))),"Fix")))</f>
        <v xml:space="preserve"> </v>
      </c>
      <c r="E611" s="3" t="str">
        <f ca="1">IF(OR(INDEX($K$2:$K$1001,MATCH(ROWS($J$2:J611),$J$2:$J$1001,0),1)&gt;=100000,INDEX($Q$1005:$U$1005,1,MATCH(COLUMNS($Q$1006:T1006),$Q$1006:$U$1006,0))&gt;=100000), " ",IF(INDEX($Q$2:$U$1001,MATCH(ROWS($J$2:J611),$J$2:$J$1001,0),MATCH(COLUMNS($Q$1006:T1006),$Q$1006:$U$1006,0)), HYPERLINK("#",""), HYPERLINK(CONCATENATE("#Metadata!", ADDRESS(INDEX($L$2:$L$1001,MATCH(ROWS($J$2:J611),$J$2:$J$1001,0),0), INDEX($Q$1004:$U$1004,1,MATCH(COLUMNS($Q$1006:T1006),$Q$1006:$U$1006,0)))),"Fix")))</f>
        <v xml:space="preserve"> </v>
      </c>
      <c r="F611" s="3" t="str">
        <f ca="1">IF(OR(INDEX($K$2:$K$1001,MATCH(ROWS($J$2:J611),$J$2:$J$1001,0),1)&gt;=100000,INDEX($Q$1005:$U$1005,1,MATCH(COLUMNS($Q$1006:U1006),$Q$1006:$U$1006,0))&gt;=100000), " ",IF(INDEX($Q$2:$U$1001,MATCH(ROWS($J$2:J611),$J$2:$J$1001,0),MATCH(COLUMNS($Q$1006:U1006),$Q$1006:$U$1006,0)), HYPERLINK("#",""), HYPERLINK(CONCATENATE("#Metadata!", ADDRESS(INDEX($L$2:$L$1001,MATCH(ROWS($J$2:J611),$J$2:$J$1001,0),0), INDEX($Q$1004:$U$1004,1,MATCH(COLUMNS($Q$1006:U1006),$Q$1006:$U$1006,0)))),"Fix")))</f>
        <v xml:space="preserve"> </v>
      </c>
      <c r="J611">
        <f ca="1"/>
        <v>610</v>
      </c>
      <c r="K611">
        <v>100611</v>
      </c>
      <c r="L611">
        <v>611</v>
      </c>
      <c r="M611" t="b">
        <f t="shared" si="9"/>
        <v>1</v>
      </c>
      <c r="N611" t="b">
        <f>COUNTBLANK(Metadata!B611:F611)=COLUMNS(Metadata!B611:F611)</f>
        <v>1</v>
      </c>
      <c r="O611" t="str">
        <v/>
      </c>
      <c r="Q611" t="b">
        <f ca="1"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R611" t="b">
        <f>IF(Metadata!C611="",FALSE,TRUE)</f>
        <v>0</v>
      </c>
      <c r="S611" t="b">
        <f>OR(AND(IF(Metadata!D611="",FALSE,TRUE),EXACT(Metadata!D611,"missing: not collected")),AND(IF(Metadata!D611="",FALSE,TRUE),OR(EXACT(Metadata!D611,"t"),EXACT(Metadata!D611,"f"))))</f>
        <v>0</v>
      </c>
      <c r="T611" t="b">
        <f>AND(IF(Metadata!E611="",FALSE,TRUE),OR(EXACT(Metadata!E611,"a"),EXACT(Metadata!E611,"b")))</f>
        <v>0</v>
      </c>
      <c r="U611" t="b">
        <f>OR(AND(IF(Metadata!F611="",FALSE,TRUE),OR(EXACT(Metadata!F611,"missing: not collected"),EXACT(Metadata!F611,"missing: not provided"))),AND(IF(Metadata!F611="",FALSE,TRUE),OR(EXACT(Metadata!F611,"lo"),EXACT(Metadata!F611,"med"),EXACT(Metadata!F611,"hi"))))</f>
        <v>0</v>
      </c>
    </row>
    <row r="612" spans="1:21" x14ac:dyDescent="0.2">
      <c r="A612" s="4" t="str">
        <f ca="1">IF(B612=" "," ",HYPERLINK(CONCATENATE("#metadata!",ADDRESS(INDEX($L$2:$L$1001,MATCH(ROWS($J$2:J612),$J$2:$J$1001,0),0),1)),INDEX($O$2:$O$1001,MATCH(ROWS($J$2:J612),$J$2:$J$1001,0),0)))</f>
        <v xml:space="preserve"> </v>
      </c>
      <c r="B612" s="3" t="str">
        <f ca="1">IF(OR(INDEX($K$2:$K$1001,MATCH(ROWS($J$2:J612),$J$2:$J$1001,0),1)&gt;=100000,INDEX($Q$1005:$U$1005,1,MATCH(COLUMNS($Q$1006:Q1006),$Q$1006:$U$1006,0))&gt;=100000), " ",IF(INDEX($Q$2:$U$1001,MATCH(ROWS($J$2:J612),$J$2:$J$1001,0),MATCH(COLUMNS($Q$1006:Q1006),$Q$1006:$U$1006,0)), HYPERLINK("#",""), HYPERLINK(CONCATENATE("#Metadata!", ADDRESS(INDEX($L$2:$L$1001,MATCH(ROWS($J$2:J612),$J$2:$J$1001,0),0), INDEX($Q$1004:$U$1004,1,MATCH(COLUMNS($Q$1006:Q1006),$Q$1006:$U$1006,0)))),"Fix")))</f>
        <v xml:space="preserve"> </v>
      </c>
      <c r="C612" s="3" t="str">
        <f ca="1">IF(OR(INDEX($K$2:$K$1001,MATCH(ROWS($J$2:J612),$J$2:$J$1001,0),1)&gt;=100000,INDEX($Q$1005:$U$1005,1,MATCH(COLUMNS($Q$1006:R1006),$Q$1006:$U$1006,0))&gt;=100000), " ",IF(INDEX($Q$2:$U$1001,MATCH(ROWS($J$2:J612),$J$2:$J$1001,0),MATCH(COLUMNS($Q$1006:R1006),$Q$1006:$U$1006,0)), HYPERLINK("#",""), HYPERLINK(CONCATENATE("#Metadata!", ADDRESS(INDEX($L$2:$L$1001,MATCH(ROWS($J$2:J612),$J$2:$J$1001,0),0), INDEX($Q$1004:$U$1004,1,MATCH(COLUMNS($Q$1006:R1006),$Q$1006:$U$1006,0)))),"Fix")))</f>
        <v xml:space="preserve"> </v>
      </c>
      <c r="D612" s="3" t="str">
        <f ca="1">IF(OR(INDEX($K$2:$K$1001,MATCH(ROWS($J$2:J612),$J$2:$J$1001,0),1)&gt;=100000,INDEX($Q$1005:$U$1005,1,MATCH(COLUMNS($Q$1006:S1006),$Q$1006:$U$1006,0))&gt;=100000), " ",IF(INDEX($Q$2:$U$1001,MATCH(ROWS($J$2:J612),$J$2:$J$1001,0),MATCH(COLUMNS($Q$1006:S1006),$Q$1006:$U$1006,0)), HYPERLINK("#",""), HYPERLINK(CONCATENATE("#Metadata!", ADDRESS(INDEX($L$2:$L$1001,MATCH(ROWS($J$2:J612),$J$2:$J$1001,0),0), INDEX($Q$1004:$U$1004,1,MATCH(COLUMNS($Q$1006:S1006),$Q$1006:$U$1006,0)))),"Fix")))</f>
        <v xml:space="preserve"> </v>
      </c>
      <c r="E612" s="3" t="str">
        <f ca="1">IF(OR(INDEX($K$2:$K$1001,MATCH(ROWS($J$2:J612),$J$2:$J$1001,0),1)&gt;=100000,INDEX($Q$1005:$U$1005,1,MATCH(COLUMNS($Q$1006:T1006),$Q$1006:$U$1006,0))&gt;=100000), " ",IF(INDEX($Q$2:$U$1001,MATCH(ROWS($J$2:J612),$J$2:$J$1001,0),MATCH(COLUMNS($Q$1006:T1006),$Q$1006:$U$1006,0)), HYPERLINK("#",""), HYPERLINK(CONCATENATE("#Metadata!", ADDRESS(INDEX($L$2:$L$1001,MATCH(ROWS($J$2:J612),$J$2:$J$1001,0),0), INDEX($Q$1004:$U$1004,1,MATCH(COLUMNS($Q$1006:T1006),$Q$1006:$U$1006,0)))),"Fix")))</f>
        <v xml:space="preserve"> </v>
      </c>
      <c r="F612" s="3" t="str">
        <f ca="1">IF(OR(INDEX($K$2:$K$1001,MATCH(ROWS($J$2:J612),$J$2:$J$1001,0),1)&gt;=100000,INDEX($Q$1005:$U$1005,1,MATCH(COLUMNS($Q$1006:U1006),$Q$1006:$U$1006,0))&gt;=100000), " ",IF(INDEX($Q$2:$U$1001,MATCH(ROWS($J$2:J612),$J$2:$J$1001,0),MATCH(COLUMNS($Q$1006:U1006),$Q$1006:$U$1006,0)), HYPERLINK("#",""), HYPERLINK(CONCATENATE("#Metadata!", ADDRESS(INDEX($L$2:$L$1001,MATCH(ROWS($J$2:J612),$J$2:$J$1001,0),0), INDEX($Q$1004:$U$1004,1,MATCH(COLUMNS($Q$1006:U1006),$Q$1006:$U$1006,0)))),"Fix")))</f>
        <v xml:space="preserve"> </v>
      </c>
      <c r="J612">
        <f ca="1"/>
        <v>611</v>
      </c>
      <c r="K612">
        <v>100612</v>
      </c>
      <c r="L612">
        <v>612</v>
      </c>
      <c r="M612" t="b">
        <f t="shared" si="9"/>
        <v>1</v>
      </c>
      <c r="N612" t="b">
        <f>COUNTBLANK(Metadata!B612:F612)=COLUMNS(Metadata!B612:F612)</f>
        <v>1</v>
      </c>
      <c r="O612" t="str">
        <v/>
      </c>
      <c r="Q612" t="b">
        <f ca="1"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R612" t="b">
        <f>IF(Metadata!C612="",FALSE,TRUE)</f>
        <v>0</v>
      </c>
      <c r="S612" t="b">
        <f>OR(AND(IF(Metadata!D612="",FALSE,TRUE),EXACT(Metadata!D612,"missing: not collected")),AND(IF(Metadata!D612="",FALSE,TRUE),OR(EXACT(Metadata!D612,"t"),EXACT(Metadata!D612,"f"))))</f>
        <v>0</v>
      </c>
      <c r="T612" t="b">
        <f>AND(IF(Metadata!E612="",FALSE,TRUE),OR(EXACT(Metadata!E612,"a"),EXACT(Metadata!E612,"b")))</f>
        <v>0</v>
      </c>
      <c r="U612" t="b">
        <f>OR(AND(IF(Metadata!F612="",FALSE,TRUE),OR(EXACT(Metadata!F612,"missing: not collected"),EXACT(Metadata!F612,"missing: not provided"))),AND(IF(Metadata!F612="",FALSE,TRUE),OR(EXACT(Metadata!F612,"lo"),EXACT(Metadata!F612,"med"),EXACT(Metadata!F612,"hi"))))</f>
        <v>0</v>
      </c>
    </row>
    <row r="613" spans="1:21" x14ac:dyDescent="0.2">
      <c r="A613" s="4" t="str">
        <f ca="1">IF(B613=" "," ",HYPERLINK(CONCATENATE("#metadata!",ADDRESS(INDEX($L$2:$L$1001,MATCH(ROWS($J$2:J613),$J$2:$J$1001,0),0),1)),INDEX($O$2:$O$1001,MATCH(ROWS($J$2:J613),$J$2:$J$1001,0),0)))</f>
        <v xml:space="preserve"> </v>
      </c>
      <c r="B613" s="3" t="str">
        <f ca="1">IF(OR(INDEX($K$2:$K$1001,MATCH(ROWS($J$2:J613),$J$2:$J$1001,0),1)&gt;=100000,INDEX($Q$1005:$U$1005,1,MATCH(COLUMNS($Q$1006:Q1006),$Q$1006:$U$1006,0))&gt;=100000), " ",IF(INDEX($Q$2:$U$1001,MATCH(ROWS($J$2:J613),$J$2:$J$1001,0),MATCH(COLUMNS($Q$1006:Q1006),$Q$1006:$U$1006,0)), HYPERLINK("#",""), HYPERLINK(CONCATENATE("#Metadata!", ADDRESS(INDEX($L$2:$L$1001,MATCH(ROWS($J$2:J613),$J$2:$J$1001,0),0), INDEX($Q$1004:$U$1004,1,MATCH(COLUMNS($Q$1006:Q1006),$Q$1006:$U$1006,0)))),"Fix")))</f>
        <v xml:space="preserve"> </v>
      </c>
      <c r="C613" s="3" t="str">
        <f ca="1">IF(OR(INDEX($K$2:$K$1001,MATCH(ROWS($J$2:J613),$J$2:$J$1001,0),1)&gt;=100000,INDEX($Q$1005:$U$1005,1,MATCH(COLUMNS($Q$1006:R1006),$Q$1006:$U$1006,0))&gt;=100000), " ",IF(INDEX($Q$2:$U$1001,MATCH(ROWS($J$2:J613),$J$2:$J$1001,0),MATCH(COLUMNS($Q$1006:R1006),$Q$1006:$U$1006,0)), HYPERLINK("#",""), HYPERLINK(CONCATENATE("#Metadata!", ADDRESS(INDEX($L$2:$L$1001,MATCH(ROWS($J$2:J613),$J$2:$J$1001,0),0), INDEX($Q$1004:$U$1004,1,MATCH(COLUMNS($Q$1006:R1006),$Q$1006:$U$1006,0)))),"Fix")))</f>
        <v xml:space="preserve"> </v>
      </c>
      <c r="D613" s="3" t="str">
        <f ca="1">IF(OR(INDEX($K$2:$K$1001,MATCH(ROWS($J$2:J613),$J$2:$J$1001,0),1)&gt;=100000,INDEX($Q$1005:$U$1005,1,MATCH(COLUMNS($Q$1006:S1006),$Q$1006:$U$1006,0))&gt;=100000), " ",IF(INDEX($Q$2:$U$1001,MATCH(ROWS($J$2:J613),$J$2:$J$1001,0),MATCH(COLUMNS($Q$1006:S1006),$Q$1006:$U$1006,0)), HYPERLINK("#",""), HYPERLINK(CONCATENATE("#Metadata!", ADDRESS(INDEX($L$2:$L$1001,MATCH(ROWS($J$2:J613),$J$2:$J$1001,0),0), INDEX($Q$1004:$U$1004,1,MATCH(COLUMNS($Q$1006:S1006),$Q$1006:$U$1006,0)))),"Fix")))</f>
        <v xml:space="preserve"> </v>
      </c>
      <c r="E613" s="3" t="str">
        <f ca="1">IF(OR(INDEX($K$2:$K$1001,MATCH(ROWS($J$2:J613),$J$2:$J$1001,0),1)&gt;=100000,INDEX($Q$1005:$U$1005,1,MATCH(COLUMNS($Q$1006:T1006),$Q$1006:$U$1006,0))&gt;=100000), " ",IF(INDEX($Q$2:$U$1001,MATCH(ROWS($J$2:J613),$J$2:$J$1001,0),MATCH(COLUMNS($Q$1006:T1006),$Q$1006:$U$1006,0)), HYPERLINK("#",""), HYPERLINK(CONCATENATE("#Metadata!", ADDRESS(INDEX($L$2:$L$1001,MATCH(ROWS($J$2:J613),$J$2:$J$1001,0),0), INDEX($Q$1004:$U$1004,1,MATCH(COLUMNS($Q$1006:T1006),$Q$1006:$U$1006,0)))),"Fix")))</f>
        <v xml:space="preserve"> </v>
      </c>
      <c r="F613" s="3" t="str">
        <f ca="1">IF(OR(INDEX($K$2:$K$1001,MATCH(ROWS($J$2:J613),$J$2:$J$1001,0),1)&gt;=100000,INDEX($Q$1005:$U$1005,1,MATCH(COLUMNS($Q$1006:U1006),$Q$1006:$U$1006,0))&gt;=100000), " ",IF(INDEX($Q$2:$U$1001,MATCH(ROWS($J$2:J613),$J$2:$J$1001,0),MATCH(COLUMNS($Q$1006:U1006),$Q$1006:$U$1006,0)), HYPERLINK("#",""), HYPERLINK(CONCATENATE("#Metadata!", ADDRESS(INDEX($L$2:$L$1001,MATCH(ROWS($J$2:J613),$J$2:$J$1001,0),0), INDEX($Q$1004:$U$1004,1,MATCH(COLUMNS($Q$1006:U1006),$Q$1006:$U$1006,0)))),"Fix")))</f>
        <v xml:space="preserve"> </v>
      </c>
      <c r="J613">
        <f ca="1"/>
        <v>612</v>
      </c>
      <c r="K613">
        <v>100613</v>
      </c>
      <c r="L613">
        <v>613</v>
      </c>
      <c r="M613" t="b">
        <f t="shared" si="9"/>
        <v>1</v>
      </c>
      <c r="N613" t="b">
        <f>COUNTBLANK(Metadata!B613:F613)=COLUMNS(Metadata!B613:F613)</f>
        <v>1</v>
      </c>
      <c r="O613" t="str">
        <v/>
      </c>
      <c r="Q613" t="b">
        <f ca="1"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R613" t="b">
        <f>IF(Metadata!C613="",FALSE,TRUE)</f>
        <v>0</v>
      </c>
      <c r="S613" t="b">
        <f>OR(AND(IF(Metadata!D613="",FALSE,TRUE),EXACT(Metadata!D613,"missing: not collected")),AND(IF(Metadata!D613="",FALSE,TRUE),OR(EXACT(Metadata!D613,"t"),EXACT(Metadata!D613,"f"))))</f>
        <v>0</v>
      </c>
      <c r="T613" t="b">
        <f>AND(IF(Metadata!E613="",FALSE,TRUE),OR(EXACT(Metadata!E613,"a"),EXACT(Metadata!E613,"b")))</f>
        <v>0</v>
      </c>
      <c r="U613" t="b">
        <f>OR(AND(IF(Metadata!F613="",FALSE,TRUE),OR(EXACT(Metadata!F613,"missing: not collected"),EXACT(Metadata!F613,"missing: not provided"))),AND(IF(Metadata!F613="",FALSE,TRUE),OR(EXACT(Metadata!F613,"lo"),EXACT(Metadata!F613,"med"),EXACT(Metadata!F613,"hi"))))</f>
        <v>0</v>
      </c>
    </row>
    <row r="614" spans="1:21" x14ac:dyDescent="0.2">
      <c r="A614" s="4" t="str">
        <f ca="1">IF(B614=" "," ",HYPERLINK(CONCATENATE("#metadata!",ADDRESS(INDEX($L$2:$L$1001,MATCH(ROWS($J$2:J614),$J$2:$J$1001,0),0),1)),INDEX($O$2:$O$1001,MATCH(ROWS($J$2:J614),$J$2:$J$1001,0),0)))</f>
        <v xml:space="preserve"> </v>
      </c>
      <c r="B614" s="3" t="str">
        <f ca="1">IF(OR(INDEX($K$2:$K$1001,MATCH(ROWS($J$2:J614),$J$2:$J$1001,0),1)&gt;=100000,INDEX($Q$1005:$U$1005,1,MATCH(COLUMNS($Q$1006:Q1006),$Q$1006:$U$1006,0))&gt;=100000), " ",IF(INDEX($Q$2:$U$1001,MATCH(ROWS($J$2:J614),$J$2:$J$1001,0),MATCH(COLUMNS($Q$1006:Q1006),$Q$1006:$U$1006,0)), HYPERLINK("#",""), HYPERLINK(CONCATENATE("#Metadata!", ADDRESS(INDEX($L$2:$L$1001,MATCH(ROWS($J$2:J614),$J$2:$J$1001,0),0), INDEX($Q$1004:$U$1004,1,MATCH(COLUMNS($Q$1006:Q1006),$Q$1006:$U$1006,0)))),"Fix")))</f>
        <v xml:space="preserve"> </v>
      </c>
      <c r="C614" s="3" t="str">
        <f ca="1">IF(OR(INDEX($K$2:$K$1001,MATCH(ROWS($J$2:J614),$J$2:$J$1001,0),1)&gt;=100000,INDEX($Q$1005:$U$1005,1,MATCH(COLUMNS($Q$1006:R1006),$Q$1006:$U$1006,0))&gt;=100000), " ",IF(INDEX($Q$2:$U$1001,MATCH(ROWS($J$2:J614),$J$2:$J$1001,0),MATCH(COLUMNS($Q$1006:R1006),$Q$1006:$U$1006,0)), HYPERLINK("#",""), HYPERLINK(CONCATENATE("#Metadata!", ADDRESS(INDEX($L$2:$L$1001,MATCH(ROWS($J$2:J614),$J$2:$J$1001,0),0), INDEX($Q$1004:$U$1004,1,MATCH(COLUMNS($Q$1006:R1006),$Q$1006:$U$1006,0)))),"Fix")))</f>
        <v xml:space="preserve"> </v>
      </c>
      <c r="D614" s="3" t="str">
        <f ca="1">IF(OR(INDEX($K$2:$K$1001,MATCH(ROWS($J$2:J614),$J$2:$J$1001,0),1)&gt;=100000,INDEX($Q$1005:$U$1005,1,MATCH(COLUMNS($Q$1006:S1006),$Q$1006:$U$1006,0))&gt;=100000), " ",IF(INDEX($Q$2:$U$1001,MATCH(ROWS($J$2:J614),$J$2:$J$1001,0),MATCH(COLUMNS($Q$1006:S1006),$Q$1006:$U$1006,0)), HYPERLINK("#",""), HYPERLINK(CONCATENATE("#Metadata!", ADDRESS(INDEX($L$2:$L$1001,MATCH(ROWS($J$2:J614),$J$2:$J$1001,0),0), INDEX($Q$1004:$U$1004,1,MATCH(COLUMNS($Q$1006:S1006),$Q$1006:$U$1006,0)))),"Fix")))</f>
        <v xml:space="preserve"> </v>
      </c>
      <c r="E614" s="3" t="str">
        <f ca="1">IF(OR(INDEX($K$2:$K$1001,MATCH(ROWS($J$2:J614),$J$2:$J$1001,0),1)&gt;=100000,INDEX($Q$1005:$U$1005,1,MATCH(COLUMNS($Q$1006:T1006),$Q$1006:$U$1006,0))&gt;=100000), " ",IF(INDEX($Q$2:$U$1001,MATCH(ROWS($J$2:J614),$J$2:$J$1001,0),MATCH(COLUMNS($Q$1006:T1006),$Q$1006:$U$1006,0)), HYPERLINK("#",""), HYPERLINK(CONCATENATE("#Metadata!", ADDRESS(INDEX($L$2:$L$1001,MATCH(ROWS($J$2:J614),$J$2:$J$1001,0),0), INDEX($Q$1004:$U$1004,1,MATCH(COLUMNS($Q$1006:T1006),$Q$1006:$U$1006,0)))),"Fix")))</f>
        <v xml:space="preserve"> </v>
      </c>
      <c r="F614" s="3" t="str">
        <f ca="1">IF(OR(INDEX($K$2:$K$1001,MATCH(ROWS($J$2:J614),$J$2:$J$1001,0),1)&gt;=100000,INDEX($Q$1005:$U$1005,1,MATCH(COLUMNS($Q$1006:U1006),$Q$1006:$U$1006,0))&gt;=100000), " ",IF(INDEX($Q$2:$U$1001,MATCH(ROWS($J$2:J614),$J$2:$J$1001,0),MATCH(COLUMNS($Q$1006:U1006),$Q$1006:$U$1006,0)), HYPERLINK("#",""), HYPERLINK(CONCATENATE("#Metadata!", ADDRESS(INDEX($L$2:$L$1001,MATCH(ROWS($J$2:J614),$J$2:$J$1001,0),0), INDEX($Q$1004:$U$1004,1,MATCH(COLUMNS($Q$1006:U1006),$Q$1006:$U$1006,0)))),"Fix")))</f>
        <v xml:space="preserve"> </v>
      </c>
      <c r="J614">
        <f ca="1"/>
        <v>613</v>
      </c>
      <c r="K614">
        <v>100614</v>
      </c>
      <c r="L614">
        <v>614</v>
      </c>
      <c r="M614" t="b">
        <f t="shared" si="9"/>
        <v>1</v>
      </c>
      <c r="N614" t="b">
        <f>COUNTBLANK(Metadata!B614:F614)=COLUMNS(Metadata!B614:F614)</f>
        <v>1</v>
      </c>
      <c r="O614" t="str">
        <v/>
      </c>
      <c r="Q614" t="b">
        <f ca="1"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R614" t="b">
        <f>IF(Metadata!C614="",FALSE,TRUE)</f>
        <v>0</v>
      </c>
      <c r="S614" t="b">
        <f>OR(AND(IF(Metadata!D614="",FALSE,TRUE),EXACT(Metadata!D614,"missing: not collected")),AND(IF(Metadata!D614="",FALSE,TRUE),OR(EXACT(Metadata!D614,"t"),EXACT(Metadata!D614,"f"))))</f>
        <v>0</v>
      </c>
      <c r="T614" t="b">
        <f>AND(IF(Metadata!E614="",FALSE,TRUE),OR(EXACT(Metadata!E614,"a"),EXACT(Metadata!E614,"b")))</f>
        <v>0</v>
      </c>
      <c r="U614" t="b">
        <f>OR(AND(IF(Metadata!F614="",FALSE,TRUE),OR(EXACT(Metadata!F614,"missing: not collected"),EXACT(Metadata!F614,"missing: not provided"))),AND(IF(Metadata!F614="",FALSE,TRUE),OR(EXACT(Metadata!F614,"lo"),EXACT(Metadata!F614,"med"),EXACT(Metadata!F614,"hi"))))</f>
        <v>0</v>
      </c>
    </row>
    <row r="615" spans="1:21" x14ac:dyDescent="0.2">
      <c r="A615" s="4" t="str">
        <f ca="1">IF(B615=" "," ",HYPERLINK(CONCATENATE("#metadata!",ADDRESS(INDEX($L$2:$L$1001,MATCH(ROWS($J$2:J615),$J$2:$J$1001,0),0),1)),INDEX($O$2:$O$1001,MATCH(ROWS($J$2:J615),$J$2:$J$1001,0),0)))</f>
        <v xml:space="preserve"> </v>
      </c>
      <c r="B615" s="3" t="str">
        <f ca="1">IF(OR(INDEX($K$2:$K$1001,MATCH(ROWS($J$2:J615),$J$2:$J$1001,0),1)&gt;=100000,INDEX($Q$1005:$U$1005,1,MATCH(COLUMNS($Q$1006:Q1006),$Q$1006:$U$1006,0))&gt;=100000), " ",IF(INDEX($Q$2:$U$1001,MATCH(ROWS($J$2:J615),$J$2:$J$1001,0),MATCH(COLUMNS($Q$1006:Q1006),$Q$1006:$U$1006,0)), HYPERLINK("#",""), HYPERLINK(CONCATENATE("#Metadata!", ADDRESS(INDEX($L$2:$L$1001,MATCH(ROWS($J$2:J615),$J$2:$J$1001,0),0), INDEX($Q$1004:$U$1004,1,MATCH(COLUMNS($Q$1006:Q1006),$Q$1006:$U$1006,0)))),"Fix")))</f>
        <v xml:space="preserve"> </v>
      </c>
      <c r="C615" s="3" t="str">
        <f ca="1">IF(OR(INDEX($K$2:$K$1001,MATCH(ROWS($J$2:J615),$J$2:$J$1001,0),1)&gt;=100000,INDEX($Q$1005:$U$1005,1,MATCH(COLUMNS($Q$1006:R1006),$Q$1006:$U$1006,0))&gt;=100000), " ",IF(INDEX($Q$2:$U$1001,MATCH(ROWS($J$2:J615),$J$2:$J$1001,0),MATCH(COLUMNS($Q$1006:R1006),$Q$1006:$U$1006,0)), HYPERLINK("#",""), HYPERLINK(CONCATENATE("#Metadata!", ADDRESS(INDEX($L$2:$L$1001,MATCH(ROWS($J$2:J615),$J$2:$J$1001,0),0), INDEX($Q$1004:$U$1004,1,MATCH(COLUMNS($Q$1006:R1006),$Q$1006:$U$1006,0)))),"Fix")))</f>
        <v xml:space="preserve"> </v>
      </c>
      <c r="D615" s="3" t="str">
        <f ca="1">IF(OR(INDEX($K$2:$K$1001,MATCH(ROWS($J$2:J615),$J$2:$J$1001,0),1)&gt;=100000,INDEX($Q$1005:$U$1005,1,MATCH(COLUMNS($Q$1006:S1006),$Q$1006:$U$1006,0))&gt;=100000), " ",IF(INDEX($Q$2:$U$1001,MATCH(ROWS($J$2:J615),$J$2:$J$1001,0),MATCH(COLUMNS($Q$1006:S1006),$Q$1006:$U$1006,0)), HYPERLINK("#",""), HYPERLINK(CONCATENATE("#Metadata!", ADDRESS(INDEX($L$2:$L$1001,MATCH(ROWS($J$2:J615),$J$2:$J$1001,0),0), INDEX($Q$1004:$U$1004,1,MATCH(COLUMNS($Q$1006:S1006),$Q$1006:$U$1006,0)))),"Fix")))</f>
        <v xml:space="preserve"> </v>
      </c>
      <c r="E615" s="3" t="str">
        <f ca="1">IF(OR(INDEX($K$2:$K$1001,MATCH(ROWS($J$2:J615),$J$2:$J$1001,0),1)&gt;=100000,INDEX($Q$1005:$U$1005,1,MATCH(COLUMNS($Q$1006:T1006),$Q$1006:$U$1006,0))&gt;=100000), " ",IF(INDEX($Q$2:$U$1001,MATCH(ROWS($J$2:J615),$J$2:$J$1001,0),MATCH(COLUMNS($Q$1006:T1006),$Q$1006:$U$1006,0)), HYPERLINK("#",""), HYPERLINK(CONCATENATE("#Metadata!", ADDRESS(INDEX($L$2:$L$1001,MATCH(ROWS($J$2:J615),$J$2:$J$1001,0),0), INDEX($Q$1004:$U$1004,1,MATCH(COLUMNS($Q$1006:T1006),$Q$1006:$U$1006,0)))),"Fix")))</f>
        <v xml:space="preserve"> </v>
      </c>
      <c r="F615" s="3" t="str">
        <f ca="1">IF(OR(INDEX($K$2:$K$1001,MATCH(ROWS($J$2:J615),$J$2:$J$1001,0),1)&gt;=100000,INDEX($Q$1005:$U$1005,1,MATCH(COLUMNS($Q$1006:U1006),$Q$1006:$U$1006,0))&gt;=100000), " ",IF(INDEX($Q$2:$U$1001,MATCH(ROWS($J$2:J615),$J$2:$J$1001,0),MATCH(COLUMNS($Q$1006:U1006),$Q$1006:$U$1006,0)), HYPERLINK("#",""), HYPERLINK(CONCATENATE("#Metadata!", ADDRESS(INDEX($L$2:$L$1001,MATCH(ROWS($J$2:J615),$J$2:$J$1001,0),0), INDEX($Q$1004:$U$1004,1,MATCH(COLUMNS($Q$1006:U1006),$Q$1006:$U$1006,0)))),"Fix")))</f>
        <v xml:space="preserve"> </v>
      </c>
      <c r="J615">
        <f ca="1"/>
        <v>614</v>
      </c>
      <c r="K615">
        <v>100615</v>
      </c>
      <c r="L615">
        <v>615</v>
      </c>
      <c r="M615" t="b">
        <f t="shared" si="9"/>
        <v>1</v>
      </c>
      <c r="N615" t="b">
        <f>COUNTBLANK(Metadata!B615:F615)=COLUMNS(Metadata!B615:F615)</f>
        <v>1</v>
      </c>
      <c r="O615" t="str">
        <v/>
      </c>
      <c r="Q615" t="b">
        <f ca="1"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R615" t="b">
        <f>IF(Metadata!C615="",FALSE,TRUE)</f>
        <v>0</v>
      </c>
      <c r="S615" t="b">
        <f>OR(AND(IF(Metadata!D615="",FALSE,TRUE),EXACT(Metadata!D615,"missing: not collected")),AND(IF(Metadata!D615="",FALSE,TRUE),OR(EXACT(Metadata!D615,"t"),EXACT(Metadata!D615,"f"))))</f>
        <v>0</v>
      </c>
      <c r="T615" t="b">
        <f>AND(IF(Metadata!E615="",FALSE,TRUE),OR(EXACT(Metadata!E615,"a"),EXACT(Metadata!E615,"b")))</f>
        <v>0</v>
      </c>
      <c r="U615" t="b">
        <f>OR(AND(IF(Metadata!F615="",FALSE,TRUE),OR(EXACT(Metadata!F615,"missing: not collected"),EXACT(Metadata!F615,"missing: not provided"))),AND(IF(Metadata!F615="",FALSE,TRUE),OR(EXACT(Metadata!F615,"lo"),EXACT(Metadata!F615,"med"),EXACT(Metadata!F615,"hi"))))</f>
        <v>0</v>
      </c>
    </row>
    <row r="616" spans="1:21" x14ac:dyDescent="0.2">
      <c r="A616" s="4" t="str">
        <f ca="1">IF(B616=" "," ",HYPERLINK(CONCATENATE("#metadata!",ADDRESS(INDEX($L$2:$L$1001,MATCH(ROWS($J$2:J616),$J$2:$J$1001,0),0),1)),INDEX($O$2:$O$1001,MATCH(ROWS($J$2:J616),$J$2:$J$1001,0),0)))</f>
        <v xml:space="preserve"> </v>
      </c>
      <c r="B616" s="3" t="str">
        <f ca="1">IF(OR(INDEX($K$2:$K$1001,MATCH(ROWS($J$2:J616),$J$2:$J$1001,0),1)&gt;=100000,INDEX($Q$1005:$U$1005,1,MATCH(COLUMNS($Q$1006:Q1006),$Q$1006:$U$1006,0))&gt;=100000), " ",IF(INDEX($Q$2:$U$1001,MATCH(ROWS($J$2:J616),$J$2:$J$1001,0),MATCH(COLUMNS($Q$1006:Q1006),$Q$1006:$U$1006,0)), HYPERLINK("#",""), HYPERLINK(CONCATENATE("#Metadata!", ADDRESS(INDEX($L$2:$L$1001,MATCH(ROWS($J$2:J616),$J$2:$J$1001,0),0), INDEX($Q$1004:$U$1004,1,MATCH(COLUMNS($Q$1006:Q1006),$Q$1006:$U$1006,0)))),"Fix")))</f>
        <v xml:space="preserve"> </v>
      </c>
      <c r="C616" s="3" t="str">
        <f ca="1">IF(OR(INDEX($K$2:$K$1001,MATCH(ROWS($J$2:J616),$J$2:$J$1001,0),1)&gt;=100000,INDEX($Q$1005:$U$1005,1,MATCH(COLUMNS($Q$1006:R1006),$Q$1006:$U$1006,0))&gt;=100000), " ",IF(INDEX($Q$2:$U$1001,MATCH(ROWS($J$2:J616),$J$2:$J$1001,0),MATCH(COLUMNS($Q$1006:R1006),$Q$1006:$U$1006,0)), HYPERLINK("#",""), HYPERLINK(CONCATENATE("#Metadata!", ADDRESS(INDEX($L$2:$L$1001,MATCH(ROWS($J$2:J616),$J$2:$J$1001,0),0), INDEX($Q$1004:$U$1004,1,MATCH(COLUMNS($Q$1006:R1006),$Q$1006:$U$1006,0)))),"Fix")))</f>
        <v xml:space="preserve"> </v>
      </c>
      <c r="D616" s="3" t="str">
        <f ca="1">IF(OR(INDEX($K$2:$K$1001,MATCH(ROWS($J$2:J616),$J$2:$J$1001,0),1)&gt;=100000,INDEX($Q$1005:$U$1005,1,MATCH(COLUMNS($Q$1006:S1006),$Q$1006:$U$1006,0))&gt;=100000), " ",IF(INDEX($Q$2:$U$1001,MATCH(ROWS($J$2:J616),$J$2:$J$1001,0),MATCH(COLUMNS($Q$1006:S1006),$Q$1006:$U$1006,0)), HYPERLINK("#",""), HYPERLINK(CONCATENATE("#Metadata!", ADDRESS(INDEX($L$2:$L$1001,MATCH(ROWS($J$2:J616),$J$2:$J$1001,0),0), INDEX($Q$1004:$U$1004,1,MATCH(COLUMNS($Q$1006:S1006),$Q$1006:$U$1006,0)))),"Fix")))</f>
        <v xml:space="preserve"> </v>
      </c>
      <c r="E616" s="3" t="str">
        <f ca="1">IF(OR(INDEX($K$2:$K$1001,MATCH(ROWS($J$2:J616),$J$2:$J$1001,0),1)&gt;=100000,INDEX($Q$1005:$U$1005,1,MATCH(COLUMNS($Q$1006:T1006),$Q$1006:$U$1006,0))&gt;=100000), " ",IF(INDEX($Q$2:$U$1001,MATCH(ROWS($J$2:J616),$J$2:$J$1001,0),MATCH(COLUMNS($Q$1006:T1006),$Q$1006:$U$1006,0)), HYPERLINK("#",""), HYPERLINK(CONCATENATE("#Metadata!", ADDRESS(INDEX($L$2:$L$1001,MATCH(ROWS($J$2:J616),$J$2:$J$1001,0),0), INDEX($Q$1004:$U$1004,1,MATCH(COLUMNS($Q$1006:T1006),$Q$1006:$U$1006,0)))),"Fix")))</f>
        <v xml:space="preserve"> </v>
      </c>
      <c r="F616" s="3" t="str">
        <f ca="1">IF(OR(INDEX($K$2:$K$1001,MATCH(ROWS($J$2:J616),$J$2:$J$1001,0),1)&gt;=100000,INDEX($Q$1005:$U$1005,1,MATCH(COLUMNS($Q$1006:U1006),$Q$1006:$U$1006,0))&gt;=100000), " ",IF(INDEX($Q$2:$U$1001,MATCH(ROWS($J$2:J616),$J$2:$J$1001,0),MATCH(COLUMNS($Q$1006:U1006),$Q$1006:$U$1006,0)), HYPERLINK("#",""), HYPERLINK(CONCATENATE("#Metadata!", ADDRESS(INDEX($L$2:$L$1001,MATCH(ROWS($J$2:J616),$J$2:$J$1001,0),0), INDEX($Q$1004:$U$1004,1,MATCH(COLUMNS($Q$1006:U1006),$Q$1006:$U$1006,0)))),"Fix")))</f>
        <v xml:space="preserve"> </v>
      </c>
      <c r="J616">
        <f ca="1"/>
        <v>615</v>
      </c>
      <c r="K616">
        <v>100616</v>
      </c>
      <c r="L616">
        <v>616</v>
      </c>
      <c r="M616" t="b">
        <f t="shared" si="9"/>
        <v>1</v>
      </c>
      <c r="N616" t="b">
        <f>COUNTBLANK(Metadata!B616:F616)=COLUMNS(Metadata!B616:F616)</f>
        <v>1</v>
      </c>
      <c r="O616" t="str">
        <v/>
      </c>
      <c r="Q616" t="b">
        <f ca="1"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R616" t="b">
        <f>IF(Metadata!C616="",FALSE,TRUE)</f>
        <v>0</v>
      </c>
      <c r="S616" t="b">
        <f>OR(AND(IF(Metadata!D616="",FALSE,TRUE),EXACT(Metadata!D616,"missing: not collected")),AND(IF(Metadata!D616="",FALSE,TRUE),OR(EXACT(Metadata!D616,"t"),EXACT(Metadata!D616,"f"))))</f>
        <v>0</v>
      </c>
      <c r="T616" t="b">
        <f>AND(IF(Metadata!E616="",FALSE,TRUE),OR(EXACT(Metadata!E616,"a"),EXACT(Metadata!E616,"b")))</f>
        <v>0</v>
      </c>
      <c r="U616" t="b">
        <f>OR(AND(IF(Metadata!F616="",FALSE,TRUE),OR(EXACT(Metadata!F616,"missing: not collected"),EXACT(Metadata!F616,"missing: not provided"))),AND(IF(Metadata!F616="",FALSE,TRUE),OR(EXACT(Metadata!F616,"lo"),EXACT(Metadata!F616,"med"),EXACT(Metadata!F616,"hi"))))</f>
        <v>0</v>
      </c>
    </row>
    <row r="617" spans="1:21" x14ac:dyDescent="0.2">
      <c r="A617" s="4" t="str">
        <f ca="1">IF(B617=" "," ",HYPERLINK(CONCATENATE("#metadata!",ADDRESS(INDEX($L$2:$L$1001,MATCH(ROWS($J$2:J617),$J$2:$J$1001,0),0),1)),INDEX($O$2:$O$1001,MATCH(ROWS($J$2:J617),$J$2:$J$1001,0),0)))</f>
        <v xml:space="preserve"> </v>
      </c>
      <c r="B617" s="3" t="str">
        <f ca="1">IF(OR(INDEX($K$2:$K$1001,MATCH(ROWS($J$2:J617),$J$2:$J$1001,0),1)&gt;=100000,INDEX($Q$1005:$U$1005,1,MATCH(COLUMNS($Q$1006:Q1006),$Q$1006:$U$1006,0))&gt;=100000), " ",IF(INDEX($Q$2:$U$1001,MATCH(ROWS($J$2:J617),$J$2:$J$1001,0),MATCH(COLUMNS($Q$1006:Q1006),$Q$1006:$U$1006,0)), HYPERLINK("#",""), HYPERLINK(CONCATENATE("#Metadata!", ADDRESS(INDEX($L$2:$L$1001,MATCH(ROWS($J$2:J617),$J$2:$J$1001,0),0), INDEX($Q$1004:$U$1004,1,MATCH(COLUMNS($Q$1006:Q1006),$Q$1006:$U$1006,0)))),"Fix")))</f>
        <v xml:space="preserve"> </v>
      </c>
      <c r="C617" s="3" t="str">
        <f ca="1">IF(OR(INDEX($K$2:$K$1001,MATCH(ROWS($J$2:J617),$J$2:$J$1001,0),1)&gt;=100000,INDEX($Q$1005:$U$1005,1,MATCH(COLUMNS($Q$1006:R1006),$Q$1006:$U$1006,0))&gt;=100000), " ",IF(INDEX($Q$2:$U$1001,MATCH(ROWS($J$2:J617),$J$2:$J$1001,0),MATCH(COLUMNS($Q$1006:R1006),$Q$1006:$U$1006,0)), HYPERLINK("#",""), HYPERLINK(CONCATENATE("#Metadata!", ADDRESS(INDEX($L$2:$L$1001,MATCH(ROWS($J$2:J617),$J$2:$J$1001,0),0), INDEX($Q$1004:$U$1004,1,MATCH(COLUMNS($Q$1006:R1006),$Q$1006:$U$1006,0)))),"Fix")))</f>
        <v xml:space="preserve"> </v>
      </c>
      <c r="D617" s="3" t="str">
        <f ca="1">IF(OR(INDEX($K$2:$K$1001,MATCH(ROWS($J$2:J617),$J$2:$J$1001,0),1)&gt;=100000,INDEX($Q$1005:$U$1005,1,MATCH(COLUMNS($Q$1006:S1006),$Q$1006:$U$1006,0))&gt;=100000), " ",IF(INDEX($Q$2:$U$1001,MATCH(ROWS($J$2:J617),$J$2:$J$1001,0),MATCH(COLUMNS($Q$1006:S1006),$Q$1006:$U$1006,0)), HYPERLINK("#",""), HYPERLINK(CONCATENATE("#Metadata!", ADDRESS(INDEX($L$2:$L$1001,MATCH(ROWS($J$2:J617),$J$2:$J$1001,0),0), INDEX($Q$1004:$U$1004,1,MATCH(COLUMNS($Q$1006:S1006),$Q$1006:$U$1006,0)))),"Fix")))</f>
        <v xml:space="preserve"> </v>
      </c>
      <c r="E617" s="3" t="str">
        <f ca="1">IF(OR(INDEX($K$2:$K$1001,MATCH(ROWS($J$2:J617),$J$2:$J$1001,0),1)&gt;=100000,INDEX($Q$1005:$U$1005,1,MATCH(COLUMNS($Q$1006:T1006),$Q$1006:$U$1006,0))&gt;=100000), " ",IF(INDEX($Q$2:$U$1001,MATCH(ROWS($J$2:J617),$J$2:$J$1001,0),MATCH(COLUMNS($Q$1006:T1006),$Q$1006:$U$1006,0)), HYPERLINK("#",""), HYPERLINK(CONCATENATE("#Metadata!", ADDRESS(INDEX($L$2:$L$1001,MATCH(ROWS($J$2:J617),$J$2:$J$1001,0),0), INDEX($Q$1004:$U$1004,1,MATCH(COLUMNS($Q$1006:T1006),$Q$1006:$U$1006,0)))),"Fix")))</f>
        <v xml:space="preserve"> </v>
      </c>
      <c r="F617" s="3" t="str">
        <f ca="1">IF(OR(INDEX($K$2:$K$1001,MATCH(ROWS($J$2:J617),$J$2:$J$1001,0),1)&gt;=100000,INDEX($Q$1005:$U$1005,1,MATCH(COLUMNS($Q$1006:U1006),$Q$1006:$U$1006,0))&gt;=100000), " ",IF(INDEX($Q$2:$U$1001,MATCH(ROWS($J$2:J617),$J$2:$J$1001,0),MATCH(COLUMNS($Q$1006:U1006),$Q$1006:$U$1006,0)), HYPERLINK("#",""), HYPERLINK(CONCATENATE("#Metadata!", ADDRESS(INDEX($L$2:$L$1001,MATCH(ROWS($J$2:J617),$J$2:$J$1001,0),0), INDEX($Q$1004:$U$1004,1,MATCH(COLUMNS($Q$1006:U1006),$Q$1006:$U$1006,0)))),"Fix")))</f>
        <v xml:space="preserve"> </v>
      </c>
      <c r="J617">
        <f ca="1"/>
        <v>616</v>
      </c>
      <c r="K617">
        <v>100617</v>
      </c>
      <c r="L617">
        <v>617</v>
      </c>
      <c r="M617" t="b">
        <f t="shared" si="9"/>
        <v>1</v>
      </c>
      <c r="N617" t="b">
        <f>COUNTBLANK(Metadata!B617:F617)=COLUMNS(Metadata!B617:F617)</f>
        <v>1</v>
      </c>
      <c r="O617" t="str">
        <v/>
      </c>
      <c r="Q617" t="b">
        <f ca="1"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R617" t="b">
        <f>IF(Metadata!C617="",FALSE,TRUE)</f>
        <v>0</v>
      </c>
      <c r="S617" t="b">
        <f>OR(AND(IF(Metadata!D617="",FALSE,TRUE),EXACT(Metadata!D617,"missing: not collected")),AND(IF(Metadata!D617="",FALSE,TRUE),OR(EXACT(Metadata!D617,"t"),EXACT(Metadata!D617,"f"))))</f>
        <v>0</v>
      </c>
      <c r="T617" t="b">
        <f>AND(IF(Metadata!E617="",FALSE,TRUE),OR(EXACT(Metadata!E617,"a"),EXACT(Metadata!E617,"b")))</f>
        <v>0</v>
      </c>
      <c r="U617" t="b">
        <f>OR(AND(IF(Metadata!F617="",FALSE,TRUE),OR(EXACT(Metadata!F617,"missing: not collected"),EXACT(Metadata!F617,"missing: not provided"))),AND(IF(Metadata!F617="",FALSE,TRUE),OR(EXACT(Metadata!F617,"lo"),EXACT(Metadata!F617,"med"),EXACT(Metadata!F617,"hi"))))</f>
        <v>0</v>
      </c>
    </row>
    <row r="618" spans="1:21" x14ac:dyDescent="0.2">
      <c r="A618" s="4" t="str">
        <f ca="1">IF(B618=" "," ",HYPERLINK(CONCATENATE("#metadata!",ADDRESS(INDEX($L$2:$L$1001,MATCH(ROWS($J$2:J618),$J$2:$J$1001,0),0),1)),INDEX($O$2:$O$1001,MATCH(ROWS($J$2:J618),$J$2:$J$1001,0),0)))</f>
        <v xml:space="preserve"> </v>
      </c>
      <c r="B618" s="3" t="str">
        <f ca="1">IF(OR(INDEX($K$2:$K$1001,MATCH(ROWS($J$2:J618),$J$2:$J$1001,0),1)&gt;=100000,INDEX($Q$1005:$U$1005,1,MATCH(COLUMNS($Q$1006:Q1006),$Q$1006:$U$1006,0))&gt;=100000), " ",IF(INDEX($Q$2:$U$1001,MATCH(ROWS($J$2:J618),$J$2:$J$1001,0),MATCH(COLUMNS($Q$1006:Q1006),$Q$1006:$U$1006,0)), HYPERLINK("#",""), HYPERLINK(CONCATENATE("#Metadata!", ADDRESS(INDEX($L$2:$L$1001,MATCH(ROWS($J$2:J618),$J$2:$J$1001,0),0), INDEX($Q$1004:$U$1004,1,MATCH(COLUMNS($Q$1006:Q1006),$Q$1006:$U$1006,0)))),"Fix")))</f>
        <v xml:space="preserve"> </v>
      </c>
      <c r="C618" s="3" t="str">
        <f ca="1">IF(OR(INDEX($K$2:$K$1001,MATCH(ROWS($J$2:J618),$J$2:$J$1001,0),1)&gt;=100000,INDEX($Q$1005:$U$1005,1,MATCH(COLUMNS($Q$1006:R1006),$Q$1006:$U$1006,0))&gt;=100000), " ",IF(INDEX($Q$2:$U$1001,MATCH(ROWS($J$2:J618),$J$2:$J$1001,0),MATCH(COLUMNS($Q$1006:R1006),$Q$1006:$U$1006,0)), HYPERLINK("#",""), HYPERLINK(CONCATENATE("#Metadata!", ADDRESS(INDEX($L$2:$L$1001,MATCH(ROWS($J$2:J618),$J$2:$J$1001,0),0), INDEX($Q$1004:$U$1004,1,MATCH(COLUMNS($Q$1006:R1006),$Q$1006:$U$1006,0)))),"Fix")))</f>
        <v xml:space="preserve"> </v>
      </c>
      <c r="D618" s="3" t="str">
        <f ca="1">IF(OR(INDEX($K$2:$K$1001,MATCH(ROWS($J$2:J618),$J$2:$J$1001,0),1)&gt;=100000,INDEX($Q$1005:$U$1005,1,MATCH(COLUMNS($Q$1006:S1006),$Q$1006:$U$1006,0))&gt;=100000), " ",IF(INDEX($Q$2:$U$1001,MATCH(ROWS($J$2:J618),$J$2:$J$1001,0),MATCH(COLUMNS($Q$1006:S1006),$Q$1006:$U$1006,0)), HYPERLINK("#",""), HYPERLINK(CONCATENATE("#Metadata!", ADDRESS(INDEX($L$2:$L$1001,MATCH(ROWS($J$2:J618),$J$2:$J$1001,0),0), INDEX($Q$1004:$U$1004,1,MATCH(COLUMNS($Q$1006:S1006),$Q$1006:$U$1006,0)))),"Fix")))</f>
        <v xml:space="preserve"> </v>
      </c>
      <c r="E618" s="3" t="str">
        <f ca="1">IF(OR(INDEX($K$2:$K$1001,MATCH(ROWS($J$2:J618),$J$2:$J$1001,0),1)&gt;=100000,INDEX($Q$1005:$U$1005,1,MATCH(COLUMNS($Q$1006:T1006),$Q$1006:$U$1006,0))&gt;=100000), " ",IF(INDEX($Q$2:$U$1001,MATCH(ROWS($J$2:J618),$J$2:$J$1001,0),MATCH(COLUMNS($Q$1006:T1006),$Q$1006:$U$1006,0)), HYPERLINK("#",""), HYPERLINK(CONCATENATE("#Metadata!", ADDRESS(INDEX($L$2:$L$1001,MATCH(ROWS($J$2:J618),$J$2:$J$1001,0),0), INDEX($Q$1004:$U$1004,1,MATCH(COLUMNS($Q$1006:T1006),$Q$1006:$U$1006,0)))),"Fix")))</f>
        <v xml:space="preserve"> </v>
      </c>
      <c r="F618" s="3" t="str">
        <f ca="1">IF(OR(INDEX($K$2:$K$1001,MATCH(ROWS($J$2:J618),$J$2:$J$1001,0),1)&gt;=100000,INDEX($Q$1005:$U$1005,1,MATCH(COLUMNS($Q$1006:U1006),$Q$1006:$U$1006,0))&gt;=100000), " ",IF(INDEX($Q$2:$U$1001,MATCH(ROWS($J$2:J618),$J$2:$J$1001,0),MATCH(COLUMNS($Q$1006:U1006),$Q$1006:$U$1006,0)), HYPERLINK("#",""), HYPERLINK(CONCATENATE("#Metadata!", ADDRESS(INDEX($L$2:$L$1001,MATCH(ROWS($J$2:J618),$J$2:$J$1001,0),0), INDEX($Q$1004:$U$1004,1,MATCH(COLUMNS($Q$1006:U1006),$Q$1006:$U$1006,0)))),"Fix")))</f>
        <v xml:space="preserve"> </v>
      </c>
      <c r="J618">
        <f ca="1"/>
        <v>617</v>
      </c>
      <c r="K618">
        <v>100618</v>
      </c>
      <c r="L618">
        <v>618</v>
      </c>
      <c r="M618" t="b">
        <f t="shared" si="9"/>
        <v>1</v>
      </c>
      <c r="N618" t="b">
        <f>COUNTBLANK(Metadata!B618:F618)=COLUMNS(Metadata!B618:F618)</f>
        <v>1</v>
      </c>
      <c r="O618" t="str">
        <v/>
      </c>
      <c r="Q618" t="b">
        <f ca="1"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R618" t="b">
        <f>IF(Metadata!C618="",FALSE,TRUE)</f>
        <v>0</v>
      </c>
      <c r="S618" t="b">
        <f>OR(AND(IF(Metadata!D618="",FALSE,TRUE),EXACT(Metadata!D618,"missing: not collected")),AND(IF(Metadata!D618="",FALSE,TRUE),OR(EXACT(Metadata!D618,"t"),EXACT(Metadata!D618,"f"))))</f>
        <v>0</v>
      </c>
      <c r="T618" t="b">
        <f>AND(IF(Metadata!E618="",FALSE,TRUE),OR(EXACT(Metadata!E618,"a"),EXACT(Metadata!E618,"b")))</f>
        <v>0</v>
      </c>
      <c r="U618" t="b">
        <f>OR(AND(IF(Metadata!F618="",FALSE,TRUE),OR(EXACT(Metadata!F618,"missing: not collected"),EXACT(Metadata!F618,"missing: not provided"))),AND(IF(Metadata!F618="",FALSE,TRUE),OR(EXACT(Metadata!F618,"lo"),EXACT(Metadata!F618,"med"),EXACT(Metadata!F618,"hi"))))</f>
        <v>0</v>
      </c>
    </row>
    <row r="619" spans="1:21" x14ac:dyDescent="0.2">
      <c r="A619" s="4" t="str">
        <f ca="1">IF(B619=" "," ",HYPERLINK(CONCATENATE("#metadata!",ADDRESS(INDEX($L$2:$L$1001,MATCH(ROWS($J$2:J619),$J$2:$J$1001,0),0),1)),INDEX($O$2:$O$1001,MATCH(ROWS($J$2:J619),$J$2:$J$1001,0),0)))</f>
        <v xml:space="preserve"> </v>
      </c>
      <c r="B619" s="3" t="str">
        <f ca="1">IF(OR(INDEX($K$2:$K$1001,MATCH(ROWS($J$2:J619),$J$2:$J$1001,0),1)&gt;=100000,INDEX($Q$1005:$U$1005,1,MATCH(COLUMNS($Q$1006:Q1006),$Q$1006:$U$1006,0))&gt;=100000), " ",IF(INDEX($Q$2:$U$1001,MATCH(ROWS($J$2:J619),$J$2:$J$1001,0),MATCH(COLUMNS($Q$1006:Q1006),$Q$1006:$U$1006,0)), HYPERLINK("#",""), HYPERLINK(CONCATENATE("#Metadata!", ADDRESS(INDEX($L$2:$L$1001,MATCH(ROWS($J$2:J619),$J$2:$J$1001,0),0), INDEX($Q$1004:$U$1004,1,MATCH(COLUMNS($Q$1006:Q1006),$Q$1006:$U$1006,0)))),"Fix")))</f>
        <v xml:space="preserve"> </v>
      </c>
      <c r="C619" s="3" t="str">
        <f ca="1">IF(OR(INDEX($K$2:$K$1001,MATCH(ROWS($J$2:J619),$J$2:$J$1001,0),1)&gt;=100000,INDEX($Q$1005:$U$1005,1,MATCH(COLUMNS($Q$1006:R1006),$Q$1006:$U$1006,0))&gt;=100000), " ",IF(INDEX($Q$2:$U$1001,MATCH(ROWS($J$2:J619),$J$2:$J$1001,0),MATCH(COLUMNS($Q$1006:R1006),$Q$1006:$U$1006,0)), HYPERLINK("#",""), HYPERLINK(CONCATENATE("#Metadata!", ADDRESS(INDEX($L$2:$L$1001,MATCH(ROWS($J$2:J619),$J$2:$J$1001,0),0), INDEX($Q$1004:$U$1004,1,MATCH(COLUMNS($Q$1006:R1006),$Q$1006:$U$1006,0)))),"Fix")))</f>
        <v xml:space="preserve"> </v>
      </c>
      <c r="D619" s="3" t="str">
        <f ca="1">IF(OR(INDEX($K$2:$K$1001,MATCH(ROWS($J$2:J619),$J$2:$J$1001,0),1)&gt;=100000,INDEX($Q$1005:$U$1005,1,MATCH(COLUMNS($Q$1006:S1006),$Q$1006:$U$1006,0))&gt;=100000), " ",IF(INDEX($Q$2:$U$1001,MATCH(ROWS($J$2:J619),$J$2:$J$1001,0),MATCH(COLUMNS($Q$1006:S1006),$Q$1006:$U$1006,0)), HYPERLINK("#",""), HYPERLINK(CONCATENATE("#Metadata!", ADDRESS(INDEX($L$2:$L$1001,MATCH(ROWS($J$2:J619),$J$2:$J$1001,0),0), INDEX($Q$1004:$U$1004,1,MATCH(COLUMNS($Q$1006:S1006),$Q$1006:$U$1006,0)))),"Fix")))</f>
        <v xml:space="preserve"> </v>
      </c>
      <c r="E619" s="3" t="str">
        <f ca="1">IF(OR(INDEX($K$2:$K$1001,MATCH(ROWS($J$2:J619),$J$2:$J$1001,0),1)&gt;=100000,INDEX($Q$1005:$U$1005,1,MATCH(COLUMNS($Q$1006:T1006),$Q$1006:$U$1006,0))&gt;=100000), " ",IF(INDEX($Q$2:$U$1001,MATCH(ROWS($J$2:J619),$J$2:$J$1001,0),MATCH(COLUMNS($Q$1006:T1006),$Q$1006:$U$1006,0)), HYPERLINK("#",""), HYPERLINK(CONCATENATE("#Metadata!", ADDRESS(INDEX($L$2:$L$1001,MATCH(ROWS($J$2:J619),$J$2:$J$1001,0),0), INDEX($Q$1004:$U$1004,1,MATCH(COLUMNS($Q$1006:T1006),$Q$1006:$U$1006,0)))),"Fix")))</f>
        <v xml:space="preserve"> </v>
      </c>
      <c r="F619" s="3" t="str">
        <f ca="1">IF(OR(INDEX($K$2:$K$1001,MATCH(ROWS($J$2:J619),$J$2:$J$1001,0),1)&gt;=100000,INDEX($Q$1005:$U$1005,1,MATCH(COLUMNS($Q$1006:U1006),$Q$1006:$U$1006,0))&gt;=100000), " ",IF(INDEX($Q$2:$U$1001,MATCH(ROWS($J$2:J619),$J$2:$J$1001,0),MATCH(COLUMNS($Q$1006:U1006),$Q$1006:$U$1006,0)), HYPERLINK("#",""), HYPERLINK(CONCATENATE("#Metadata!", ADDRESS(INDEX($L$2:$L$1001,MATCH(ROWS($J$2:J619),$J$2:$J$1001,0),0), INDEX($Q$1004:$U$1004,1,MATCH(COLUMNS($Q$1006:U1006),$Q$1006:$U$1006,0)))),"Fix")))</f>
        <v xml:space="preserve"> </v>
      </c>
      <c r="J619">
        <f ca="1"/>
        <v>618</v>
      </c>
      <c r="K619">
        <v>100619</v>
      </c>
      <c r="L619">
        <v>619</v>
      </c>
      <c r="M619" t="b">
        <f t="shared" si="9"/>
        <v>1</v>
      </c>
      <c r="N619" t="b">
        <f>COUNTBLANK(Metadata!B619:F619)=COLUMNS(Metadata!B619:F619)</f>
        <v>1</v>
      </c>
      <c r="O619" t="str">
        <v/>
      </c>
      <c r="Q619" t="b">
        <f ca="1"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R619" t="b">
        <f>IF(Metadata!C619="",FALSE,TRUE)</f>
        <v>0</v>
      </c>
      <c r="S619" t="b">
        <f>OR(AND(IF(Metadata!D619="",FALSE,TRUE),EXACT(Metadata!D619,"missing: not collected")),AND(IF(Metadata!D619="",FALSE,TRUE),OR(EXACT(Metadata!D619,"t"),EXACT(Metadata!D619,"f"))))</f>
        <v>0</v>
      </c>
      <c r="T619" t="b">
        <f>AND(IF(Metadata!E619="",FALSE,TRUE),OR(EXACT(Metadata!E619,"a"),EXACT(Metadata!E619,"b")))</f>
        <v>0</v>
      </c>
      <c r="U619" t="b">
        <f>OR(AND(IF(Metadata!F619="",FALSE,TRUE),OR(EXACT(Metadata!F619,"missing: not collected"),EXACT(Metadata!F619,"missing: not provided"))),AND(IF(Metadata!F619="",FALSE,TRUE),OR(EXACT(Metadata!F619,"lo"),EXACT(Metadata!F619,"med"),EXACT(Metadata!F619,"hi"))))</f>
        <v>0</v>
      </c>
    </row>
    <row r="620" spans="1:21" x14ac:dyDescent="0.2">
      <c r="A620" s="4" t="str">
        <f ca="1">IF(B620=" "," ",HYPERLINK(CONCATENATE("#metadata!",ADDRESS(INDEX($L$2:$L$1001,MATCH(ROWS($J$2:J620),$J$2:$J$1001,0),0),1)),INDEX($O$2:$O$1001,MATCH(ROWS($J$2:J620),$J$2:$J$1001,0),0)))</f>
        <v xml:space="preserve"> </v>
      </c>
      <c r="B620" s="3" t="str">
        <f ca="1">IF(OR(INDEX($K$2:$K$1001,MATCH(ROWS($J$2:J620),$J$2:$J$1001,0),1)&gt;=100000,INDEX($Q$1005:$U$1005,1,MATCH(COLUMNS($Q$1006:Q1006),$Q$1006:$U$1006,0))&gt;=100000), " ",IF(INDEX($Q$2:$U$1001,MATCH(ROWS($J$2:J620),$J$2:$J$1001,0),MATCH(COLUMNS($Q$1006:Q1006),$Q$1006:$U$1006,0)), HYPERLINK("#",""), HYPERLINK(CONCATENATE("#Metadata!", ADDRESS(INDEX($L$2:$L$1001,MATCH(ROWS($J$2:J620),$J$2:$J$1001,0),0), INDEX($Q$1004:$U$1004,1,MATCH(COLUMNS($Q$1006:Q1006),$Q$1006:$U$1006,0)))),"Fix")))</f>
        <v xml:space="preserve"> </v>
      </c>
      <c r="C620" s="3" t="str">
        <f ca="1">IF(OR(INDEX($K$2:$K$1001,MATCH(ROWS($J$2:J620),$J$2:$J$1001,0),1)&gt;=100000,INDEX($Q$1005:$U$1005,1,MATCH(COLUMNS($Q$1006:R1006),$Q$1006:$U$1006,0))&gt;=100000), " ",IF(INDEX($Q$2:$U$1001,MATCH(ROWS($J$2:J620),$J$2:$J$1001,0),MATCH(COLUMNS($Q$1006:R1006),$Q$1006:$U$1006,0)), HYPERLINK("#",""), HYPERLINK(CONCATENATE("#Metadata!", ADDRESS(INDEX($L$2:$L$1001,MATCH(ROWS($J$2:J620),$J$2:$J$1001,0),0), INDEX($Q$1004:$U$1004,1,MATCH(COLUMNS($Q$1006:R1006),$Q$1006:$U$1006,0)))),"Fix")))</f>
        <v xml:space="preserve"> </v>
      </c>
      <c r="D620" s="3" t="str">
        <f ca="1">IF(OR(INDEX($K$2:$K$1001,MATCH(ROWS($J$2:J620),$J$2:$J$1001,0),1)&gt;=100000,INDEX($Q$1005:$U$1005,1,MATCH(COLUMNS($Q$1006:S1006),$Q$1006:$U$1006,0))&gt;=100000), " ",IF(INDEX($Q$2:$U$1001,MATCH(ROWS($J$2:J620),$J$2:$J$1001,0),MATCH(COLUMNS($Q$1006:S1006),$Q$1006:$U$1006,0)), HYPERLINK("#",""), HYPERLINK(CONCATENATE("#Metadata!", ADDRESS(INDEX($L$2:$L$1001,MATCH(ROWS($J$2:J620),$J$2:$J$1001,0),0), INDEX($Q$1004:$U$1004,1,MATCH(COLUMNS($Q$1006:S1006),$Q$1006:$U$1006,0)))),"Fix")))</f>
        <v xml:space="preserve"> </v>
      </c>
      <c r="E620" s="3" t="str">
        <f ca="1">IF(OR(INDEX($K$2:$K$1001,MATCH(ROWS($J$2:J620),$J$2:$J$1001,0),1)&gt;=100000,INDEX($Q$1005:$U$1005,1,MATCH(COLUMNS($Q$1006:T1006),$Q$1006:$U$1006,0))&gt;=100000), " ",IF(INDEX($Q$2:$U$1001,MATCH(ROWS($J$2:J620),$J$2:$J$1001,0),MATCH(COLUMNS($Q$1006:T1006),$Q$1006:$U$1006,0)), HYPERLINK("#",""), HYPERLINK(CONCATENATE("#Metadata!", ADDRESS(INDEX($L$2:$L$1001,MATCH(ROWS($J$2:J620),$J$2:$J$1001,0),0), INDEX($Q$1004:$U$1004,1,MATCH(COLUMNS($Q$1006:T1006),$Q$1006:$U$1006,0)))),"Fix")))</f>
        <v xml:space="preserve"> </v>
      </c>
      <c r="F620" s="3" t="str">
        <f ca="1">IF(OR(INDEX($K$2:$K$1001,MATCH(ROWS($J$2:J620),$J$2:$J$1001,0),1)&gt;=100000,INDEX($Q$1005:$U$1005,1,MATCH(COLUMNS($Q$1006:U1006),$Q$1006:$U$1006,0))&gt;=100000), " ",IF(INDEX($Q$2:$U$1001,MATCH(ROWS($J$2:J620),$J$2:$J$1001,0),MATCH(COLUMNS($Q$1006:U1006),$Q$1006:$U$1006,0)), HYPERLINK("#",""), HYPERLINK(CONCATENATE("#Metadata!", ADDRESS(INDEX($L$2:$L$1001,MATCH(ROWS($J$2:J620),$J$2:$J$1001,0),0), INDEX($Q$1004:$U$1004,1,MATCH(COLUMNS($Q$1006:U1006),$Q$1006:$U$1006,0)))),"Fix")))</f>
        <v xml:space="preserve"> </v>
      </c>
      <c r="J620">
        <f ca="1"/>
        <v>619</v>
      </c>
      <c r="K620">
        <v>100620</v>
      </c>
      <c r="L620">
        <v>620</v>
      </c>
      <c r="M620" t="b">
        <f t="shared" si="9"/>
        <v>1</v>
      </c>
      <c r="N620" t="b">
        <f>COUNTBLANK(Metadata!B620:F620)=COLUMNS(Metadata!B620:F620)</f>
        <v>1</v>
      </c>
      <c r="O620" t="str">
        <v/>
      </c>
      <c r="Q620" t="b">
        <f ca="1"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R620" t="b">
        <f>IF(Metadata!C620="",FALSE,TRUE)</f>
        <v>0</v>
      </c>
      <c r="S620" t="b">
        <f>OR(AND(IF(Metadata!D620="",FALSE,TRUE),EXACT(Metadata!D620,"missing: not collected")),AND(IF(Metadata!D620="",FALSE,TRUE),OR(EXACT(Metadata!D620,"t"),EXACT(Metadata!D620,"f"))))</f>
        <v>0</v>
      </c>
      <c r="T620" t="b">
        <f>AND(IF(Metadata!E620="",FALSE,TRUE),OR(EXACT(Metadata!E620,"a"),EXACT(Metadata!E620,"b")))</f>
        <v>0</v>
      </c>
      <c r="U620" t="b">
        <f>OR(AND(IF(Metadata!F620="",FALSE,TRUE),OR(EXACT(Metadata!F620,"missing: not collected"),EXACT(Metadata!F620,"missing: not provided"))),AND(IF(Metadata!F620="",FALSE,TRUE),OR(EXACT(Metadata!F620,"lo"),EXACT(Metadata!F620,"med"),EXACT(Metadata!F620,"hi"))))</f>
        <v>0</v>
      </c>
    </row>
    <row r="621" spans="1:21" x14ac:dyDescent="0.2">
      <c r="A621" s="4" t="str">
        <f ca="1">IF(B621=" "," ",HYPERLINK(CONCATENATE("#metadata!",ADDRESS(INDEX($L$2:$L$1001,MATCH(ROWS($J$2:J621),$J$2:$J$1001,0),0),1)),INDEX($O$2:$O$1001,MATCH(ROWS($J$2:J621),$J$2:$J$1001,0),0)))</f>
        <v xml:space="preserve"> </v>
      </c>
      <c r="B621" s="3" t="str">
        <f ca="1">IF(OR(INDEX($K$2:$K$1001,MATCH(ROWS($J$2:J621),$J$2:$J$1001,0),1)&gt;=100000,INDEX($Q$1005:$U$1005,1,MATCH(COLUMNS($Q$1006:Q1006),$Q$1006:$U$1006,0))&gt;=100000), " ",IF(INDEX($Q$2:$U$1001,MATCH(ROWS($J$2:J621),$J$2:$J$1001,0),MATCH(COLUMNS($Q$1006:Q1006),$Q$1006:$U$1006,0)), HYPERLINK("#",""), HYPERLINK(CONCATENATE("#Metadata!", ADDRESS(INDEX($L$2:$L$1001,MATCH(ROWS($J$2:J621),$J$2:$J$1001,0),0), INDEX($Q$1004:$U$1004,1,MATCH(COLUMNS($Q$1006:Q1006),$Q$1006:$U$1006,0)))),"Fix")))</f>
        <v xml:space="preserve"> </v>
      </c>
      <c r="C621" s="3" t="str">
        <f ca="1">IF(OR(INDEX($K$2:$K$1001,MATCH(ROWS($J$2:J621),$J$2:$J$1001,0),1)&gt;=100000,INDEX($Q$1005:$U$1005,1,MATCH(COLUMNS($Q$1006:R1006),$Q$1006:$U$1006,0))&gt;=100000), " ",IF(INDEX($Q$2:$U$1001,MATCH(ROWS($J$2:J621),$J$2:$J$1001,0),MATCH(COLUMNS($Q$1006:R1006),$Q$1006:$U$1006,0)), HYPERLINK("#",""), HYPERLINK(CONCATENATE("#Metadata!", ADDRESS(INDEX($L$2:$L$1001,MATCH(ROWS($J$2:J621),$J$2:$J$1001,0),0), INDEX($Q$1004:$U$1004,1,MATCH(COLUMNS($Q$1006:R1006),$Q$1006:$U$1006,0)))),"Fix")))</f>
        <v xml:space="preserve"> </v>
      </c>
      <c r="D621" s="3" t="str">
        <f ca="1">IF(OR(INDEX($K$2:$K$1001,MATCH(ROWS($J$2:J621),$J$2:$J$1001,0),1)&gt;=100000,INDEX($Q$1005:$U$1005,1,MATCH(COLUMNS($Q$1006:S1006),$Q$1006:$U$1006,0))&gt;=100000), " ",IF(INDEX($Q$2:$U$1001,MATCH(ROWS($J$2:J621),$J$2:$J$1001,0),MATCH(COLUMNS($Q$1006:S1006),$Q$1006:$U$1006,0)), HYPERLINK("#",""), HYPERLINK(CONCATENATE("#Metadata!", ADDRESS(INDEX($L$2:$L$1001,MATCH(ROWS($J$2:J621),$J$2:$J$1001,0),0), INDEX($Q$1004:$U$1004,1,MATCH(COLUMNS($Q$1006:S1006),$Q$1006:$U$1006,0)))),"Fix")))</f>
        <v xml:space="preserve"> </v>
      </c>
      <c r="E621" s="3" t="str">
        <f ca="1">IF(OR(INDEX($K$2:$K$1001,MATCH(ROWS($J$2:J621),$J$2:$J$1001,0),1)&gt;=100000,INDEX($Q$1005:$U$1005,1,MATCH(COLUMNS($Q$1006:T1006),$Q$1006:$U$1006,0))&gt;=100000), " ",IF(INDEX($Q$2:$U$1001,MATCH(ROWS($J$2:J621),$J$2:$J$1001,0),MATCH(COLUMNS($Q$1006:T1006),$Q$1006:$U$1006,0)), HYPERLINK("#",""), HYPERLINK(CONCATENATE("#Metadata!", ADDRESS(INDEX($L$2:$L$1001,MATCH(ROWS($J$2:J621),$J$2:$J$1001,0),0), INDEX($Q$1004:$U$1004,1,MATCH(COLUMNS($Q$1006:T1006),$Q$1006:$U$1006,0)))),"Fix")))</f>
        <v xml:space="preserve"> </v>
      </c>
      <c r="F621" s="3" t="str">
        <f ca="1">IF(OR(INDEX($K$2:$K$1001,MATCH(ROWS($J$2:J621),$J$2:$J$1001,0),1)&gt;=100000,INDEX($Q$1005:$U$1005,1,MATCH(COLUMNS($Q$1006:U1006),$Q$1006:$U$1006,0))&gt;=100000), " ",IF(INDEX($Q$2:$U$1001,MATCH(ROWS($J$2:J621),$J$2:$J$1001,0),MATCH(COLUMNS($Q$1006:U1006),$Q$1006:$U$1006,0)), HYPERLINK("#",""), HYPERLINK(CONCATENATE("#Metadata!", ADDRESS(INDEX($L$2:$L$1001,MATCH(ROWS($J$2:J621),$J$2:$J$1001,0),0), INDEX($Q$1004:$U$1004,1,MATCH(COLUMNS($Q$1006:U1006),$Q$1006:$U$1006,0)))),"Fix")))</f>
        <v xml:space="preserve"> </v>
      </c>
      <c r="J621">
        <f ca="1"/>
        <v>620</v>
      </c>
      <c r="K621">
        <v>100621</v>
      </c>
      <c r="L621">
        <v>621</v>
      </c>
      <c r="M621" t="b">
        <f t="shared" si="9"/>
        <v>1</v>
      </c>
      <c r="N621" t="b">
        <f>COUNTBLANK(Metadata!B621:F621)=COLUMNS(Metadata!B621:F621)</f>
        <v>1</v>
      </c>
      <c r="O621" t="str">
        <v/>
      </c>
      <c r="Q621" t="b">
        <f ca="1"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R621" t="b">
        <f>IF(Metadata!C621="",FALSE,TRUE)</f>
        <v>0</v>
      </c>
      <c r="S621" t="b">
        <f>OR(AND(IF(Metadata!D621="",FALSE,TRUE),EXACT(Metadata!D621,"missing: not collected")),AND(IF(Metadata!D621="",FALSE,TRUE),OR(EXACT(Metadata!D621,"t"),EXACT(Metadata!D621,"f"))))</f>
        <v>0</v>
      </c>
      <c r="T621" t="b">
        <f>AND(IF(Metadata!E621="",FALSE,TRUE),OR(EXACT(Metadata!E621,"a"),EXACT(Metadata!E621,"b")))</f>
        <v>0</v>
      </c>
      <c r="U621" t="b">
        <f>OR(AND(IF(Metadata!F621="",FALSE,TRUE),OR(EXACT(Metadata!F621,"missing: not collected"),EXACT(Metadata!F621,"missing: not provided"))),AND(IF(Metadata!F621="",FALSE,TRUE),OR(EXACT(Metadata!F621,"lo"),EXACT(Metadata!F621,"med"),EXACT(Metadata!F621,"hi"))))</f>
        <v>0</v>
      </c>
    </row>
    <row r="622" spans="1:21" x14ac:dyDescent="0.2">
      <c r="A622" s="4" t="str">
        <f ca="1">IF(B622=" "," ",HYPERLINK(CONCATENATE("#metadata!",ADDRESS(INDEX($L$2:$L$1001,MATCH(ROWS($J$2:J622),$J$2:$J$1001,0),0),1)),INDEX($O$2:$O$1001,MATCH(ROWS($J$2:J622),$J$2:$J$1001,0),0)))</f>
        <v xml:space="preserve"> </v>
      </c>
      <c r="B622" s="3" t="str">
        <f ca="1">IF(OR(INDEX($K$2:$K$1001,MATCH(ROWS($J$2:J622),$J$2:$J$1001,0),1)&gt;=100000,INDEX($Q$1005:$U$1005,1,MATCH(COLUMNS($Q$1006:Q1006),$Q$1006:$U$1006,0))&gt;=100000), " ",IF(INDEX($Q$2:$U$1001,MATCH(ROWS($J$2:J622),$J$2:$J$1001,0),MATCH(COLUMNS($Q$1006:Q1006),$Q$1006:$U$1006,0)), HYPERLINK("#",""), HYPERLINK(CONCATENATE("#Metadata!", ADDRESS(INDEX($L$2:$L$1001,MATCH(ROWS($J$2:J622),$J$2:$J$1001,0),0), INDEX($Q$1004:$U$1004,1,MATCH(COLUMNS($Q$1006:Q1006),$Q$1006:$U$1006,0)))),"Fix")))</f>
        <v xml:space="preserve"> </v>
      </c>
      <c r="C622" s="3" t="str">
        <f ca="1">IF(OR(INDEX($K$2:$K$1001,MATCH(ROWS($J$2:J622),$J$2:$J$1001,0),1)&gt;=100000,INDEX($Q$1005:$U$1005,1,MATCH(COLUMNS($Q$1006:R1006),$Q$1006:$U$1006,0))&gt;=100000), " ",IF(INDEX($Q$2:$U$1001,MATCH(ROWS($J$2:J622),$J$2:$J$1001,0),MATCH(COLUMNS($Q$1006:R1006),$Q$1006:$U$1006,0)), HYPERLINK("#",""), HYPERLINK(CONCATENATE("#Metadata!", ADDRESS(INDEX($L$2:$L$1001,MATCH(ROWS($J$2:J622),$J$2:$J$1001,0),0), INDEX($Q$1004:$U$1004,1,MATCH(COLUMNS($Q$1006:R1006),$Q$1006:$U$1006,0)))),"Fix")))</f>
        <v xml:space="preserve"> </v>
      </c>
      <c r="D622" s="3" t="str">
        <f ca="1">IF(OR(INDEX($K$2:$K$1001,MATCH(ROWS($J$2:J622),$J$2:$J$1001,0),1)&gt;=100000,INDEX($Q$1005:$U$1005,1,MATCH(COLUMNS($Q$1006:S1006),$Q$1006:$U$1006,0))&gt;=100000), " ",IF(INDEX($Q$2:$U$1001,MATCH(ROWS($J$2:J622),$J$2:$J$1001,0),MATCH(COLUMNS($Q$1006:S1006),$Q$1006:$U$1006,0)), HYPERLINK("#",""), HYPERLINK(CONCATENATE("#Metadata!", ADDRESS(INDEX($L$2:$L$1001,MATCH(ROWS($J$2:J622),$J$2:$J$1001,0),0), INDEX($Q$1004:$U$1004,1,MATCH(COLUMNS($Q$1006:S1006),$Q$1006:$U$1006,0)))),"Fix")))</f>
        <v xml:space="preserve"> </v>
      </c>
      <c r="E622" s="3" t="str">
        <f ca="1">IF(OR(INDEX($K$2:$K$1001,MATCH(ROWS($J$2:J622),$J$2:$J$1001,0),1)&gt;=100000,INDEX($Q$1005:$U$1005,1,MATCH(COLUMNS($Q$1006:T1006),$Q$1006:$U$1006,0))&gt;=100000), " ",IF(INDEX($Q$2:$U$1001,MATCH(ROWS($J$2:J622),$J$2:$J$1001,0),MATCH(COLUMNS($Q$1006:T1006),$Q$1006:$U$1006,0)), HYPERLINK("#",""), HYPERLINK(CONCATENATE("#Metadata!", ADDRESS(INDEX($L$2:$L$1001,MATCH(ROWS($J$2:J622),$J$2:$J$1001,0),0), INDEX($Q$1004:$U$1004,1,MATCH(COLUMNS($Q$1006:T1006),$Q$1006:$U$1006,0)))),"Fix")))</f>
        <v xml:space="preserve"> </v>
      </c>
      <c r="F622" s="3" t="str">
        <f ca="1">IF(OR(INDEX($K$2:$K$1001,MATCH(ROWS($J$2:J622),$J$2:$J$1001,0),1)&gt;=100000,INDEX($Q$1005:$U$1005,1,MATCH(COLUMNS($Q$1006:U1006),$Q$1006:$U$1006,0))&gt;=100000), " ",IF(INDEX($Q$2:$U$1001,MATCH(ROWS($J$2:J622),$J$2:$J$1001,0),MATCH(COLUMNS($Q$1006:U1006),$Q$1006:$U$1006,0)), HYPERLINK("#",""), HYPERLINK(CONCATENATE("#Metadata!", ADDRESS(INDEX($L$2:$L$1001,MATCH(ROWS($J$2:J622),$J$2:$J$1001,0),0), INDEX($Q$1004:$U$1004,1,MATCH(COLUMNS($Q$1006:U1006),$Q$1006:$U$1006,0)))),"Fix")))</f>
        <v xml:space="preserve"> </v>
      </c>
      <c r="J622">
        <f ca="1"/>
        <v>621</v>
      </c>
      <c r="K622">
        <v>100622</v>
      </c>
      <c r="L622">
        <v>622</v>
      </c>
      <c r="M622" t="b">
        <f t="shared" si="9"/>
        <v>1</v>
      </c>
      <c r="N622" t="b">
        <f>COUNTBLANK(Metadata!B622:F622)=COLUMNS(Metadata!B622:F622)</f>
        <v>1</v>
      </c>
      <c r="O622" t="str">
        <v/>
      </c>
      <c r="Q622" t="b">
        <f ca="1"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R622" t="b">
        <f>IF(Metadata!C622="",FALSE,TRUE)</f>
        <v>0</v>
      </c>
      <c r="S622" t="b">
        <f>OR(AND(IF(Metadata!D622="",FALSE,TRUE),EXACT(Metadata!D622,"missing: not collected")),AND(IF(Metadata!D622="",FALSE,TRUE),OR(EXACT(Metadata!D622,"t"),EXACT(Metadata!D622,"f"))))</f>
        <v>0</v>
      </c>
      <c r="T622" t="b">
        <f>AND(IF(Metadata!E622="",FALSE,TRUE),OR(EXACT(Metadata!E622,"a"),EXACT(Metadata!E622,"b")))</f>
        <v>0</v>
      </c>
      <c r="U622" t="b">
        <f>OR(AND(IF(Metadata!F622="",FALSE,TRUE),OR(EXACT(Metadata!F622,"missing: not collected"),EXACT(Metadata!F622,"missing: not provided"))),AND(IF(Metadata!F622="",FALSE,TRUE),OR(EXACT(Metadata!F622,"lo"),EXACT(Metadata!F622,"med"),EXACT(Metadata!F622,"hi"))))</f>
        <v>0</v>
      </c>
    </row>
    <row r="623" spans="1:21" x14ac:dyDescent="0.2">
      <c r="A623" s="4" t="str">
        <f ca="1">IF(B623=" "," ",HYPERLINK(CONCATENATE("#metadata!",ADDRESS(INDEX($L$2:$L$1001,MATCH(ROWS($J$2:J623),$J$2:$J$1001,0),0),1)),INDEX($O$2:$O$1001,MATCH(ROWS($J$2:J623),$J$2:$J$1001,0),0)))</f>
        <v xml:space="preserve"> </v>
      </c>
      <c r="B623" s="3" t="str">
        <f ca="1">IF(OR(INDEX($K$2:$K$1001,MATCH(ROWS($J$2:J623),$J$2:$J$1001,0),1)&gt;=100000,INDEX($Q$1005:$U$1005,1,MATCH(COLUMNS($Q$1006:Q1006),$Q$1006:$U$1006,0))&gt;=100000), " ",IF(INDEX($Q$2:$U$1001,MATCH(ROWS($J$2:J623),$J$2:$J$1001,0),MATCH(COLUMNS($Q$1006:Q1006),$Q$1006:$U$1006,0)), HYPERLINK("#",""), HYPERLINK(CONCATENATE("#Metadata!", ADDRESS(INDEX($L$2:$L$1001,MATCH(ROWS($J$2:J623),$J$2:$J$1001,0),0), INDEX($Q$1004:$U$1004,1,MATCH(COLUMNS($Q$1006:Q1006),$Q$1006:$U$1006,0)))),"Fix")))</f>
        <v xml:space="preserve"> </v>
      </c>
      <c r="C623" s="3" t="str">
        <f ca="1">IF(OR(INDEX($K$2:$K$1001,MATCH(ROWS($J$2:J623),$J$2:$J$1001,0),1)&gt;=100000,INDEX($Q$1005:$U$1005,1,MATCH(COLUMNS($Q$1006:R1006),$Q$1006:$U$1006,0))&gt;=100000), " ",IF(INDEX($Q$2:$U$1001,MATCH(ROWS($J$2:J623),$J$2:$J$1001,0),MATCH(COLUMNS($Q$1006:R1006),$Q$1006:$U$1006,0)), HYPERLINK("#",""), HYPERLINK(CONCATENATE("#Metadata!", ADDRESS(INDEX($L$2:$L$1001,MATCH(ROWS($J$2:J623),$J$2:$J$1001,0),0), INDEX($Q$1004:$U$1004,1,MATCH(COLUMNS($Q$1006:R1006),$Q$1006:$U$1006,0)))),"Fix")))</f>
        <v xml:space="preserve"> </v>
      </c>
      <c r="D623" s="3" t="str">
        <f ca="1">IF(OR(INDEX($K$2:$K$1001,MATCH(ROWS($J$2:J623),$J$2:$J$1001,0),1)&gt;=100000,INDEX($Q$1005:$U$1005,1,MATCH(COLUMNS($Q$1006:S1006),$Q$1006:$U$1006,0))&gt;=100000), " ",IF(INDEX($Q$2:$U$1001,MATCH(ROWS($J$2:J623),$J$2:$J$1001,0),MATCH(COLUMNS($Q$1006:S1006),$Q$1006:$U$1006,0)), HYPERLINK("#",""), HYPERLINK(CONCATENATE("#Metadata!", ADDRESS(INDEX($L$2:$L$1001,MATCH(ROWS($J$2:J623),$J$2:$J$1001,0),0), INDEX($Q$1004:$U$1004,1,MATCH(COLUMNS($Q$1006:S1006),$Q$1006:$U$1006,0)))),"Fix")))</f>
        <v xml:space="preserve"> </v>
      </c>
      <c r="E623" s="3" t="str">
        <f ca="1">IF(OR(INDEX($K$2:$K$1001,MATCH(ROWS($J$2:J623),$J$2:$J$1001,0),1)&gt;=100000,INDEX($Q$1005:$U$1005,1,MATCH(COLUMNS($Q$1006:T1006),$Q$1006:$U$1006,0))&gt;=100000), " ",IF(INDEX($Q$2:$U$1001,MATCH(ROWS($J$2:J623),$J$2:$J$1001,0),MATCH(COLUMNS($Q$1006:T1006),$Q$1006:$U$1006,0)), HYPERLINK("#",""), HYPERLINK(CONCATENATE("#Metadata!", ADDRESS(INDEX($L$2:$L$1001,MATCH(ROWS($J$2:J623),$J$2:$J$1001,0),0), INDEX($Q$1004:$U$1004,1,MATCH(COLUMNS($Q$1006:T1006),$Q$1006:$U$1006,0)))),"Fix")))</f>
        <v xml:space="preserve"> </v>
      </c>
      <c r="F623" s="3" t="str">
        <f ca="1">IF(OR(INDEX($K$2:$K$1001,MATCH(ROWS($J$2:J623),$J$2:$J$1001,0),1)&gt;=100000,INDEX($Q$1005:$U$1005,1,MATCH(COLUMNS($Q$1006:U1006),$Q$1006:$U$1006,0))&gt;=100000), " ",IF(INDEX($Q$2:$U$1001,MATCH(ROWS($J$2:J623),$J$2:$J$1001,0),MATCH(COLUMNS($Q$1006:U1006),$Q$1006:$U$1006,0)), HYPERLINK("#",""), HYPERLINK(CONCATENATE("#Metadata!", ADDRESS(INDEX($L$2:$L$1001,MATCH(ROWS($J$2:J623),$J$2:$J$1001,0),0), INDEX($Q$1004:$U$1004,1,MATCH(COLUMNS($Q$1006:U1006),$Q$1006:$U$1006,0)))),"Fix")))</f>
        <v xml:space="preserve"> </v>
      </c>
      <c r="J623">
        <f ca="1"/>
        <v>622</v>
      </c>
      <c r="K623">
        <v>100623</v>
      </c>
      <c r="L623">
        <v>623</v>
      </c>
      <c r="M623" t="b">
        <f t="shared" si="9"/>
        <v>1</v>
      </c>
      <c r="N623" t="b">
        <f>COUNTBLANK(Metadata!B623:F623)=COLUMNS(Metadata!B623:F623)</f>
        <v>1</v>
      </c>
      <c r="O623" t="str">
        <v/>
      </c>
      <c r="Q623" t="b">
        <f ca="1"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R623" t="b">
        <f>IF(Metadata!C623="",FALSE,TRUE)</f>
        <v>0</v>
      </c>
      <c r="S623" t="b">
        <f>OR(AND(IF(Metadata!D623="",FALSE,TRUE),EXACT(Metadata!D623,"missing: not collected")),AND(IF(Metadata!D623="",FALSE,TRUE),OR(EXACT(Metadata!D623,"t"),EXACT(Metadata!D623,"f"))))</f>
        <v>0</v>
      </c>
      <c r="T623" t="b">
        <f>AND(IF(Metadata!E623="",FALSE,TRUE),OR(EXACT(Metadata!E623,"a"),EXACT(Metadata!E623,"b")))</f>
        <v>0</v>
      </c>
      <c r="U623" t="b">
        <f>OR(AND(IF(Metadata!F623="",FALSE,TRUE),OR(EXACT(Metadata!F623,"missing: not collected"),EXACT(Metadata!F623,"missing: not provided"))),AND(IF(Metadata!F623="",FALSE,TRUE),OR(EXACT(Metadata!F623,"lo"),EXACT(Metadata!F623,"med"),EXACT(Metadata!F623,"hi"))))</f>
        <v>0</v>
      </c>
    </row>
    <row r="624" spans="1:21" x14ac:dyDescent="0.2">
      <c r="A624" s="4" t="str">
        <f ca="1">IF(B624=" "," ",HYPERLINK(CONCATENATE("#metadata!",ADDRESS(INDEX($L$2:$L$1001,MATCH(ROWS($J$2:J624),$J$2:$J$1001,0),0),1)),INDEX($O$2:$O$1001,MATCH(ROWS($J$2:J624),$J$2:$J$1001,0),0)))</f>
        <v xml:space="preserve"> </v>
      </c>
      <c r="B624" s="3" t="str">
        <f ca="1">IF(OR(INDEX($K$2:$K$1001,MATCH(ROWS($J$2:J624),$J$2:$J$1001,0),1)&gt;=100000,INDEX($Q$1005:$U$1005,1,MATCH(COLUMNS($Q$1006:Q1006),$Q$1006:$U$1006,0))&gt;=100000), " ",IF(INDEX($Q$2:$U$1001,MATCH(ROWS($J$2:J624),$J$2:$J$1001,0),MATCH(COLUMNS($Q$1006:Q1006),$Q$1006:$U$1006,0)), HYPERLINK("#",""), HYPERLINK(CONCATENATE("#Metadata!", ADDRESS(INDEX($L$2:$L$1001,MATCH(ROWS($J$2:J624),$J$2:$J$1001,0),0), INDEX($Q$1004:$U$1004,1,MATCH(COLUMNS($Q$1006:Q1006),$Q$1006:$U$1006,0)))),"Fix")))</f>
        <v xml:space="preserve"> </v>
      </c>
      <c r="C624" s="3" t="str">
        <f ca="1">IF(OR(INDEX($K$2:$K$1001,MATCH(ROWS($J$2:J624),$J$2:$J$1001,0),1)&gt;=100000,INDEX($Q$1005:$U$1005,1,MATCH(COLUMNS($Q$1006:R1006),$Q$1006:$U$1006,0))&gt;=100000), " ",IF(INDEX($Q$2:$U$1001,MATCH(ROWS($J$2:J624),$J$2:$J$1001,0),MATCH(COLUMNS($Q$1006:R1006),$Q$1006:$U$1006,0)), HYPERLINK("#",""), HYPERLINK(CONCATENATE("#Metadata!", ADDRESS(INDEX($L$2:$L$1001,MATCH(ROWS($J$2:J624),$J$2:$J$1001,0),0), INDEX($Q$1004:$U$1004,1,MATCH(COLUMNS($Q$1006:R1006),$Q$1006:$U$1006,0)))),"Fix")))</f>
        <v xml:space="preserve"> </v>
      </c>
      <c r="D624" s="3" t="str">
        <f ca="1">IF(OR(INDEX($K$2:$K$1001,MATCH(ROWS($J$2:J624),$J$2:$J$1001,0),1)&gt;=100000,INDEX($Q$1005:$U$1005,1,MATCH(COLUMNS($Q$1006:S1006),$Q$1006:$U$1006,0))&gt;=100000), " ",IF(INDEX($Q$2:$U$1001,MATCH(ROWS($J$2:J624),$J$2:$J$1001,0),MATCH(COLUMNS($Q$1006:S1006),$Q$1006:$U$1006,0)), HYPERLINK("#",""), HYPERLINK(CONCATENATE("#Metadata!", ADDRESS(INDEX($L$2:$L$1001,MATCH(ROWS($J$2:J624),$J$2:$J$1001,0),0), INDEX($Q$1004:$U$1004,1,MATCH(COLUMNS($Q$1006:S1006),$Q$1006:$U$1006,0)))),"Fix")))</f>
        <v xml:space="preserve"> </v>
      </c>
      <c r="E624" s="3" t="str">
        <f ca="1">IF(OR(INDEX($K$2:$K$1001,MATCH(ROWS($J$2:J624),$J$2:$J$1001,0),1)&gt;=100000,INDEX($Q$1005:$U$1005,1,MATCH(COLUMNS($Q$1006:T1006),$Q$1006:$U$1006,0))&gt;=100000), " ",IF(INDEX($Q$2:$U$1001,MATCH(ROWS($J$2:J624),$J$2:$J$1001,0),MATCH(COLUMNS($Q$1006:T1006),$Q$1006:$U$1006,0)), HYPERLINK("#",""), HYPERLINK(CONCATENATE("#Metadata!", ADDRESS(INDEX($L$2:$L$1001,MATCH(ROWS($J$2:J624),$J$2:$J$1001,0),0), INDEX($Q$1004:$U$1004,1,MATCH(COLUMNS($Q$1006:T1006),$Q$1006:$U$1006,0)))),"Fix")))</f>
        <v xml:space="preserve"> </v>
      </c>
      <c r="F624" s="3" t="str">
        <f ca="1">IF(OR(INDEX($K$2:$K$1001,MATCH(ROWS($J$2:J624),$J$2:$J$1001,0),1)&gt;=100000,INDEX($Q$1005:$U$1005,1,MATCH(COLUMNS($Q$1006:U1006),$Q$1006:$U$1006,0))&gt;=100000), " ",IF(INDEX($Q$2:$U$1001,MATCH(ROWS($J$2:J624),$J$2:$J$1001,0),MATCH(COLUMNS($Q$1006:U1006),$Q$1006:$U$1006,0)), HYPERLINK("#",""), HYPERLINK(CONCATENATE("#Metadata!", ADDRESS(INDEX($L$2:$L$1001,MATCH(ROWS($J$2:J624),$J$2:$J$1001,0),0), INDEX($Q$1004:$U$1004,1,MATCH(COLUMNS($Q$1006:U1006),$Q$1006:$U$1006,0)))),"Fix")))</f>
        <v xml:space="preserve"> </v>
      </c>
      <c r="J624">
        <f ca="1"/>
        <v>623</v>
      </c>
      <c r="K624">
        <v>100624</v>
      </c>
      <c r="L624">
        <v>624</v>
      </c>
      <c r="M624" t="b">
        <f t="shared" si="9"/>
        <v>1</v>
      </c>
      <c r="N624" t="b">
        <f>COUNTBLANK(Metadata!B624:F624)=COLUMNS(Metadata!B624:F624)</f>
        <v>1</v>
      </c>
      <c r="O624" t="str">
        <v/>
      </c>
      <c r="Q624" t="b">
        <f ca="1"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R624" t="b">
        <f>IF(Metadata!C624="",FALSE,TRUE)</f>
        <v>0</v>
      </c>
      <c r="S624" t="b">
        <f>OR(AND(IF(Metadata!D624="",FALSE,TRUE),EXACT(Metadata!D624,"missing: not collected")),AND(IF(Metadata!D624="",FALSE,TRUE),OR(EXACT(Metadata!D624,"t"),EXACT(Metadata!D624,"f"))))</f>
        <v>0</v>
      </c>
      <c r="T624" t="b">
        <f>AND(IF(Metadata!E624="",FALSE,TRUE),OR(EXACT(Metadata!E624,"a"),EXACT(Metadata!E624,"b")))</f>
        <v>0</v>
      </c>
      <c r="U624" t="b">
        <f>OR(AND(IF(Metadata!F624="",FALSE,TRUE),OR(EXACT(Metadata!F624,"missing: not collected"),EXACT(Metadata!F624,"missing: not provided"))),AND(IF(Metadata!F624="",FALSE,TRUE),OR(EXACT(Metadata!F624,"lo"),EXACT(Metadata!F624,"med"),EXACT(Metadata!F624,"hi"))))</f>
        <v>0</v>
      </c>
    </row>
    <row r="625" spans="1:21" x14ac:dyDescent="0.2">
      <c r="A625" s="4" t="str">
        <f ca="1">IF(B625=" "," ",HYPERLINK(CONCATENATE("#metadata!",ADDRESS(INDEX($L$2:$L$1001,MATCH(ROWS($J$2:J625),$J$2:$J$1001,0),0),1)),INDEX($O$2:$O$1001,MATCH(ROWS($J$2:J625),$J$2:$J$1001,0),0)))</f>
        <v xml:space="preserve"> </v>
      </c>
      <c r="B625" s="3" t="str">
        <f ca="1">IF(OR(INDEX($K$2:$K$1001,MATCH(ROWS($J$2:J625),$J$2:$J$1001,0),1)&gt;=100000,INDEX($Q$1005:$U$1005,1,MATCH(COLUMNS($Q$1006:Q1006),$Q$1006:$U$1006,0))&gt;=100000), " ",IF(INDEX($Q$2:$U$1001,MATCH(ROWS($J$2:J625),$J$2:$J$1001,0),MATCH(COLUMNS($Q$1006:Q1006),$Q$1006:$U$1006,0)), HYPERLINK("#",""), HYPERLINK(CONCATENATE("#Metadata!", ADDRESS(INDEX($L$2:$L$1001,MATCH(ROWS($J$2:J625),$J$2:$J$1001,0),0), INDEX($Q$1004:$U$1004,1,MATCH(COLUMNS($Q$1006:Q1006),$Q$1006:$U$1006,0)))),"Fix")))</f>
        <v xml:space="preserve"> </v>
      </c>
      <c r="C625" s="3" t="str">
        <f ca="1">IF(OR(INDEX($K$2:$K$1001,MATCH(ROWS($J$2:J625),$J$2:$J$1001,0),1)&gt;=100000,INDEX($Q$1005:$U$1005,1,MATCH(COLUMNS($Q$1006:R1006),$Q$1006:$U$1006,0))&gt;=100000), " ",IF(INDEX($Q$2:$U$1001,MATCH(ROWS($J$2:J625),$J$2:$J$1001,0),MATCH(COLUMNS($Q$1006:R1006),$Q$1006:$U$1006,0)), HYPERLINK("#",""), HYPERLINK(CONCATENATE("#Metadata!", ADDRESS(INDEX($L$2:$L$1001,MATCH(ROWS($J$2:J625),$J$2:$J$1001,0),0), INDEX($Q$1004:$U$1004,1,MATCH(COLUMNS($Q$1006:R1006),$Q$1006:$U$1006,0)))),"Fix")))</f>
        <v xml:space="preserve"> </v>
      </c>
      <c r="D625" s="3" t="str">
        <f ca="1">IF(OR(INDEX($K$2:$K$1001,MATCH(ROWS($J$2:J625),$J$2:$J$1001,0),1)&gt;=100000,INDEX($Q$1005:$U$1005,1,MATCH(COLUMNS($Q$1006:S1006),$Q$1006:$U$1006,0))&gt;=100000), " ",IF(INDEX($Q$2:$U$1001,MATCH(ROWS($J$2:J625),$J$2:$J$1001,0),MATCH(COLUMNS($Q$1006:S1006),$Q$1006:$U$1006,0)), HYPERLINK("#",""), HYPERLINK(CONCATENATE("#Metadata!", ADDRESS(INDEX($L$2:$L$1001,MATCH(ROWS($J$2:J625),$J$2:$J$1001,0),0), INDEX($Q$1004:$U$1004,1,MATCH(COLUMNS($Q$1006:S1006),$Q$1006:$U$1006,0)))),"Fix")))</f>
        <v xml:space="preserve"> </v>
      </c>
      <c r="E625" s="3" t="str">
        <f ca="1">IF(OR(INDEX($K$2:$K$1001,MATCH(ROWS($J$2:J625),$J$2:$J$1001,0),1)&gt;=100000,INDEX($Q$1005:$U$1005,1,MATCH(COLUMNS($Q$1006:T1006),$Q$1006:$U$1006,0))&gt;=100000), " ",IF(INDEX($Q$2:$U$1001,MATCH(ROWS($J$2:J625),$J$2:$J$1001,0),MATCH(COLUMNS($Q$1006:T1006),$Q$1006:$U$1006,0)), HYPERLINK("#",""), HYPERLINK(CONCATENATE("#Metadata!", ADDRESS(INDEX($L$2:$L$1001,MATCH(ROWS($J$2:J625),$J$2:$J$1001,0),0), INDEX($Q$1004:$U$1004,1,MATCH(COLUMNS($Q$1006:T1006),$Q$1006:$U$1006,0)))),"Fix")))</f>
        <v xml:space="preserve"> </v>
      </c>
      <c r="F625" s="3" t="str">
        <f ca="1">IF(OR(INDEX($K$2:$K$1001,MATCH(ROWS($J$2:J625),$J$2:$J$1001,0),1)&gt;=100000,INDEX($Q$1005:$U$1005,1,MATCH(COLUMNS($Q$1006:U1006),$Q$1006:$U$1006,0))&gt;=100000), " ",IF(INDEX($Q$2:$U$1001,MATCH(ROWS($J$2:J625),$J$2:$J$1001,0),MATCH(COLUMNS($Q$1006:U1006),$Q$1006:$U$1006,0)), HYPERLINK("#",""), HYPERLINK(CONCATENATE("#Metadata!", ADDRESS(INDEX($L$2:$L$1001,MATCH(ROWS($J$2:J625),$J$2:$J$1001,0),0), INDEX($Q$1004:$U$1004,1,MATCH(COLUMNS($Q$1006:U1006),$Q$1006:$U$1006,0)))),"Fix")))</f>
        <v xml:space="preserve"> </v>
      </c>
      <c r="J625">
        <f ca="1"/>
        <v>624</v>
      </c>
      <c r="K625">
        <v>100625</v>
      </c>
      <c r="L625">
        <v>625</v>
      </c>
      <c r="M625" t="b">
        <f t="shared" si="9"/>
        <v>1</v>
      </c>
      <c r="N625" t="b">
        <f>COUNTBLANK(Metadata!B625:F625)=COLUMNS(Metadata!B625:F625)</f>
        <v>1</v>
      </c>
      <c r="O625" t="str">
        <v/>
      </c>
      <c r="Q625" t="b">
        <f ca="1"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R625" t="b">
        <f>IF(Metadata!C625="",FALSE,TRUE)</f>
        <v>0</v>
      </c>
      <c r="S625" t="b">
        <f>OR(AND(IF(Metadata!D625="",FALSE,TRUE),EXACT(Metadata!D625,"missing: not collected")),AND(IF(Metadata!D625="",FALSE,TRUE),OR(EXACT(Metadata!D625,"t"),EXACT(Metadata!D625,"f"))))</f>
        <v>0</v>
      </c>
      <c r="T625" t="b">
        <f>AND(IF(Metadata!E625="",FALSE,TRUE),OR(EXACT(Metadata!E625,"a"),EXACT(Metadata!E625,"b")))</f>
        <v>0</v>
      </c>
      <c r="U625" t="b">
        <f>OR(AND(IF(Metadata!F625="",FALSE,TRUE),OR(EXACT(Metadata!F625,"missing: not collected"),EXACT(Metadata!F625,"missing: not provided"))),AND(IF(Metadata!F625="",FALSE,TRUE),OR(EXACT(Metadata!F625,"lo"),EXACT(Metadata!F625,"med"),EXACT(Metadata!F625,"hi"))))</f>
        <v>0</v>
      </c>
    </row>
    <row r="626" spans="1:21" x14ac:dyDescent="0.2">
      <c r="A626" s="4" t="str">
        <f ca="1">IF(B626=" "," ",HYPERLINK(CONCATENATE("#metadata!",ADDRESS(INDEX($L$2:$L$1001,MATCH(ROWS($J$2:J626),$J$2:$J$1001,0),0),1)),INDEX($O$2:$O$1001,MATCH(ROWS($J$2:J626),$J$2:$J$1001,0),0)))</f>
        <v xml:space="preserve"> </v>
      </c>
      <c r="B626" s="3" t="str">
        <f ca="1">IF(OR(INDEX($K$2:$K$1001,MATCH(ROWS($J$2:J626),$J$2:$J$1001,0),1)&gt;=100000,INDEX($Q$1005:$U$1005,1,MATCH(COLUMNS($Q$1006:Q1006),$Q$1006:$U$1006,0))&gt;=100000), " ",IF(INDEX($Q$2:$U$1001,MATCH(ROWS($J$2:J626),$J$2:$J$1001,0),MATCH(COLUMNS($Q$1006:Q1006),$Q$1006:$U$1006,0)), HYPERLINK("#",""), HYPERLINK(CONCATENATE("#Metadata!", ADDRESS(INDEX($L$2:$L$1001,MATCH(ROWS($J$2:J626),$J$2:$J$1001,0),0), INDEX($Q$1004:$U$1004,1,MATCH(COLUMNS($Q$1006:Q1006),$Q$1006:$U$1006,0)))),"Fix")))</f>
        <v xml:space="preserve"> </v>
      </c>
      <c r="C626" s="3" t="str">
        <f ca="1">IF(OR(INDEX($K$2:$K$1001,MATCH(ROWS($J$2:J626),$J$2:$J$1001,0),1)&gt;=100000,INDEX($Q$1005:$U$1005,1,MATCH(COLUMNS($Q$1006:R1006),$Q$1006:$U$1006,0))&gt;=100000), " ",IF(INDEX($Q$2:$U$1001,MATCH(ROWS($J$2:J626),$J$2:$J$1001,0),MATCH(COLUMNS($Q$1006:R1006),$Q$1006:$U$1006,0)), HYPERLINK("#",""), HYPERLINK(CONCATENATE("#Metadata!", ADDRESS(INDEX($L$2:$L$1001,MATCH(ROWS($J$2:J626),$J$2:$J$1001,0),0), INDEX($Q$1004:$U$1004,1,MATCH(COLUMNS($Q$1006:R1006),$Q$1006:$U$1006,0)))),"Fix")))</f>
        <v xml:space="preserve"> </v>
      </c>
      <c r="D626" s="3" t="str">
        <f ca="1">IF(OR(INDEX($K$2:$K$1001,MATCH(ROWS($J$2:J626),$J$2:$J$1001,0),1)&gt;=100000,INDEX($Q$1005:$U$1005,1,MATCH(COLUMNS($Q$1006:S1006),$Q$1006:$U$1006,0))&gt;=100000), " ",IF(INDEX($Q$2:$U$1001,MATCH(ROWS($J$2:J626),$J$2:$J$1001,0),MATCH(COLUMNS($Q$1006:S1006),$Q$1006:$U$1006,0)), HYPERLINK("#",""), HYPERLINK(CONCATENATE("#Metadata!", ADDRESS(INDEX($L$2:$L$1001,MATCH(ROWS($J$2:J626),$J$2:$J$1001,0),0), INDEX($Q$1004:$U$1004,1,MATCH(COLUMNS($Q$1006:S1006),$Q$1006:$U$1006,0)))),"Fix")))</f>
        <v xml:space="preserve"> </v>
      </c>
      <c r="E626" s="3" t="str">
        <f ca="1">IF(OR(INDEX($K$2:$K$1001,MATCH(ROWS($J$2:J626),$J$2:$J$1001,0),1)&gt;=100000,INDEX($Q$1005:$U$1005,1,MATCH(COLUMNS($Q$1006:T1006),$Q$1006:$U$1006,0))&gt;=100000), " ",IF(INDEX($Q$2:$U$1001,MATCH(ROWS($J$2:J626),$J$2:$J$1001,0),MATCH(COLUMNS($Q$1006:T1006),$Q$1006:$U$1006,0)), HYPERLINK("#",""), HYPERLINK(CONCATENATE("#Metadata!", ADDRESS(INDEX($L$2:$L$1001,MATCH(ROWS($J$2:J626),$J$2:$J$1001,0),0), INDEX($Q$1004:$U$1004,1,MATCH(COLUMNS($Q$1006:T1006),$Q$1006:$U$1006,0)))),"Fix")))</f>
        <v xml:space="preserve"> </v>
      </c>
      <c r="F626" s="3" t="str">
        <f ca="1">IF(OR(INDEX($K$2:$K$1001,MATCH(ROWS($J$2:J626),$J$2:$J$1001,0),1)&gt;=100000,INDEX($Q$1005:$U$1005,1,MATCH(COLUMNS($Q$1006:U1006),$Q$1006:$U$1006,0))&gt;=100000), " ",IF(INDEX($Q$2:$U$1001,MATCH(ROWS($J$2:J626),$J$2:$J$1001,0),MATCH(COLUMNS($Q$1006:U1006),$Q$1006:$U$1006,0)), HYPERLINK("#",""), HYPERLINK(CONCATENATE("#Metadata!", ADDRESS(INDEX($L$2:$L$1001,MATCH(ROWS($J$2:J626),$J$2:$J$1001,0),0), INDEX($Q$1004:$U$1004,1,MATCH(COLUMNS($Q$1006:U1006),$Q$1006:$U$1006,0)))),"Fix")))</f>
        <v xml:space="preserve"> </v>
      </c>
      <c r="J626">
        <f ca="1"/>
        <v>625</v>
      </c>
      <c r="K626">
        <v>100626</v>
      </c>
      <c r="L626">
        <v>626</v>
      </c>
      <c r="M626" t="b">
        <f t="shared" si="9"/>
        <v>1</v>
      </c>
      <c r="N626" t="b">
        <f>COUNTBLANK(Metadata!B626:F626)=COLUMNS(Metadata!B626:F626)</f>
        <v>1</v>
      </c>
      <c r="O626" t="str">
        <v/>
      </c>
      <c r="Q626" t="b">
        <f ca="1"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R626" t="b">
        <f>IF(Metadata!C626="",FALSE,TRUE)</f>
        <v>0</v>
      </c>
      <c r="S626" t="b">
        <f>OR(AND(IF(Metadata!D626="",FALSE,TRUE),EXACT(Metadata!D626,"missing: not collected")),AND(IF(Metadata!D626="",FALSE,TRUE),OR(EXACT(Metadata!D626,"t"),EXACT(Metadata!D626,"f"))))</f>
        <v>0</v>
      </c>
      <c r="T626" t="b">
        <f>AND(IF(Metadata!E626="",FALSE,TRUE),OR(EXACT(Metadata!E626,"a"),EXACT(Metadata!E626,"b")))</f>
        <v>0</v>
      </c>
      <c r="U626" t="b">
        <f>OR(AND(IF(Metadata!F626="",FALSE,TRUE),OR(EXACT(Metadata!F626,"missing: not collected"),EXACT(Metadata!F626,"missing: not provided"))),AND(IF(Metadata!F626="",FALSE,TRUE),OR(EXACT(Metadata!F626,"lo"),EXACT(Metadata!F626,"med"),EXACT(Metadata!F626,"hi"))))</f>
        <v>0</v>
      </c>
    </row>
    <row r="627" spans="1:21" x14ac:dyDescent="0.2">
      <c r="A627" s="4" t="str">
        <f ca="1">IF(B627=" "," ",HYPERLINK(CONCATENATE("#metadata!",ADDRESS(INDEX($L$2:$L$1001,MATCH(ROWS($J$2:J627),$J$2:$J$1001,0),0),1)),INDEX($O$2:$O$1001,MATCH(ROWS($J$2:J627),$J$2:$J$1001,0),0)))</f>
        <v xml:space="preserve"> </v>
      </c>
      <c r="B627" s="3" t="str">
        <f ca="1">IF(OR(INDEX($K$2:$K$1001,MATCH(ROWS($J$2:J627),$J$2:$J$1001,0),1)&gt;=100000,INDEX($Q$1005:$U$1005,1,MATCH(COLUMNS($Q$1006:Q1006),$Q$1006:$U$1006,0))&gt;=100000), " ",IF(INDEX($Q$2:$U$1001,MATCH(ROWS($J$2:J627),$J$2:$J$1001,0),MATCH(COLUMNS($Q$1006:Q1006),$Q$1006:$U$1006,0)), HYPERLINK("#",""), HYPERLINK(CONCATENATE("#Metadata!", ADDRESS(INDEX($L$2:$L$1001,MATCH(ROWS($J$2:J627),$J$2:$J$1001,0),0), INDEX($Q$1004:$U$1004,1,MATCH(COLUMNS($Q$1006:Q1006),$Q$1006:$U$1006,0)))),"Fix")))</f>
        <v xml:space="preserve"> </v>
      </c>
      <c r="C627" s="3" t="str">
        <f ca="1">IF(OR(INDEX($K$2:$K$1001,MATCH(ROWS($J$2:J627),$J$2:$J$1001,0),1)&gt;=100000,INDEX($Q$1005:$U$1005,1,MATCH(COLUMNS($Q$1006:R1006),$Q$1006:$U$1006,0))&gt;=100000), " ",IF(INDEX($Q$2:$U$1001,MATCH(ROWS($J$2:J627),$J$2:$J$1001,0),MATCH(COLUMNS($Q$1006:R1006),$Q$1006:$U$1006,0)), HYPERLINK("#",""), HYPERLINK(CONCATENATE("#Metadata!", ADDRESS(INDEX($L$2:$L$1001,MATCH(ROWS($J$2:J627),$J$2:$J$1001,0),0), INDEX($Q$1004:$U$1004,1,MATCH(COLUMNS($Q$1006:R1006),$Q$1006:$U$1006,0)))),"Fix")))</f>
        <v xml:space="preserve"> </v>
      </c>
      <c r="D627" s="3" t="str">
        <f ca="1">IF(OR(INDEX($K$2:$K$1001,MATCH(ROWS($J$2:J627),$J$2:$J$1001,0),1)&gt;=100000,INDEX($Q$1005:$U$1005,1,MATCH(COLUMNS($Q$1006:S1006),$Q$1006:$U$1006,0))&gt;=100000), " ",IF(INDEX($Q$2:$U$1001,MATCH(ROWS($J$2:J627),$J$2:$J$1001,0),MATCH(COLUMNS($Q$1006:S1006),$Q$1006:$U$1006,0)), HYPERLINK("#",""), HYPERLINK(CONCATENATE("#Metadata!", ADDRESS(INDEX($L$2:$L$1001,MATCH(ROWS($J$2:J627),$J$2:$J$1001,0),0), INDEX($Q$1004:$U$1004,1,MATCH(COLUMNS($Q$1006:S1006),$Q$1006:$U$1006,0)))),"Fix")))</f>
        <v xml:space="preserve"> </v>
      </c>
      <c r="E627" s="3" t="str">
        <f ca="1">IF(OR(INDEX($K$2:$K$1001,MATCH(ROWS($J$2:J627),$J$2:$J$1001,0),1)&gt;=100000,INDEX($Q$1005:$U$1005,1,MATCH(COLUMNS($Q$1006:T1006),$Q$1006:$U$1006,0))&gt;=100000), " ",IF(INDEX($Q$2:$U$1001,MATCH(ROWS($J$2:J627),$J$2:$J$1001,0),MATCH(COLUMNS($Q$1006:T1006),$Q$1006:$U$1006,0)), HYPERLINK("#",""), HYPERLINK(CONCATENATE("#Metadata!", ADDRESS(INDEX($L$2:$L$1001,MATCH(ROWS($J$2:J627),$J$2:$J$1001,0),0), INDEX($Q$1004:$U$1004,1,MATCH(COLUMNS($Q$1006:T1006),$Q$1006:$U$1006,0)))),"Fix")))</f>
        <v xml:space="preserve"> </v>
      </c>
      <c r="F627" s="3" t="str">
        <f ca="1">IF(OR(INDEX($K$2:$K$1001,MATCH(ROWS($J$2:J627),$J$2:$J$1001,0),1)&gt;=100000,INDEX($Q$1005:$U$1005,1,MATCH(COLUMNS($Q$1006:U1006),$Q$1006:$U$1006,0))&gt;=100000), " ",IF(INDEX($Q$2:$U$1001,MATCH(ROWS($J$2:J627),$J$2:$J$1001,0),MATCH(COLUMNS($Q$1006:U1006),$Q$1006:$U$1006,0)), HYPERLINK("#",""), HYPERLINK(CONCATENATE("#Metadata!", ADDRESS(INDEX($L$2:$L$1001,MATCH(ROWS($J$2:J627),$J$2:$J$1001,0),0), INDEX($Q$1004:$U$1004,1,MATCH(COLUMNS($Q$1006:U1006),$Q$1006:$U$1006,0)))),"Fix")))</f>
        <v xml:space="preserve"> </v>
      </c>
      <c r="J627">
        <f ca="1"/>
        <v>626</v>
      </c>
      <c r="K627">
        <v>100627</v>
      </c>
      <c r="L627">
        <v>627</v>
      </c>
      <c r="M627" t="b">
        <f t="shared" si="9"/>
        <v>1</v>
      </c>
      <c r="N627" t="b">
        <f>COUNTBLANK(Metadata!B627:F627)=COLUMNS(Metadata!B627:F627)</f>
        <v>1</v>
      </c>
      <c r="O627" t="str">
        <v/>
      </c>
      <c r="Q627" t="b">
        <f ca="1"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R627" t="b">
        <f>IF(Metadata!C627="",FALSE,TRUE)</f>
        <v>0</v>
      </c>
      <c r="S627" t="b">
        <f>OR(AND(IF(Metadata!D627="",FALSE,TRUE),EXACT(Metadata!D627,"missing: not collected")),AND(IF(Metadata!D627="",FALSE,TRUE),OR(EXACT(Metadata!D627,"t"),EXACT(Metadata!D627,"f"))))</f>
        <v>0</v>
      </c>
      <c r="T627" t="b">
        <f>AND(IF(Metadata!E627="",FALSE,TRUE),OR(EXACT(Metadata!E627,"a"),EXACT(Metadata!E627,"b")))</f>
        <v>0</v>
      </c>
      <c r="U627" t="b">
        <f>OR(AND(IF(Metadata!F627="",FALSE,TRUE),OR(EXACT(Metadata!F627,"missing: not collected"),EXACT(Metadata!F627,"missing: not provided"))),AND(IF(Metadata!F627="",FALSE,TRUE),OR(EXACT(Metadata!F627,"lo"),EXACT(Metadata!F627,"med"),EXACT(Metadata!F627,"hi"))))</f>
        <v>0</v>
      </c>
    </row>
    <row r="628" spans="1:21" x14ac:dyDescent="0.2">
      <c r="A628" s="4" t="str">
        <f ca="1">IF(B628=" "," ",HYPERLINK(CONCATENATE("#metadata!",ADDRESS(INDEX($L$2:$L$1001,MATCH(ROWS($J$2:J628),$J$2:$J$1001,0),0),1)),INDEX($O$2:$O$1001,MATCH(ROWS($J$2:J628),$J$2:$J$1001,0),0)))</f>
        <v xml:space="preserve"> </v>
      </c>
      <c r="B628" s="3" t="str">
        <f ca="1">IF(OR(INDEX($K$2:$K$1001,MATCH(ROWS($J$2:J628),$J$2:$J$1001,0),1)&gt;=100000,INDEX($Q$1005:$U$1005,1,MATCH(COLUMNS($Q$1006:Q1006),$Q$1006:$U$1006,0))&gt;=100000), " ",IF(INDEX($Q$2:$U$1001,MATCH(ROWS($J$2:J628),$J$2:$J$1001,0),MATCH(COLUMNS($Q$1006:Q1006),$Q$1006:$U$1006,0)), HYPERLINK("#",""), HYPERLINK(CONCATENATE("#Metadata!", ADDRESS(INDEX($L$2:$L$1001,MATCH(ROWS($J$2:J628),$J$2:$J$1001,0),0), INDEX($Q$1004:$U$1004,1,MATCH(COLUMNS($Q$1006:Q1006),$Q$1006:$U$1006,0)))),"Fix")))</f>
        <v xml:space="preserve"> </v>
      </c>
      <c r="C628" s="3" t="str">
        <f ca="1">IF(OR(INDEX($K$2:$K$1001,MATCH(ROWS($J$2:J628),$J$2:$J$1001,0),1)&gt;=100000,INDEX($Q$1005:$U$1005,1,MATCH(COLUMNS($Q$1006:R1006),$Q$1006:$U$1006,0))&gt;=100000), " ",IF(INDEX($Q$2:$U$1001,MATCH(ROWS($J$2:J628),$J$2:$J$1001,0),MATCH(COLUMNS($Q$1006:R1006),$Q$1006:$U$1006,0)), HYPERLINK("#",""), HYPERLINK(CONCATENATE("#Metadata!", ADDRESS(INDEX($L$2:$L$1001,MATCH(ROWS($J$2:J628),$J$2:$J$1001,0),0), INDEX($Q$1004:$U$1004,1,MATCH(COLUMNS($Q$1006:R1006),$Q$1006:$U$1006,0)))),"Fix")))</f>
        <v xml:space="preserve"> </v>
      </c>
      <c r="D628" s="3" t="str">
        <f ca="1">IF(OR(INDEX($K$2:$K$1001,MATCH(ROWS($J$2:J628),$J$2:$J$1001,0),1)&gt;=100000,INDEX($Q$1005:$U$1005,1,MATCH(COLUMNS($Q$1006:S1006),$Q$1006:$U$1006,0))&gt;=100000), " ",IF(INDEX($Q$2:$U$1001,MATCH(ROWS($J$2:J628),$J$2:$J$1001,0),MATCH(COLUMNS($Q$1006:S1006),$Q$1006:$U$1006,0)), HYPERLINK("#",""), HYPERLINK(CONCATENATE("#Metadata!", ADDRESS(INDEX($L$2:$L$1001,MATCH(ROWS($J$2:J628),$J$2:$J$1001,0),0), INDEX($Q$1004:$U$1004,1,MATCH(COLUMNS($Q$1006:S1006),$Q$1006:$U$1006,0)))),"Fix")))</f>
        <v xml:space="preserve"> </v>
      </c>
      <c r="E628" s="3" t="str">
        <f ca="1">IF(OR(INDEX($K$2:$K$1001,MATCH(ROWS($J$2:J628),$J$2:$J$1001,0),1)&gt;=100000,INDEX($Q$1005:$U$1005,1,MATCH(COLUMNS($Q$1006:T1006),$Q$1006:$U$1006,0))&gt;=100000), " ",IF(INDEX($Q$2:$U$1001,MATCH(ROWS($J$2:J628),$J$2:$J$1001,0),MATCH(COLUMNS($Q$1006:T1006),$Q$1006:$U$1006,0)), HYPERLINK("#",""), HYPERLINK(CONCATENATE("#Metadata!", ADDRESS(INDEX($L$2:$L$1001,MATCH(ROWS($J$2:J628),$J$2:$J$1001,0),0), INDEX($Q$1004:$U$1004,1,MATCH(COLUMNS($Q$1006:T1006),$Q$1006:$U$1006,0)))),"Fix")))</f>
        <v xml:space="preserve"> </v>
      </c>
      <c r="F628" s="3" t="str">
        <f ca="1">IF(OR(INDEX($K$2:$K$1001,MATCH(ROWS($J$2:J628),$J$2:$J$1001,0),1)&gt;=100000,INDEX($Q$1005:$U$1005,1,MATCH(COLUMNS($Q$1006:U1006),$Q$1006:$U$1006,0))&gt;=100000), " ",IF(INDEX($Q$2:$U$1001,MATCH(ROWS($J$2:J628),$J$2:$J$1001,0),MATCH(COLUMNS($Q$1006:U1006),$Q$1006:$U$1006,0)), HYPERLINK("#",""), HYPERLINK(CONCATENATE("#Metadata!", ADDRESS(INDEX($L$2:$L$1001,MATCH(ROWS($J$2:J628),$J$2:$J$1001,0),0), INDEX($Q$1004:$U$1004,1,MATCH(COLUMNS($Q$1006:U1006),$Q$1006:$U$1006,0)))),"Fix")))</f>
        <v xml:space="preserve"> </v>
      </c>
      <c r="J628">
        <f ca="1"/>
        <v>627</v>
      </c>
      <c r="K628">
        <v>100628</v>
      </c>
      <c r="L628">
        <v>628</v>
      </c>
      <c r="M628" t="b">
        <f t="shared" si="9"/>
        <v>1</v>
      </c>
      <c r="N628" t="b">
        <f>COUNTBLANK(Metadata!B628:F628)=COLUMNS(Metadata!B628:F628)</f>
        <v>1</v>
      </c>
      <c r="O628" t="str">
        <v/>
      </c>
      <c r="Q628" t="b">
        <f ca="1"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R628" t="b">
        <f>IF(Metadata!C628="",FALSE,TRUE)</f>
        <v>0</v>
      </c>
      <c r="S628" t="b">
        <f>OR(AND(IF(Metadata!D628="",FALSE,TRUE),EXACT(Metadata!D628,"missing: not collected")),AND(IF(Metadata!D628="",FALSE,TRUE),OR(EXACT(Metadata!D628,"t"),EXACT(Metadata!D628,"f"))))</f>
        <v>0</v>
      </c>
      <c r="T628" t="b">
        <f>AND(IF(Metadata!E628="",FALSE,TRUE),OR(EXACT(Metadata!E628,"a"),EXACT(Metadata!E628,"b")))</f>
        <v>0</v>
      </c>
      <c r="U628" t="b">
        <f>OR(AND(IF(Metadata!F628="",FALSE,TRUE),OR(EXACT(Metadata!F628,"missing: not collected"),EXACT(Metadata!F628,"missing: not provided"))),AND(IF(Metadata!F628="",FALSE,TRUE),OR(EXACT(Metadata!F628,"lo"),EXACT(Metadata!F628,"med"),EXACT(Metadata!F628,"hi"))))</f>
        <v>0</v>
      </c>
    </row>
    <row r="629" spans="1:21" x14ac:dyDescent="0.2">
      <c r="A629" s="4" t="str">
        <f ca="1">IF(B629=" "," ",HYPERLINK(CONCATENATE("#metadata!",ADDRESS(INDEX($L$2:$L$1001,MATCH(ROWS($J$2:J629),$J$2:$J$1001,0),0),1)),INDEX($O$2:$O$1001,MATCH(ROWS($J$2:J629),$J$2:$J$1001,0),0)))</f>
        <v xml:space="preserve"> </v>
      </c>
      <c r="B629" s="3" t="str">
        <f ca="1">IF(OR(INDEX($K$2:$K$1001,MATCH(ROWS($J$2:J629),$J$2:$J$1001,0),1)&gt;=100000,INDEX($Q$1005:$U$1005,1,MATCH(COLUMNS($Q$1006:Q1006),$Q$1006:$U$1006,0))&gt;=100000), " ",IF(INDEX($Q$2:$U$1001,MATCH(ROWS($J$2:J629),$J$2:$J$1001,0),MATCH(COLUMNS($Q$1006:Q1006),$Q$1006:$U$1006,0)), HYPERLINK("#",""), HYPERLINK(CONCATENATE("#Metadata!", ADDRESS(INDEX($L$2:$L$1001,MATCH(ROWS($J$2:J629),$J$2:$J$1001,0),0), INDEX($Q$1004:$U$1004,1,MATCH(COLUMNS($Q$1006:Q1006),$Q$1006:$U$1006,0)))),"Fix")))</f>
        <v xml:space="preserve"> </v>
      </c>
      <c r="C629" s="3" t="str">
        <f ca="1">IF(OR(INDEX($K$2:$K$1001,MATCH(ROWS($J$2:J629),$J$2:$J$1001,0),1)&gt;=100000,INDEX($Q$1005:$U$1005,1,MATCH(COLUMNS($Q$1006:R1006),$Q$1006:$U$1006,0))&gt;=100000), " ",IF(INDEX($Q$2:$U$1001,MATCH(ROWS($J$2:J629),$J$2:$J$1001,0),MATCH(COLUMNS($Q$1006:R1006),$Q$1006:$U$1006,0)), HYPERLINK("#",""), HYPERLINK(CONCATENATE("#Metadata!", ADDRESS(INDEX($L$2:$L$1001,MATCH(ROWS($J$2:J629),$J$2:$J$1001,0),0), INDEX($Q$1004:$U$1004,1,MATCH(COLUMNS($Q$1006:R1006),$Q$1006:$U$1006,0)))),"Fix")))</f>
        <v xml:space="preserve"> </v>
      </c>
      <c r="D629" s="3" t="str">
        <f ca="1">IF(OR(INDEX($K$2:$K$1001,MATCH(ROWS($J$2:J629),$J$2:$J$1001,0),1)&gt;=100000,INDEX($Q$1005:$U$1005,1,MATCH(COLUMNS($Q$1006:S1006),$Q$1006:$U$1006,0))&gt;=100000), " ",IF(INDEX($Q$2:$U$1001,MATCH(ROWS($J$2:J629),$J$2:$J$1001,0),MATCH(COLUMNS($Q$1006:S1006),$Q$1006:$U$1006,0)), HYPERLINK("#",""), HYPERLINK(CONCATENATE("#Metadata!", ADDRESS(INDEX($L$2:$L$1001,MATCH(ROWS($J$2:J629),$J$2:$J$1001,0),0), INDEX($Q$1004:$U$1004,1,MATCH(COLUMNS($Q$1006:S1006),$Q$1006:$U$1006,0)))),"Fix")))</f>
        <v xml:space="preserve"> </v>
      </c>
      <c r="E629" s="3" t="str">
        <f ca="1">IF(OR(INDEX($K$2:$K$1001,MATCH(ROWS($J$2:J629),$J$2:$J$1001,0),1)&gt;=100000,INDEX($Q$1005:$U$1005,1,MATCH(COLUMNS($Q$1006:T1006),$Q$1006:$U$1006,0))&gt;=100000), " ",IF(INDEX($Q$2:$U$1001,MATCH(ROWS($J$2:J629),$J$2:$J$1001,0),MATCH(COLUMNS($Q$1006:T1006),$Q$1006:$U$1006,0)), HYPERLINK("#",""), HYPERLINK(CONCATENATE("#Metadata!", ADDRESS(INDEX($L$2:$L$1001,MATCH(ROWS($J$2:J629),$J$2:$J$1001,0),0), INDEX($Q$1004:$U$1004,1,MATCH(COLUMNS($Q$1006:T1006),$Q$1006:$U$1006,0)))),"Fix")))</f>
        <v xml:space="preserve"> </v>
      </c>
      <c r="F629" s="3" t="str">
        <f ca="1">IF(OR(INDEX($K$2:$K$1001,MATCH(ROWS($J$2:J629),$J$2:$J$1001,0),1)&gt;=100000,INDEX($Q$1005:$U$1005,1,MATCH(COLUMNS($Q$1006:U1006),$Q$1006:$U$1006,0))&gt;=100000), " ",IF(INDEX($Q$2:$U$1001,MATCH(ROWS($J$2:J629),$J$2:$J$1001,0),MATCH(COLUMNS($Q$1006:U1006),$Q$1006:$U$1006,0)), HYPERLINK("#",""), HYPERLINK(CONCATENATE("#Metadata!", ADDRESS(INDEX($L$2:$L$1001,MATCH(ROWS($J$2:J629),$J$2:$J$1001,0),0), INDEX($Q$1004:$U$1004,1,MATCH(COLUMNS($Q$1006:U1006),$Q$1006:$U$1006,0)))),"Fix")))</f>
        <v xml:space="preserve"> </v>
      </c>
      <c r="J629">
        <f ca="1"/>
        <v>628</v>
      </c>
      <c r="K629">
        <v>100629</v>
      </c>
      <c r="L629">
        <v>629</v>
      </c>
      <c r="M629" t="b">
        <f t="shared" si="9"/>
        <v>1</v>
      </c>
      <c r="N629" t="b">
        <f>COUNTBLANK(Metadata!B629:F629)=COLUMNS(Metadata!B629:F629)</f>
        <v>1</v>
      </c>
      <c r="O629" t="str">
        <v/>
      </c>
      <c r="Q629" t="b">
        <f ca="1"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R629" t="b">
        <f>IF(Metadata!C629="",FALSE,TRUE)</f>
        <v>0</v>
      </c>
      <c r="S629" t="b">
        <f>OR(AND(IF(Metadata!D629="",FALSE,TRUE),EXACT(Metadata!D629,"missing: not collected")),AND(IF(Metadata!D629="",FALSE,TRUE),OR(EXACT(Metadata!D629,"t"),EXACT(Metadata!D629,"f"))))</f>
        <v>0</v>
      </c>
      <c r="T629" t="b">
        <f>AND(IF(Metadata!E629="",FALSE,TRUE),OR(EXACT(Metadata!E629,"a"),EXACT(Metadata!E629,"b")))</f>
        <v>0</v>
      </c>
      <c r="U629" t="b">
        <f>OR(AND(IF(Metadata!F629="",FALSE,TRUE),OR(EXACT(Metadata!F629,"missing: not collected"),EXACT(Metadata!F629,"missing: not provided"))),AND(IF(Metadata!F629="",FALSE,TRUE),OR(EXACT(Metadata!F629,"lo"),EXACT(Metadata!F629,"med"),EXACT(Metadata!F629,"hi"))))</f>
        <v>0</v>
      </c>
    </row>
    <row r="630" spans="1:21" x14ac:dyDescent="0.2">
      <c r="A630" s="4" t="str">
        <f ca="1">IF(B630=" "," ",HYPERLINK(CONCATENATE("#metadata!",ADDRESS(INDEX($L$2:$L$1001,MATCH(ROWS($J$2:J630),$J$2:$J$1001,0),0),1)),INDEX($O$2:$O$1001,MATCH(ROWS($J$2:J630),$J$2:$J$1001,0),0)))</f>
        <v xml:space="preserve"> </v>
      </c>
      <c r="B630" s="3" t="str">
        <f ca="1">IF(OR(INDEX($K$2:$K$1001,MATCH(ROWS($J$2:J630),$J$2:$J$1001,0),1)&gt;=100000,INDEX($Q$1005:$U$1005,1,MATCH(COLUMNS($Q$1006:Q1006),$Q$1006:$U$1006,0))&gt;=100000), " ",IF(INDEX($Q$2:$U$1001,MATCH(ROWS($J$2:J630),$J$2:$J$1001,0),MATCH(COLUMNS($Q$1006:Q1006),$Q$1006:$U$1006,0)), HYPERLINK("#",""), HYPERLINK(CONCATENATE("#Metadata!", ADDRESS(INDEX($L$2:$L$1001,MATCH(ROWS($J$2:J630),$J$2:$J$1001,0),0), INDEX($Q$1004:$U$1004,1,MATCH(COLUMNS($Q$1006:Q1006),$Q$1006:$U$1006,0)))),"Fix")))</f>
        <v xml:space="preserve"> </v>
      </c>
      <c r="C630" s="3" t="str">
        <f ca="1">IF(OR(INDEX($K$2:$K$1001,MATCH(ROWS($J$2:J630),$J$2:$J$1001,0),1)&gt;=100000,INDEX($Q$1005:$U$1005,1,MATCH(COLUMNS($Q$1006:R1006),$Q$1006:$U$1006,0))&gt;=100000), " ",IF(INDEX($Q$2:$U$1001,MATCH(ROWS($J$2:J630),$J$2:$J$1001,0),MATCH(COLUMNS($Q$1006:R1006),$Q$1006:$U$1006,0)), HYPERLINK("#",""), HYPERLINK(CONCATENATE("#Metadata!", ADDRESS(INDEX($L$2:$L$1001,MATCH(ROWS($J$2:J630),$J$2:$J$1001,0),0), INDEX($Q$1004:$U$1004,1,MATCH(COLUMNS($Q$1006:R1006),$Q$1006:$U$1006,0)))),"Fix")))</f>
        <v xml:space="preserve"> </v>
      </c>
      <c r="D630" s="3" t="str">
        <f ca="1">IF(OR(INDEX($K$2:$K$1001,MATCH(ROWS($J$2:J630),$J$2:$J$1001,0),1)&gt;=100000,INDEX($Q$1005:$U$1005,1,MATCH(COLUMNS($Q$1006:S1006),$Q$1006:$U$1006,0))&gt;=100000), " ",IF(INDEX($Q$2:$U$1001,MATCH(ROWS($J$2:J630),$J$2:$J$1001,0),MATCH(COLUMNS($Q$1006:S1006),$Q$1006:$U$1006,0)), HYPERLINK("#",""), HYPERLINK(CONCATENATE("#Metadata!", ADDRESS(INDEX($L$2:$L$1001,MATCH(ROWS($J$2:J630),$J$2:$J$1001,0),0), INDEX($Q$1004:$U$1004,1,MATCH(COLUMNS($Q$1006:S1006),$Q$1006:$U$1006,0)))),"Fix")))</f>
        <v xml:space="preserve"> </v>
      </c>
      <c r="E630" s="3" t="str">
        <f ca="1">IF(OR(INDEX($K$2:$K$1001,MATCH(ROWS($J$2:J630),$J$2:$J$1001,0),1)&gt;=100000,INDEX($Q$1005:$U$1005,1,MATCH(COLUMNS($Q$1006:T1006),$Q$1006:$U$1006,0))&gt;=100000), " ",IF(INDEX($Q$2:$U$1001,MATCH(ROWS($J$2:J630),$J$2:$J$1001,0),MATCH(COLUMNS($Q$1006:T1006),$Q$1006:$U$1006,0)), HYPERLINK("#",""), HYPERLINK(CONCATENATE("#Metadata!", ADDRESS(INDEX($L$2:$L$1001,MATCH(ROWS($J$2:J630),$J$2:$J$1001,0),0), INDEX($Q$1004:$U$1004,1,MATCH(COLUMNS($Q$1006:T1006),$Q$1006:$U$1006,0)))),"Fix")))</f>
        <v xml:space="preserve"> </v>
      </c>
      <c r="F630" s="3" t="str">
        <f ca="1">IF(OR(INDEX($K$2:$K$1001,MATCH(ROWS($J$2:J630),$J$2:$J$1001,0),1)&gt;=100000,INDEX($Q$1005:$U$1005,1,MATCH(COLUMNS($Q$1006:U1006),$Q$1006:$U$1006,0))&gt;=100000), " ",IF(INDEX($Q$2:$U$1001,MATCH(ROWS($J$2:J630),$J$2:$J$1001,0),MATCH(COLUMNS($Q$1006:U1006),$Q$1006:$U$1006,0)), HYPERLINK("#",""), HYPERLINK(CONCATENATE("#Metadata!", ADDRESS(INDEX($L$2:$L$1001,MATCH(ROWS($J$2:J630),$J$2:$J$1001,0),0), INDEX($Q$1004:$U$1004,1,MATCH(COLUMNS($Q$1006:U1006),$Q$1006:$U$1006,0)))),"Fix")))</f>
        <v xml:space="preserve"> </v>
      </c>
      <c r="J630">
        <f ca="1"/>
        <v>629</v>
      </c>
      <c r="K630">
        <v>100630</v>
      </c>
      <c r="L630">
        <v>630</v>
      </c>
      <c r="M630" t="b">
        <f t="shared" si="9"/>
        <v>1</v>
      </c>
      <c r="N630" t="b">
        <f>COUNTBLANK(Metadata!B630:F630)=COLUMNS(Metadata!B630:F630)</f>
        <v>1</v>
      </c>
      <c r="O630" t="str">
        <v/>
      </c>
      <c r="Q630" t="b">
        <f ca="1"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R630" t="b">
        <f>IF(Metadata!C630="",FALSE,TRUE)</f>
        <v>0</v>
      </c>
      <c r="S630" t="b">
        <f>OR(AND(IF(Metadata!D630="",FALSE,TRUE),EXACT(Metadata!D630,"missing: not collected")),AND(IF(Metadata!D630="",FALSE,TRUE),OR(EXACT(Metadata!D630,"t"),EXACT(Metadata!D630,"f"))))</f>
        <v>0</v>
      </c>
      <c r="T630" t="b">
        <f>AND(IF(Metadata!E630="",FALSE,TRUE),OR(EXACT(Metadata!E630,"a"),EXACT(Metadata!E630,"b")))</f>
        <v>0</v>
      </c>
      <c r="U630" t="b">
        <f>OR(AND(IF(Metadata!F630="",FALSE,TRUE),OR(EXACT(Metadata!F630,"missing: not collected"),EXACT(Metadata!F630,"missing: not provided"))),AND(IF(Metadata!F630="",FALSE,TRUE),OR(EXACT(Metadata!F630,"lo"),EXACT(Metadata!F630,"med"),EXACT(Metadata!F630,"hi"))))</f>
        <v>0</v>
      </c>
    </row>
    <row r="631" spans="1:21" x14ac:dyDescent="0.2">
      <c r="A631" s="4" t="str">
        <f ca="1">IF(B631=" "," ",HYPERLINK(CONCATENATE("#metadata!",ADDRESS(INDEX($L$2:$L$1001,MATCH(ROWS($J$2:J631),$J$2:$J$1001,0),0),1)),INDEX($O$2:$O$1001,MATCH(ROWS($J$2:J631),$J$2:$J$1001,0),0)))</f>
        <v xml:space="preserve"> </v>
      </c>
      <c r="B631" s="3" t="str">
        <f ca="1">IF(OR(INDEX($K$2:$K$1001,MATCH(ROWS($J$2:J631),$J$2:$J$1001,0),1)&gt;=100000,INDEX($Q$1005:$U$1005,1,MATCH(COLUMNS($Q$1006:Q1006),$Q$1006:$U$1006,0))&gt;=100000), " ",IF(INDEX($Q$2:$U$1001,MATCH(ROWS($J$2:J631),$J$2:$J$1001,0),MATCH(COLUMNS($Q$1006:Q1006),$Q$1006:$U$1006,0)), HYPERLINK("#",""), HYPERLINK(CONCATENATE("#Metadata!", ADDRESS(INDEX($L$2:$L$1001,MATCH(ROWS($J$2:J631),$J$2:$J$1001,0),0), INDEX($Q$1004:$U$1004,1,MATCH(COLUMNS($Q$1006:Q1006),$Q$1006:$U$1006,0)))),"Fix")))</f>
        <v xml:space="preserve"> </v>
      </c>
      <c r="C631" s="3" t="str">
        <f ca="1">IF(OR(INDEX($K$2:$K$1001,MATCH(ROWS($J$2:J631),$J$2:$J$1001,0),1)&gt;=100000,INDEX($Q$1005:$U$1005,1,MATCH(COLUMNS($Q$1006:R1006),$Q$1006:$U$1006,0))&gt;=100000), " ",IF(INDEX($Q$2:$U$1001,MATCH(ROWS($J$2:J631),$J$2:$J$1001,0),MATCH(COLUMNS($Q$1006:R1006),$Q$1006:$U$1006,0)), HYPERLINK("#",""), HYPERLINK(CONCATENATE("#Metadata!", ADDRESS(INDEX($L$2:$L$1001,MATCH(ROWS($J$2:J631),$J$2:$J$1001,0),0), INDEX($Q$1004:$U$1004,1,MATCH(COLUMNS($Q$1006:R1006),$Q$1006:$U$1006,0)))),"Fix")))</f>
        <v xml:space="preserve"> </v>
      </c>
      <c r="D631" s="3" t="str">
        <f ca="1">IF(OR(INDEX($K$2:$K$1001,MATCH(ROWS($J$2:J631),$J$2:$J$1001,0),1)&gt;=100000,INDEX($Q$1005:$U$1005,1,MATCH(COLUMNS($Q$1006:S1006),$Q$1006:$U$1006,0))&gt;=100000), " ",IF(INDEX($Q$2:$U$1001,MATCH(ROWS($J$2:J631),$J$2:$J$1001,0),MATCH(COLUMNS($Q$1006:S1006),$Q$1006:$U$1006,0)), HYPERLINK("#",""), HYPERLINK(CONCATENATE("#Metadata!", ADDRESS(INDEX($L$2:$L$1001,MATCH(ROWS($J$2:J631),$J$2:$J$1001,0),0), INDEX($Q$1004:$U$1004,1,MATCH(COLUMNS($Q$1006:S1006),$Q$1006:$U$1006,0)))),"Fix")))</f>
        <v xml:space="preserve"> </v>
      </c>
      <c r="E631" s="3" t="str">
        <f ca="1">IF(OR(INDEX($K$2:$K$1001,MATCH(ROWS($J$2:J631),$J$2:$J$1001,0),1)&gt;=100000,INDEX($Q$1005:$U$1005,1,MATCH(COLUMNS($Q$1006:T1006),$Q$1006:$U$1006,0))&gt;=100000), " ",IF(INDEX($Q$2:$U$1001,MATCH(ROWS($J$2:J631),$J$2:$J$1001,0),MATCH(COLUMNS($Q$1006:T1006),$Q$1006:$U$1006,0)), HYPERLINK("#",""), HYPERLINK(CONCATENATE("#Metadata!", ADDRESS(INDEX($L$2:$L$1001,MATCH(ROWS($J$2:J631),$J$2:$J$1001,0),0), INDEX($Q$1004:$U$1004,1,MATCH(COLUMNS($Q$1006:T1006),$Q$1006:$U$1006,0)))),"Fix")))</f>
        <v xml:space="preserve"> </v>
      </c>
      <c r="F631" s="3" t="str">
        <f ca="1">IF(OR(INDEX($K$2:$K$1001,MATCH(ROWS($J$2:J631),$J$2:$J$1001,0),1)&gt;=100000,INDEX($Q$1005:$U$1005,1,MATCH(COLUMNS($Q$1006:U1006),$Q$1006:$U$1006,0))&gt;=100000), " ",IF(INDEX($Q$2:$U$1001,MATCH(ROWS($J$2:J631),$J$2:$J$1001,0),MATCH(COLUMNS($Q$1006:U1006),$Q$1006:$U$1006,0)), HYPERLINK("#",""), HYPERLINK(CONCATENATE("#Metadata!", ADDRESS(INDEX($L$2:$L$1001,MATCH(ROWS($J$2:J631),$J$2:$J$1001,0),0), INDEX($Q$1004:$U$1004,1,MATCH(COLUMNS($Q$1006:U1006),$Q$1006:$U$1006,0)))),"Fix")))</f>
        <v xml:space="preserve"> </v>
      </c>
      <c r="J631">
        <f ca="1"/>
        <v>630</v>
      </c>
      <c r="K631">
        <v>100631</v>
      </c>
      <c r="L631">
        <v>631</v>
      </c>
      <c r="M631" t="b">
        <f t="shared" si="9"/>
        <v>1</v>
      </c>
      <c r="N631" t="b">
        <f>COUNTBLANK(Metadata!B631:F631)=COLUMNS(Metadata!B631:F631)</f>
        <v>1</v>
      </c>
      <c r="O631" t="str">
        <v/>
      </c>
      <c r="Q631" t="b">
        <f ca="1"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R631" t="b">
        <f>IF(Metadata!C631="",FALSE,TRUE)</f>
        <v>0</v>
      </c>
      <c r="S631" t="b">
        <f>OR(AND(IF(Metadata!D631="",FALSE,TRUE),EXACT(Metadata!D631,"missing: not collected")),AND(IF(Metadata!D631="",FALSE,TRUE),OR(EXACT(Metadata!D631,"t"),EXACT(Metadata!D631,"f"))))</f>
        <v>0</v>
      </c>
      <c r="T631" t="b">
        <f>AND(IF(Metadata!E631="",FALSE,TRUE),OR(EXACT(Metadata!E631,"a"),EXACT(Metadata!E631,"b")))</f>
        <v>0</v>
      </c>
      <c r="U631" t="b">
        <f>OR(AND(IF(Metadata!F631="",FALSE,TRUE),OR(EXACT(Metadata!F631,"missing: not collected"),EXACT(Metadata!F631,"missing: not provided"))),AND(IF(Metadata!F631="",FALSE,TRUE),OR(EXACT(Metadata!F631,"lo"),EXACT(Metadata!F631,"med"),EXACT(Metadata!F631,"hi"))))</f>
        <v>0</v>
      </c>
    </row>
    <row r="632" spans="1:21" x14ac:dyDescent="0.2">
      <c r="A632" s="4" t="str">
        <f ca="1">IF(B632=" "," ",HYPERLINK(CONCATENATE("#metadata!",ADDRESS(INDEX($L$2:$L$1001,MATCH(ROWS($J$2:J632),$J$2:$J$1001,0),0),1)),INDEX($O$2:$O$1001,MATCH(ROWS($J$2:J632),$J$2:$J$1001,0),0)))</f>
        <v xml:space="preserve"> </v>
      </c>
      <c r="B632" s="3" t="str">
        <f ca="1">IF(OR(INDEX($K$2:$K$1001,MATCH(ROWS($J$2:J632),$J$2:$J$1001,0),1)&gt;=100000,INDEX($Q$1005:$U$1005,1,MATCH(COLUMNS($Q$1006:Q1006),$Q$1006:$U$1006,0))&gt;=100000), " ",IF(INDEX($Q$2:$U$1001,MATCH(ROWS($J$2:J632),$J$2:$J$1001,0),MATCH(COLUMNS($Q$1006:Q1006),$Q$1006:$U$1006,0)), HYPERLINK("#",""), HYPERLINK(CONCATENATE("#Metadata!", ADDRESS(INDEX($L$2:$L$1001,MATCH(ROWS($J$2:J632),$J$2:$J$1001,0),0), INDEX($Q$1004:$U$1004,1,MATCH(COLUMNS($Q$1006:Q1006),$Q$1006:$U$1006,0)))),"Fix")))</f>
        <v xml:space="preserve"> </v>
      </c>
      <c r="C632" s="3" t="str">
        <f ca="1">IF(OR(INDEX($K$2:$K$1001,MATCH(ROWS($J$2:J632),$J$2:$J$1001,0),1)&gt;=100000,INDEX($Q$1005:$U$1005,1,MATCH(COLUMNS($Q$1006:R1006),$Q$1006:$U$1006,0))&gt;=100000), " ",IF(INDEX($Q$2:$U$1001,MATCH(ROWS($J$2:J632),$J$2:$J$1001,0),MATCH(COLUMNS($Q$1006:R1006),$Q$1006:$U$1006,0)), HYPERLINK("#",""), HYPERLINK(CONCATENATE("#Metadata!", ADDRESS(INDEX($L$2:$L$1001,MATCH(ROWS($J$2:J632),$J$2:$J$1001,0),0), INDEX($Q$1004:$U$1004,1,MATCH(COLUMNS($Q$1006:R1006),$Q$1006:$U$1006,0)))),"Fix")))</f>
        <v xml:space="preserve"> </v>
      </c>
      <c r="D632" s="3" t="str">
        <f ca="1">IF(OR(INDEX($K$2:$K$1001,MATCH(ROWS($J$2:J632),$J$2:$J$1001,0),1)&gt;=100000,INDEX($Q$1005:$U$1005,1,MATCH(COLUMNS($Q$1006:S1006),$Q$1006:$U$1006,0))&gt;=100000), " ",IF(INDEX($Q$2:$U$1001,MATCH(ROWS($J$2:J632),$J$2:$J$1001,0),MATCH(COLUMNS($Q$1006:S1006),$Q$1006:$U$1006,0)), HYPERLINK("#",""), HYPERLINK(CONCATENATE("#Metadata!", ADDRESS(INDEX($L$2:$L$1001,MATCH(ROWS($J$2:J632),$J$2:$J$1001,0),0), INDEX($Q$1004:$U$1004,1,MATCH(COLUMNS($Q$1006:S1006),$Q$1006:$U$1006,0)))),"Fix")))</f>
        <v xml:space="preserve"> </v>
      </c>
      <c r="E632" s="3" t="str">
        <f ca="1">IF(OR(INDEX($K$2:$K$1001,MATCH(ROWS($J$2:J632),$J$2:$J$1001,0),1)&gt;=100000,INDEX($Q$1005:$U$1005,1,MATCH(COLUMNS($Q$1006:T1006),$Q$1006:$U$1006,0))&gt;=100000), " ",IF(INDEX($Q$2:$U$1001,MATCH(ROWS($J$2:J632),$J$2:$J$1001,0),MATCH(COLUMNS($Q$1006:T1006),$Q$1006:$U$1006,0)), HYPERLINK("#",""), HYPERLINK(CONCATENATE("#Metadata!", ADDRESS(INDEX($L$2:$L$1001,MATCH(ROWS($J$2:J632),$J$2:$J$1001,0),0), INDEX($Q$1004:$U$1004,1,MATCH(COLUMNS($Q$1006:T1006),$Q$1006:$U$1006,0)))),"Fix")))</f>
        <v xml:space="preserve"> </v>
      </c>
      <c r="F632" s="3" t="str">
        <f ca="1">IF(OR(INDEX($K$2:$K$1001,MATCH(ROWS($J$2:J632),$J$2:$J$1001,0),1)&gt;=100000,INDEX($Q$1005:$U$1005,1,MATCH(COLUMNS($Q$1006:U1006),$Q$1006:$U$1006,0))&gt;=100000), " ",IF(INDEX($Q$2:$U$1001,MATCH(ROWS($J$2:J632),$J$2:$J$1001,0),MATCH(COLUMNS($Q$1006:U1006),$Q$1006:$U$1006,0)), HYPERLINK("#",""), HYPERLINK(CONCATENATE("#Metadata!", ADDRESS(INDEX($L$2:$L$1001,MATCH(ROWS($J$2:J632),$J$2:$J$1001,0),0), INDEX($Q$1004:$U$1004,1,MATCH(COLUMNS($Q$1006:U1006),$Q$1006:$U$1006,0)))),"Fix")))</f>
        <v xml:space="preserve"> </v>
      </c>
      <c r="J632">
        <f ca="1"/>
        <v>631</v>
      </c>
      <c r="K632">
        <v>100632</v>
      </c>
      <c r="L632">
        <v>632</v>
      </c>
      <c r="M632" t="b">
        <f t="shared" si="9"/>
        <v>1</v>
      </c>
      <c r="N632" t="b">
        <f>COUNTBLANK(Metadata!B632:F632)=COLUMNS(Metadata!B632:F632)</f>
        <v>1</v>
      </c>
      <c r="O632" t="str">
        <v/>
      </c>
      <c r="Q632" t="b">
        <f ca="1"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R632" t="b">
        <f>IF(Metadata!C632="",FALSE,TRUE)</f>
        <v>0</v>
      </c>
      <c r="S632" t="b">
        <f>OR(AND(IF(Metadata!D632="",FALSE,TRUE),EXACT(Metadata!D632,"missing: not collected")),AND(IF(Metadata!D632="",FALSE,TRUE),OR(EXACT(Metadata!D632,"t"),EXACT(Metadata!D632,"f"))))</f>
        <v>0</v>
      </c>
      <c r="T632" t="b">
        <f>AND(IF(Metadata!E632="",FALSE,TRUE),OR(EXACT(Metadata!E632,"a"),EXACT(Metadata!E632,"b")))</f>
        <v>0</v>
      </c>
      <c r="U632" t="b">
        <f>OR(AND(IF(Metadata!F632="",FALSE,TRUE),OR(EXACT(Metadata!F632,"missing: not collected"),EXACT(Metadata!F632,"missing: not provided"))),AND(IF(Metadata!F632="",FALSE,TRUE),OR(EXACT(Metadata!F632,"lo"),EXACT(Metadata!F632,"med"),EXACT(Metadata!F632,"hi"))))</f>
        <v>0</v>
      </c>
    </row>
    <row r="633" spans="1:21" x14ac:dyDescent="0.2">
      <c r="A633" s="4" t="str">
        <f ca="1">IF(B633=" "," ",HYPERLINK(CONCATENATE("#metadata!",ADDRESS(INDEX($L$2:$L$1001,MATCH(ROWS($J$2:J633),$J$2:$J$1001,0),0),1)),INDEX($O$2:$O$1001,MATCH(ROWS($J$2:J633),$J$2:$J$1001,0),0)))</f>
        <v xml:space="preserve"> </v>
      </c>
      <c r="B633" s="3" t="str">
        <f ca="1">IF(OR(INDEX($K$2:$K$1001,MATCH(ROWS($J$2:J633),$J$2:$J$1001,0),1)&gt;=100000,INDEX($Q$1005:$U$1005,1,MATCH(COLUMNS($Q$1006:Q1006),$Q$1006:$U$1006,0))&gt;=100000), " ",IF(INDEX($Q$2:$U$1001,MATCH(ROWS($J$2:J633),$J$2:$J$1001,0),MATCH(COLUMNS($Q$1006:Q1006),$Q$1006:$U$1006,0)), HYPERLINK("#",""), HYPERLINK(CONCATENATE("#Metadata!", ADDRESS(INDEX($L$2:$L$1001,MATCH(ROWS($J$2:J633),$J$2:$J$1001,0),0), INDEX($Q$1004:$U$1004,1,MATCH(COLUMNS($Q$1006:Q1006),$Q$1006:$U$1006,0)))),"Fix")))</f>
        <v xml:space="preserve"> </v>
      </c>
      <c r="C633" s="3" t="str">
        <f ca="1">IF(OR(INDEX($K$2:$K$1001,MATCH(ROWS($J$2:J633),$J$2:$J$1001,0),1)&gt;=100000,INDEX($Q$1005:$U$1005,1,MATCH(COLUMNS($Q$1006:R1006),$Q$1006:$U$1006,0))&gt;=100000), " ",IF(INDEX($Q$2:$U$1001,MATCH(ROWS($J$2:J633),$J$2:$J$1001,0),MATCH(COLUMNS($Q$1006:R1006),$Q$1006:$U$1006,0)), HYPERLINK("#",""), HYPERLINK(CONCATENATE("#Metadata!", ADDRESS(INDEX($L$2:$L$1001,MATCH(ROWS($J$2:J633),$J$2:$J$1001,0),0), INDEX($Q$1004:$U$1004,1,MATCH(COLUMNS($Q$1006:R1006),$Q$1006:$U$1006,0)))),"Fix")))</f>
        <v xml:space="preserve"> </v>
      </c>
      <c r="D633" s="3" t="str">
        <f ca="1">IF(OR(INDEX($K$2:$K$1001,MATCH(ROWS($J$2:J633),$J$2:$J$1001,0),1)&gt;=100000,INDEX($Q$1005:$U$1005,1,MATCH(COLUMNS($Q$1006:S1006),$Q$1006:$U$1006,0))&gt;=100000), " ",IF(INDEX($Q$2:$U$1001,MATCH(ROWS($J$2:J633),$J$2:$J$1001,0),MATCH(COLUMNS($Q$1006:S1006),$Q$1006:$U$1006,0)), HYPERLINK("#",""), HYPERLINK(CONCATENATE("#Metadata!", ADDRESS(INDEX($L$2:$L$1001,MATCH(ROWS($J$2:J633),$J$2:$J$1001,0),0), INDEX($Q$1004:$U$1004,1,MATCH(COLUMNS($Q$1006:S1006),$Q$1006:$U$1006,0)))),"Fix")))</f>
        <v xml:space="preserve"> </v>
      </c>
      <c r="E633" s="3" t="str">
        <f ca="1">IF(OR(INDEX($K$2:$K$1001,MATCH(ROWS($J$2:J633),$J$2:$J$1001,0),1)&gt;=100000,INDEX($Q$1005:$U$1005,1,MATCH(COLUMNS($Q$1006:T1006),$Q$1006:$U$1006,0))&gt;=100000), " ",IF(INDEX($Q$2:$U$1001,MATCH(ROWS($J$2:J633),$J$2:$J$1001,0),MATCH(COLUMNS($Q$1006:T1006),$Q$1006:$U$1006,0)), HYPERLINK("#",""), HYPERLINK(CONCATENATE("#Metadata!", ADDRESS(INDEX($L$2:$L$1001,MATCH(ROWS($J$2:J633),$J$2:$J$1001,0),0), INDEX($Q$1004:$U$1004,1,MATCH(COLUMNS($Q$1006:T1006),$Q$1006:$U$1006,0)))),"Fix")))</f>
        <v xml:space="preserve"> </v>
      </c>
      <c r="F633" s="3" t="str">
        <f ca="1">IF(OR(INDEX($K$2:$K$1001,MATCH(ROWS($J$2:J633),$J$2:$J$1001,0),1)&gt;=100000,INDEX($Q$1005:$U$1005,1,MATCH(COLUMNS($Q$1006:U1006),$Q$1006:$U$1006,0))&gt;=100000), " ",IF(INDEX($Q$2:$U$1001,MATCH(ROWS($J$2:J633),$J$2:$J$1001,0),MATCH(COLUMNS($Q$1006:U1006),$Q$1006:$U$1006,0)), HYPERLINK("#",""), HYPERLINK(CONCATENATE("#Metadata!", ADDRESS(INDEX($L$2:$L$1001,MATCH(ROWS($J$2:J633),$J$2:$J$1001,0),0), INDEX($Q$1004:$U$1004,1,MATCH(COLUMNS($Q$1006:U1006),$Q$1006:$U$1006,0)))),"Fix")))</f>
        <v xml:space="preserve"> </v>
      </c>
      <c r="J633">
        <f ca="1"/>
        <v>632</v>
      </c>
      <c r="K633">
        <v>100633</v>
      </c>
      <c r="L633">
        <v>633</v>
      </c>
      <c r="M633" t="b">
        <f t="shared" si="9"/>
        <v>1</v>
      </c>
      <c r="N633" t="b">
        <f>COUNTBLANK(Metadata!B633:F633)=COLUMNS(Metadata!B633:F633)</f>
        <v>1</v>
      </c>
      <c r="O633" t="str">
        <v/>
      </c>
      <c r="Q633" t="b">
        <f ca="1"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R633" t="b">
        <f>IF(Metadata!C633="",FALSE,TRUE)</f>
        <v>0</v>
      </c>
      <c r="S633" t="b">
        <f>OR(AND(IF(Metadata!D633="",FALSE,TRUE),EXACT(Metadata!D633,"missing: not collected")),AND(IF(Metadata!D633="",FALSE,TRUE),OR(EXACT(Metadata!D633,"t"),EXACT(Metadata!D633,"f"))))</f>
        <v>0</v>
      </c>
      <c r="T633" t="b">
        <f>AND(IF(Metadata!E633="",FALSE,TRUE),OR(EXACT(Metadata!E633,"a"),EXACT(Metadata!E633,"b")))</f>
        <v>0</v>
      </c>
      <c r="U633" t="b">
        <f>OR(AND(IF(Metadata!F633="",FALSE,TRUE),OR(EXACT(Metadata!F633,"missing: not collected"),EXACT(Metadata!F633,"missing: not provided"))),AND(IF(Metadata!F633="",FALSE,TRUE),OR(EXACT(Metadata!F633,"lo"),EXACT(Metadata!F633,"med"),EXACT(Metadata!F633,"hi"))))</f>
        <v>0</v>
      </c>
    </row>
    <row r="634" spans="1:21" x14ac:dyDescent="0.2">
      <c r="A634" s="4" t="str">
        <f ca="1">IF(B634=" "," ",HYPERLINK(CONCATENATE("#metadata!",ADDRESS(INDEX($L$2:$L$1001,MATCH(ROWS($J$2:J634),$J$2:$J$1001,0),0),1)),INDEX($O$2:$O$1001,MATCH(ROWS($J$2:J634),$J$2:$J$1001,0),0)))</f>
        <v xml:space="preserve"> </v>
      </c>
      <c r="B634" s="3" t="str">
        <f ca="1">IF(OR(INDEX($K$2:$K$1001,MATCH(ROWS($J$2:J634),$J$2:$J$1001,0),1)&gt;=100000,INDEX($Q$1005:$U$1005,1,MATCH(COLUMNS($Q$1006:Q1006),$Q$1006:$U$1006,0))&gt;=100000), " ",IF(INDEX($Q$2:$U$1001,MATCH(ROWS($J$2:J634),$J$2:$J$1001,0),MATCH(COLUMNS($Q$1006:Q1006),$Q$1006:$U$1006,0)), HYPERLINK("#",""), HYPERLINK(CONCATENATE("#Metadata!", ADDRESS(INDEX($L$2:$L$1001,MATCH(ROWS($J$2:J634),$J$2:$J$1001,0),0), INDEX($Q$1004:$U$1004,1,MATCH(COLUMNS($Q$1006:Q1006),$Q$1006:$U$1006,0)))),"Fix")))</f>
        <v xml:space="preserve"> </v>
      </c>
      <c r="C634" s="3" t="str">
        <f ca="1">IF(OR(INDEX($K$2:$K$1001,MATCH(ROWS($J$2:J634),$J$2:$J$1001,0),1)&gt;=100000,INDEX($Q$1005:$U$1005,1,MATCH(COLUMNS($Q$1006:R1006),$Q$1006:$U$1006,0))&gt;=100000), " ",IF(INDEX($Q$2:$U$1001,MATCH(ROWS($J$2:J634),$J$2:$J$1001,0),MATCH(COLUMNS($Q$1006:R1006),$Q$1006:$U$1006,0)), HYPERLINK("#",""), HYPERLINK(CONCATENATE("#Metadata!", ADDRESS(INDEX($L$2:$L$1001,MATCH(ROWS($J$2:J634),$J$2:$J$1001,0),0), INDEX($Q$1004:$U$1004,1,MATCH(COLUMNS($Q$1006:R1006),$Q$1006:$U$1006,0)))),"Fix")))</f>
        <v xml:space="preserve"> </v>
      </c>
      <c r="D634" s="3" t="str">
        <f ca="1">IF(OR(INDEX($K$2:$K$1001,MATCH(ROWS($J$2:J634),$J$2:$J$1001,0),1)&gt;=100000,INDEX($Q$1005:$U$1005,1,MATCH(COLUMNS($Q$1006:S1006),$Q$1006:$U$1006,0))&gt;=100000), " ",IF(INDEX($Q$2:$U$1001,MATCH(ROWS($J$2:J634),$J$2:$J$1001,0),MATCH(COLUMNS($Q$1006:S1006),$Q$1006:$U$1006,0)), HYPERLINK("#",""), HYPERLINK(CONCATENATE("#Metadata!", ADDRESS(INDEX($L$2:$L$1001,MATCH(ROWS($J$2:J634),$J$2:$J$1001,0),0), INDEX($Q$1004:$U$1004,1,MATCH(COLUMNS($Q$1006:S1006),$Q$1006:$U$1006,0)))),"Fix")))</f>
        <v xml:space="preserve"> </v>
      </c>
      <c r="E634" s="3" t="str">
        <f ca="1">IF(OR(INDEX($K$2:$K$1001,MATCH(ROWS($J$2:J634),$J$2:$J$1001,0),1)&gt;=100000,INDEX($Q$1005:$U$1005,1,MATCH(COLUMNS($Q$1006:T1006),$Q$1006:$U$1006,0))&gt;=100000), " ",IF(INDEX($Q$2:$U$1001,MATCH(ROWS($J$2:J634),$J$2:$J$1001,0),MATCH(COLUMNS($Q$1006:T1006),$Q$1006:$U$1006,0)), HYPERLINK("#",""), HYPERLINK(CONCATENATE("#Metadata!", ADDRESS(INDEX($L$2:$L$1001,MATCH(ROWS($J$2:J634),$J$2:$J$1001,0),0), INDEX($Q$1004:$U$1004,1,MATCH(COLUMNS($Q$1006:T1006),$Q$1006:$U$1006,0)))),"Fix")))</f>
        <v xml:space="preserve"> </v>
      </c>
      <c r="F634" s="3" t="str">
        <f ca="1">IF(OR(INDEX($K$2:$K$1001,MATCH(ROWS($J$2:J634),$J$2:$J$1001,0),1)&gt;=100000,INDEX($Q$1005:$U$1005,1,MATCH(COLUMNS($Q$1006:U1006),$Q$1006:$U$1006,0))&gt;=100000), " ",IF(INDEX($Q$2:$U$1001,MATCH(ROWS($J$2:J634),$J$2:$J$1001,0),MATCH(COLUMNS($Q$1006:U1006),$Q$1006:$U$1006,0)), HYPERLINK("#",""), HYPERLINK(CONCATENATE("#Metadata!", ADDRESS(INDEX($L$2:$L$1001,MATCH(ROWS($J$2:J634),$J$2:$J$1001,0),0), INDEX($Q$1004:$U$1004,1,MATCH(COLUMNS($Q$1006:U1006),$Q$1006:$U$1006,0)))),"Fix")))</f>
        <v xml:space="preserve"> </v>
      </c>
      <c r="J634">
        <f ca="1"/>
        <v>633</v>
      </c>
      <c r="K634">
        <v>100634</v>
      </c>
      <c r="L634">
        <v>634</v>
      </c>
      <c r="M634" t="b">
        <f t="shared" si="9"/>
        <v>1</v>
      </c>
      <c r="N634" t="b">
        <f>COUNTBLANK(Metadata!B634:F634)=COLUMNS(Metadata!B634:F634)</f>
        <v>1</v>
      </c>
      <c r="O634" t="str">
        <v/>
      </c>
      <c r="Q634" t="b">
        <f ca="1"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R634" t="b">
        <f>IF(Metadata!C634="",FALSE,TRUE)</f>
        <v>0</v>
      </c>
      <c r="S634" t="b">
        <f>OR(AND(IF(Metadata!D634="",FALSE,TRUE),EXACT(Metadata!D634,"missing: not collected")),AND(IF(Metadata!D634="",FALSE,TRUE),OR(EXACT(Metadata!D634,"t"),EXACT(Metadata!D634,"f"))))</f>
        <v>0</v>
      </c>
      <c r="T634" t="b">
        <f>AND(IF(Metadata!E634="",FALSE,TRUE),OR(EXACT(Metadata!E634,"a"),EXACT(Metadata!E634,"b")))</f>
        <v>0</v>
      </c>
      <c r="U634" t="b">
        <f>OR(AND(IF(Metadata!F634="",FALSE,TRUE),OR(EXACT(Metadata!F634,"missing: not collected"),EXACT(Metadata!F634,"missing: not provided"))),AND(IF(Metadata!F634="",FALSE,TRUE),OR(EXACT(Metadata!F634,"lo"),EXACT(Metadata!F634,"med"),EXACT(Metadata!F634,"hi"))))</f>
        <v>0</v>
      </c>
    </row>
    <row r="635" spans="1:21" x14ac:dyDescent="0.2">
      <c r="A635" s="4" t="str">
        <f ca="1">IF(B635=" "," ",HYPERLINK(CONCATENATE("#metadata!",ADDRESS(INDEX($L$2:$L$1001,MATCH(ROWS($J$2:J635),$J$2:$J$1001,0),0),1)),INDEX($O$2:$O$1001,MATCH(ROWS($J$2:J635),$J$2:$J$1001,0),0)))</f>
        <v xml:space="preserve"> </v>
      </c>
      <c r="B635" s="3" t="str">
        <f ca="1">IF(OR(INDEX($K$2:$K$1001,MATCH(ROWS($J$2:J635),$J$2:$J$1001,0),1)&gt;=100000,INDEX($Q$1005:$U$1005,1,MATCH(COLUMNS($Q$1006:Q1006),$Q$1006:$U$1006,0))&gt;=100000), " ",IF(INDEX($Q$2:$U$1001,MATCH(ROWS($J$2:J635),$J$2:$J$1001,0),MATCH(COLUMNS($Q$1006:Q1006),$Q$1006:$U$1006,0)), HYPERLINK("#",""), HYPERLINK(CONCATENATE("#Metadata!", ADDRESS(INDEX($L$2:$L$1001,MATCH(ROWS($J$2:J635),$J$2:$J$1001,0),0), INDEX($Q$1004:$U$1004,1,MATCH(COLUMNS($Q$1006:Q1006),$Q$1006:$U$1006,0)))),"Fix")))</f>
        <v xml:space="preserve"> </v>
      </c>
      <c r="C635" s="3" t="str">
        <f ca="1">IF(OR(INDEX($K$2:$K$1001,MATCH(ROWS($J$2:J635),$J$2:$J$1001,0),1)&gt;=100000,INDEX($Q$1005:$U$1005,1,MATCH(COLUMNS($Q$1006:R1006),$Q$1006:$U$1006,0))&gt;=100000), " ",IF(INDEX($Q$2:$U$1001,MATCH(ROWS($J$2:J635),$J$2:$J$1001,0),MATCH(COLUMNS($Q$1006:R1006),$Q$1006:$U$1006,0)), HYPERLINK("#",""), HYPERLINK(CONCATENATE("#Metadata!", ADDRESS(INDEX($L$2:$L$1001,MATCH(ROWS($J$2:J635),$J$2:$J$1001,0),0), INDEX($Q$1004:$U$1004,1,MATCH(COLUMNS($Q$1006:R1006),$Q$1006:$U$1006,0)))),"Fix")))</f>
        <v xml:space="preserve"> </v>
      </c>
      <c r="D635" s="3" t="str">
        <f ca="1">IF(OR(INDEX($K$2:$K$1001,MATCH(ROWS($J$2:J635),$J$2:$J$1001,0),1)&gt;=100000,INDEX($Q$1005:$U$1005,1,MATCH(COLUMNS($Q$1006:S1006),$Q$1006:$U$1006,0))&gt;=100000), " ",IF(INDEX($Q$2:$U$1001,MATCH(ROWS($J$2:J635),$J$2:$J$1001,0),MATCH(COLUMNS($Q$1006:S1006),$Q$1006:$U$1006,0)), HYPERLINK("#",""), HYPERLINK(CONCATENATE("#Metadata!", ADDRESS(INDEX($L$2:$L$1001,MATCH(ROWS($J$2:J635),$J$2:$J$1001,0),0), INDEX($Q$1004:$U$1004,1,MATCH(COLUMNS($Q$1006:S1006),$Q$1006:$U$1006,0)))),"Fix")))</f>
        <v xml:space="preserve"> </v>
      </c>
      <c r="E635" s="3" t="str">
        <f ca="1">IF(OR(INDEX($K$2:$K$1001,MATCH(ROWS($J$2:J635),$J$2:$J$1001,0),1)&gt;=100000,INDEX($Q$1005:$U$1005,1,MATCH(COLUMNS($Q$1006:T1006),$Q$1006:$U$1006,0))&gt;=100000), " ",IF(INDEX($Q$2:$U$1001,MATCH(ROWS($J$2:J635),$J$2:$J$1001,0),MATCH(COLUMNS($Q$1006:T1006),$Q$1006:$U$1006,0)), HYPERLINK("#",""), HYPERLINK(CONCATENATE("#Metadata!", ADDRESS(INDEX($L$2:$L$1001,MATCH(ROWS($J$2:J635),$J$2:$J$1001,0),0), INDEX($Q$1004:$U$1004,1,MATCH(COLUMNS($Q$1006:T1006),$Q$1006:$U$1006,0)))),"Fix")))</f>
        <v xml:space="preserve"> </v>
      </c>
      <c r="F635" s="3" t="str">
        <f ca="1">IF(OR(INDEX($K$2:$K$1001,MATCH(ROWS($J$2:J635),$J$2:$J$1001,0),1)&gt;=100000,INDEX($Q$1005:$U$1005,1,MATCH(COLUMNS($Q$1006:U1006),$Q$1006:$U$1006,0))&gt;=100000), " ",IF(INDEX($Q$2:$U$1001,MATCH(ROWS($J$2:J635),$J$2:$J$1001,0),MATCH(COLUMNS($Q$1006:U1006),$Q$1006:$U$1006,0)), HYPERLINK("#",""), HYPERLINK(CONCATENATE("#Metadata!", ADDRESS(INDEX($L$2:$L$1001,MATCH(ROWS($J$2:J635),$J$2:$J$1001,0),0), INDEX($Q$1004:$U$1004,1,MATCH(COLUMNS($Q$1006:U1006),$Q$1006:$U$1006,0)))),"Fix")))</f>
        <v xml:space="preserve"> </v>
      </c>
      <c r="J635">
        <f ca="1"/>
        <v>634</v>
      </c>
      <c r="K635">
        <v>100635</v>
      </c>
      <c r="L635">
        <v>635</v>
      </c>
      <c r="M635" t="b">
        <f t="shared" si="9"/>
        <v>1</v>
      </c>
      <c r="N635" t="b">
        <f>COUNTBLANK(Metadata!B635:F635)=COLUMNS(Metadata!B635:F635)</f>
        <v>1</v>
      </c>
      <c r="O635" t="str">
        <v/>
      </c>
      <c r="Q635" t="b">
        <f ca="1"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R635" t="b">
        <f>IF(Metadata!C635="",FALSE,TRUE)</f>
        <v>0</v>
      </c>
      <c r="S635" t="b">
        <f>OR(AND(IF(Metadata!D635="",FALSE,TRUE),EXACT(Metadata!D635,"missing: not collected")),AND(IF(Metadata!D635="",FALSE,TRUE),OR(EXACT(Metadata!D635,"t"),EXACT(Metadata!D635,"f"))))</f>
        <v>0</v>
      </c>
      <c r="T635" t="b">
        <f>AND(IF(Metadata!E635="",FALSE,TRUE),OR(EXACT(Metadata!E635,"a"),EXACT(Metadata!E635,"b")))</f>
        <v>0</v>
      </c>
      <c r="U635" t="b">
        <f>OR(AND(IF(Metadata!F635="",FALSE,TRUE),OR(EXACT(Metadata!F635,"missing: not collected"),EXACT(Metadata!F635,"missing: not provided"))),AND(IF(Metadata!F635="",FALSE,TRUE),OR(EXACT(Metadata!F635,"lo"),EXACT(Metadata!F635,"med"),EXACT(Metadata!F635,"hi"))))</f>
        <v>0</v>
      </c>
    </row>
    <row r="636" spans="1:21" x14ac:dyDescent="0.2">
      <c r="A636" s="4" t="str">
        <f ca="1">IF(B636=" "," ",HYPERLINK(CONCATENATE("#metadata!",ADDRESS(INDEX($L$2:$L$1001,MATCH(ROWS($J$2:J636),$J$2:$J$1001,0),0),1)),INDEX($O$2:$O$1001,MATCH(ROWS($J$2:J636),$J$2:$J$1001,0),0)))</f>
        <v xml:space="preserve"> </v>
      </c>
      <c r="B636" s="3" t="str">
        <f ca="1">IF(OR(INDEX($K$2:$K$1001,MATCH(ROWS($J$2:J636),$J$2:$J$1001,0),1)&gt;=100000,INDEX($Q$1005:$U$1005,1,MATCH(COLUMNS($Q$1006:Q1006),$Q$1006:$U$1006,0))&gt;=100000), " ",IF(INDEX($Q$2:$U$1001,MATCH(ROWS($J$2:J636),$J$2:$J$1001,0),MATCH(COLUMNS($Q$1006:Q1006),$Q$1006:$U$1006,0)), HYPERLINK("#",""), HYPERLINK(CONCATENATE("#Metadata!", ADDRESS(INDEX($L$2:$L$1001,MATCH(ROWS($J$2:J636),$J$2:$J$1001,0),0), INDEX($Q$1004:$U$1004,1,MATCH(COLUMNS($Q$1006:Q1006),$Q$1006:$U$1006,0)))),"Fix")))</f>
        <v xml:space="preserve"> </v>
      </c>
      <c r="C636" s="3" t="str">
        <f ca="1">IF(OR(INDEX($K$2:$K$1001,MATCH(ROWS($J$2:J636),$J$2:$J$1001,0),1)&gt;=100000,INDEX($Q$1005:$U$1005,1,MATCH(COLUMNS($Q$1006:R1006),$Q$1006:$U$1006,0))&gt;=100000), " ",IF(INDEX($Q$2:$U$1001,MATCH(ROWS($J$2:J636),$J$2:$J$1001,0),MATCH(COLUMNS($Q$1006:R1006),$Q$1006:$U$1006,0)), HYPERLINK("#",""), HYPERLINK(CONCATENATE("#Metadata!", ADDRESS(INDEX($L$2:$L$1001,MATCH(ROWS($J$2:J636),$J$2:$J$1001,0),0), INDEX($Q$1004:$U$1004,1,MATCH(COLUMNS($Q$1006:R1006),$Q$1006:$U$1006,0)))),"Fix")))</f>
        <v xml:space="preserve"> </v>
      </c>
      <c r="D636" s="3" t="str">
        <f ca="1">IF(OR(INDEX($K$2:$K$1001,MATCH(ROWS($J$2:J636),$J$2:$J$1001,0),1)&gt;=100000,INDEX($Q$1005:$U$1005,1,MATCH(COLUMNS($Q$1006:S1006),$Q$1006:$U$1006,0))&gt;=100000), " ",IF(INDEX($Q$2:$U$1001,MATCH(ROWS($J$2:J636),$J$2:$J$1001,0),MATCH(COLUMNS($Q$1006:S1006),$Q$1006:$U$1006,0)), HYPERLINK("#",""), HYPERLINK(CONCATENATE("#Metadata!", ADDRESS(INDEX($L$2:$L$1001,MATCH(ROWS($J$2:J636),$J$2:$J$1001,0),0), INDEX($Q$1004:$U$1004,1,MATCH(COLUMNS($Q$1006:S1006),$Q$1006:$U$1006,0)))),"Fix")))</f>
        <v xml:space="preserve"> </v>
      </c>
      <c r="E636" s="3" t="str">
        <f ca="1">IF(OR(INDEX($K$2:$K$1001,MATCH(ROWS($J$2:J636),$J$2:$J$1001,0),1)&gt;=100000,INDEX($Q$1005:$U$1005,1,MATCH(COLUMNS($Q$1006:T1006),$Q$1006:$U$1006,0))&gt;=100000), " ",IF(INDEX($Q$2:$U$1001,MATCH(ROWS($J$2:J636),$J$2:$J$1001,0),MATCH(COLUMNS($Q$1006:T1006),$Q$1006:$U$1006,0)), HYPERLINK("#",""), HYPERLINK(CONCATENATE("#Metadata!", ADDRESS(INDEX($L$2:$L$1001,MATCH(ROWS($J$2:J636),$J$2:$J$1001,0),0), INDEX($Q$1004:$U$1004,1,MATCH(COLUMNS($Q$1006:T1006),$Q$1006:$U$1006,0)))),"Fix")))</f>
        <v xml:space="preserve"> </v>
      </c>
      <c r="F636" s="3" t="str">
        <f ca="1">IF(OR(INDEX($K$2:$K$1001,MATCH(ROWS($J$2:J636),$J$2:$J$1001,0),1)&gt;=100000,INDEX($Q$1005:$U$1005,1,MATCH(COLUMNS($Q$1006:U1006),$Q$1006:$U$1006,0))&gt;=100000), " ",IF(INDEX($Q$2:$U$1001,MATCH(ROWS($J$2:J636),$J$2:$J$1001,0),MATCH(COLUMNS($Q$1006:U1006),$Q$1006:$U$1006,0)), HYPERLINK("#",""), HYPERLINK(CONCATENATE("#Metadata!", ADDRESS(INDEX($L$2:$L$1001,MATCH(ROWS($J$2:J636),$J$2:$J$1001,0),0), INDEX($Q$1004:$U$1004,1,MATCH(COLUMNS($Q$1006:U1006),$Q$1006:$U$1006,0)))),"Fix")))</f>
        <v xml:space="preserve"> </v>
      </c>
      <c r="J636">
        <f ca="1"/>
        <v>635</v>
      </c>
      <c r="K636">
        <v>100636</v>
      </c>
      <c r="L636">
        <v>636</v>
      </c>
      <c r="M636" t="b">
        <f t="shared" si="9"/>
        <v>1</v>
      </c>
      <c r="N636" t="b">
        <f>COUNTBLANK(Metadata!B636:F636)=COLUMNS(Metadata!B636:F636)</f>
        <v>1</v>
      </c>
      <c r="O636" t="str">
        <v/>
      </c>
      <c r="Q636" t="b">
        <f ca="1"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R636" t="b">
        <f>IF(Metadata!C636="",FALSE,TRUE)</f>
        <v>0</v>
      </c>
      <c r="S636" t="b">
        <f>OR(AND(IF(Metadata!D636="",FALSE,TRUE),EXACT(Metadata!D636,"missing: not collected")),AND(IF(Metadata!D636="",FALSE,TRUE),OR(EXACT(Metadata!D636,"t"),EXACT(Metadata!D636,"f"))))</f>
        <v>0</v>
      </c>
      <c r="T636" t="b">
        <f>AND(IF(Metadata!E636="",FALSE,TRUE),OR(EXACT(Metadata!E636,"a"),EXACT(Metadata!E636,"b")))</f>
        <v>0</v>
      </c>
      <c r="U636" t="b">
        <f>OR(AND(IF(Metadata!F636="",FALSE,TRUE),OR(EXACT(Metadata!F636,"missing: not collected"),EXACT(Metadata!F636,"missing: not provided"))),AND(IF(Metadata!F636="",FALSE,TRUE),OR(EXACT(Metadata!F636,"lo"),EXACT(Metadata!F636,"med"),EXACT(Metadata!F636,"hi"))))</f>
        <v>0</v>
      </c>
    </row>
    <row r="637" spans="1:21" x14ac:dyDescent="0.2">
      <c r="A637" s="4" t="str">
        <f ca="1">IF(B637=" "," ",HYPERLINK(CONCATENATE("#metadata!",ADDRESS(INDEX($L$2:$L$1001,MATCH(ROWS($J$2:J637),$J$2:$J$1001,0),0),1)),INDEX($O$2:$O$1001,MATCH(ROWS($J$2:J637),$J$2:$J$1001,0),0)))</f>
        <v xml:space="preserve"> </v>
      </c>
      <c r="B637" s="3" t="str">
        <f ca="1">IF(OR(INDEX($K$2:$K$1001,MATCH(ROWS($J$2:J637),$J$2:$J$1001,0),1)&gt;=100000,INDEX($Q$1005:$U$1005,1,MATCH(COLUMNS($Q$1006:Q1006),$Q$1006:$U$1006,0))&gt;=100000), " ",IF(INDEX($Q$2:$U$1001,MATCH(ROWS($J$2:J637),$J$2:$J$1001,0),MATCH(COLUMNS($Q$1006:Q1006),$Q$1006:$U$1006,0)), HYPERLINK("#",""), HYPERLINK(CONCATENATE("#Metadata!", ADDRESS(INDEX($L$2:$L$1001,MATCH(ROWS($J$2:J637),$J$2:$J$1001,0),0), INDEX($Q$1004:$U$1004,1,MATCH(COLUMNS($Q$1006:Q1006),$Q$1006:$U$1006,0)))),"Fix")))</f>
        <v xml:space="preserve"> </v>
      </c>
      <c r="C637" s="3" t="str">
        <f ca="1">IF(OR(INDEX($K$2:$K$1001,MATCH(ROWS($J$2:J637),$J$2:$J$1001,0),1)&gt;=100000,INDEX($Q$1005:$U$1005,1,MATCH(COLUMNS($Q$1006:R1006),$Q$1006:$U$1006,0))&gt;=100000), " ",IF(INDEX($Q$2:$U$1001,MATCH(ROWS($J$2:J637),$J$2:$J$1001,0),MATCH(COLUMNS($Q$1006:R1006),$Q$1006:$U$1006,0)), HYPERLINK("#",""), HYPERLINK(CONCATENATE("#Metadata!", ADDRESS(INDEX($L$2:$L$1001,MATCH(ROWS($J$2:J637),$J$2:$J$1001,0),0), INDEX($Q$1004:$U$1004,1,MATCH(COLUMNS($Q$1006:R1006),$Q$1006:$U$1006,0)))),"Fix")))</f>
        <v xml:space="preserve"> </v>
      </c>
      <c r="D637" s="3" t="str">
        <f ca="1">IF(OR(INDEX($K$2:$K$1001,MATCH(ROWS($J$2:J637),$J$2:$J$1001,0),1)&gt;=100000,INDEX($Q$1005:$U$1005,1,MATCH(COLUMNS($Q$1006:S1006),$Q$1006:$U$1006,0))&gt;=100000), " ",IF(INDEX($Q$2:$U$1001,MATCH(ROWS($J$2:J637),$J$2:$J$1001,0),MATCH(COLUMNS($Q$1006:S1006),$Q$1006:$U$1006,0)), HYPERLINK("#",""), HYPERLINK(CONCATENATE("#Metadata!", ADDRESS(INDEX($L$2:$L$1001,MATCH(ROWS($J$2:J637),$J$2:$J$1001,0),0), INDEX($Q$1004:$U$1004,1,MATCH(COLUMNS($Q$1006:S1006),$Q$1006:$U$1006,0)))),"Fix")))</f>
        <v xml:space="preserve"> </v>
      </c>
      <c r="E637" s="3" t="str">
        <f ca="1">IF(OR(INDEX($K$2:$K$1001,MATCH(ROWS($J$2:J637),$J$2:$J$1001,0),1)&gt;=100000,INDEX($Q$1005:$U$1005,1,MATCH(COLUMNS($Q$1006:T1006),$Q$1006:$U$1006,0))&gt;=100000), " ",IF(INDEX($Q$2:$U$1001,MATCH(ROWS($J$2:J637),$J$2:$J$1001,0),MATCH(COLUMNS($Q$1006:T1006),$Q$1006:$U$1006,0)), HYPERLINK("#",""), HYPERLINK(CONCATENATE("#Metadata!", ADDRESS(INDEX($L$2:$L$1001,MATCH(ROWS($J$2:J637),$J$2:$J$1001,0),0), INDEX($Q$1004:$U$1004,1,MATCH(COLUMNS($Q$1006:T1006),$Q$1006:$U$1006,0)))),"Fix")))</f>
        <v xml:space="preserve"> </v>
      </c>
      <c r="F637" s="3" t="str">
        <f ca="1">IF(OR(INDEX($K$2:$K$1001,MATCH(ROWS($J$2:J637),$J$2:$J$1001,0),1)&gt;=100000,INDEX($Q$1005:$U$1005,1,MATCH(COLUMNS($Q$1006:U1006),$Q$1006:$U$1006,0))&gt;=100000), " ",IF(INDEX($Q$2:$U$1001,MATCH(ROWS($J$2:J637),$J$2:$J$1001,0),MATCH(COLUMNS($Q$1006:U1006),$Q$1006:$U$1006,0)), HYPERLINK("#",""), HYPERLINK(CONCATENATE("#Metadata!", ADDRESS(INDEX($L$2:$L$1001,MATCH(ROWS($J$2:J637),$J$2:$J$1001,0),0), INDEX($Q$1004:$U$1004,1,MATCH(COLUMNS($Q$1006:U1006),$Q$1006:$U$1006,0)))),"Fix")))</f>
        <v xml:space="preserve"> </v>
      </c>
      <c r="J637">
        <f ca="1"/>
        <v>636</v>
      </c>
      <c r="K637">
        <v>100637</v>
      </c>
      <c r="L637">
        <v>637</v>
      </c>
      <c r="M637" t="b">
        <f t="shared" si="9"/>
        <v>1</v>
      </c>
      <c r="N637" t="b">
        <f>COUNTBLANK(Metadata!B637:F637)=COLUMNS(Metadata!B637:F637)</f>
        <v>1</v>
      </c>
      <c r="O637" t="str">
        <v/>
      </c>
      <c r="Q637" t="b">
        <f ca="1"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R637" t="b">
        <f>IF(Metadata!C637="",FALSE,TRUE)</f>
        <v>0</v>
      </c>
      <c r="S637" t="b">
        <f>OR(AND(IF(Metadata!D637="",FALSE,TRUE),EXACT(Metadata!D637,"missing: not collected")),AND(IF(Metadata!D637="",FALSE,TRUE),OR(EXACT(Metadata!D637,"t"),EXACT(Metadata!D637,"f"))))</f>
        <v>0</v>
      </c>
      <c r="T637" t="b">
        <f>AND(IF(Metadata!E637="",FALSE,TRUE),OR(EXACT(Metadata!E637,"a"),EXACT(Metadata!E637,"b")))</f>
        <v>0</v>
      </c>
      <c r="U637" t="b">
        <f>OR(AND(IF(Metadata!F637="",FALSE,TRUE),OR(EXACT(Metadata!F637,"missing: not collected"),EXACT(Metadata!F637,"missing: not provided"))),AND(IF(Metadata!F637="",FALSE,TRUE),OR(EXACT(Metadata!F637,"lo"),EXACT(Metadata!F637,"med"),EXACT(Metadata!F637,"hi"))))</f>
        <v>0</v>
      </c>
    </row>
    <row r="638" spans="1:21" x14ac:dyDescent="0.2">
      <c r="A638" s="4" t="str">
        <f ca="1">IF(B638=" "," ",HYPERLINK(CONCATENATE("#metadata!",ADDRESS(INDEX($L$2:$L$1001,MATCH(ROWS($J$2:J638),$J$2:$J$1001,0),0),1)),INDEX($O$2:$O$1001,MATCH(ROWS($J$2:J638),$J$2:$J$1001,0),0)))</f>
        <v xml:space="preserve"> </v>
      </c>
      <c r="B638" s="3" t="str">
        <f ca="1">IF(OR(INDEX($K$2:$K$1001,MATCH(ROWS($J$2:J638),$J$2:$J$1001,0),1)&gt;=100000,INDEX($Q$1005:$U$1005,1,MATCH(COLUMNS($Q$1006:Q1006),$Q$1006:$U$1006,0))&gt;=100000), " ",IF(INDEX($Q$2:$U$1001,MATCH(ROWS($J$2:J638),$J$2:$J$1001,0),MATCH(COLUMNS($Q$1006:Q1006),$Q$1006:$U$1006,0)), HYPERLINK("#",""), HYPERLINK(CONCATENATE("#Metadata!", ADDRESS(INDEX($L$2:$L$1001,MATCH(ROWS($J$2:J638),$J$2:$J$1001,0),0), INDEX($Q$1004:$U$1004,1,MATCH(COLUMNS($Q$1006:Q1006),$Q$1006:$U$1006,0)))),"Fix")))</f>
        <v xml:space="preserve"> </v>
      </c>
      <c r="C638" s="3" t="str">
        <f ca="1">IF(OR(INDEX($K$2:$K$1001,MATCH(ROWS($J$2:J638),$J$2:$J$1001,0),1)&gt;=100000,INDEX($Q$1005:$U$1005,1,MATCH(COLUMNS($Q$1006:R1006),$Q$1006:$U$1006,0))&gt;=100000), " ",IF(INDEX($Q$2:$U$1001,MATCH(ROWS($J$2:J638),$J$2:$J$1001,0),MATCH(COLUMNS($Q$1006:R1006),$Q$1006:$U$1006,0)), HYPERLINK("#",""), HYPERLINK(CONCATENATE("#Metadata!", ADDRESS(INDEX($L$2:$L$1001,MATCH(ROWS($J$2:J638),$J$2:$J$1001,0),0), INDEX($Q$1004:$U$1004,1,MATCH(COLUMNS($Q$1006:R1006),$Q$1006:$U$1006,0)))),"Fix")))</f>
        <v xml:space="preserve"> </v>
      </c>
      <c r="D638" s="3" t="str">
        <f ca="1">IF(OR(INDEX($K$2:$K$1001,MATCH(ROWS($J$2:J638),$J$2:$J$1001,0),1)&gt;=100000,INDEX($Q$1005:$U$1005,1,MATCH(COLUMNS($Q$1006:S1006),$Q$1006:$U$1006,0))&gt;=100000), " ",IF(INDEX($Q$2:$U$1001,MATCH(ROWS($J$2:J638),$J$2:$J$1001,0),MATCH(COLUMNS($Q$1006:S1006),$Q$1006:$U$1006,0)), HYPERLINK("#",""), HYPERLINK(CONCATENATE("#Metadata!", ADDRESS(INDEX($L$2:$L$1001,MATCH(ROWS($J$2:J638),$J$2:$J$1001,0),0), INDEX($Q$1004:$U$1004,1,MATCH(COLUMNS($Q$1006:S1006),$Q$1006:$U$1006,0)))),"Fix")))</f>
        <v xml:space="preserve"> </v>
      </c>
      <c r="E638" s="3" t="str">
        <f ca="1">IF(OR(INDEX($K$2:$K$1001,MATCH(ROWS($J$2:J638),$J$2:$J$1001,0),1)&gt;=100000,INDEX($Q$1005:$U$1005,1,MATCH(COLUMNS($Q$1006:T1006),$Q$1006:$U$1006,0))&gt;=100000), " ",IF(INDEX($Q$2:$U$1001,MATCH(ROWS($J$2:J638),$J$2:$J$1001,0),MATCH(COLUMNS($Q$1006:T1006),$Q$1006:$U$1006,0)), HYPERLINK("#",""), HYPERLINK(CONCATENATE("#Metadata!", ADDRESS(INDEX($L$2:$L$1001,MATCH(ROWS($J$2:J638),$J$2:$J$1001,0),0), INDEX($Q$1004:$U$1004,1,MATCH(COLUMNS($Q$1006:T1006),$Q$1006:$U$1006,0)))),"Fix")))</f>
        <v xml:space="preserve"> </v>
      </c>
      <c r="F638" s="3" t="str">
        <f ca="1">IF(OR(INDEX($K$2:$K$1001,MATCH(ROWS($J$2:J638),$J$2:$J$1001,0),1)&gt;=100000,INDEX($Q$1005:$U$1005,1,MATCH(COLUMNS($Q$1006:U1006),$Q$1006:$U$1006,0))&gt;=100000), " ",IF(INDEX($Q$2:$U$1001,MATCH(ROWS($J$2:J638),$J$2:$J$1001,0),MATCH(COLUMNS($Q$1006:U1006),$Q$1006:$U$1006,0)), HYPERLINK("#",""), HYPERLINK(CONCATENATE("#Metadata!", ADDRESS(INDEX($L$2:$L$1001,MATCH(ROWS($J$2:J638),$J$2:$J$1001,0),0), INDEX($Q$1004:$U$1004,1,MATCH(COLUMNS($Q$1006:U1006),$Q$1006:$U$1006,0)))),"Fix")))</f>
        <v xml:space="preserve"> </v>
      </c>
      <c r="J638">
        <f ca="1"/>
        <v>637</v>
      </c>
      <c r="K638">
        <v>100638</v>
      </c>
      <c r="L638">
        <v>638</v>
      </c>
      <c r="M638" t="b">
        <f t="shared" si="9"/>
        <v>1</v>
      </c>
      <c r="N638" t="b">
        <f>COUNTBLANK(Metadata!B638:F638)=COLUMNS(Metadata!B638:F638)</f>
        <v>1</v>
      </c>
      <c r="O638" t="str">
        <v/>
      </c>
      <c r="Q638" t="b">
        <f ca="1"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R638" t="b">
        <f>IF(Metadata!C638="",FALSE,TRUE)</f>
        <v>0</v>
      </c>
      <c r="S638" t="b">
        <f>OR(AND(IF(Metadata!D638="",FALSE,TRUE),EXACT(Metadata!D638,"missing: not collected")),AND(IF(Metadata!D638="",FALSE,TRUE),OR(EXACT(Metadata!D638,"t"),EXACT(Metadata!D638,"f"))))</f>
        <v>0</v>
      </c>
      <c r="T638" t="b">
        <f>AND(IF(Metadata!E638="",FALSE,TRUE),OR(EXACT(Metadata!E638,"a"),EXACT(Metadata!E638,"b")))</f>
        <v>0</v>
      </c>
      <c r="U638" t="b">
        <f>OR(AND(IF(Metadata!F638="",FALSE,TRUE),OR(EXACT(Metadata!F638,"missing: not collected"),EXACT(Metadata!F638,"missing: not provided"))),AND(IF(Metadata!F638="",FALSE,TRUE),OR(EXACT(Metadata!F638,"lo"),EXACT(Metadata!F638,"med"),EXACT(Metadata!F638,"hi"))))</f>
        <v>0</v>
      </c>
    </row>
    <row r="639" spans="1:21" x14ac:dyDescent="0.2">
      <c r="A639" s="4" t="str">
        <f ca="1">IF(B639=" "," ",HYPERLINK(CONCATENATE("#metadata!",ADDRESS(INDEX($L$2:$L$1001,MATCH(ROWS($J$2:J639),$J$2:$J$1001,0),0),1)),INDEX($O$2:$O$1001,MATCH(ROWS($J$2:J639),$J$2:$J$1001,0),0)))</f>
        <v xml:space="preserve"> </v>
      </c>
      <c r="B639" s="3" t="str">
        <f ca="1">IF(OR(INDEX($K$2:$K$1001,MATCH(ROWS($J$2:J639),$J$2:$J$1001,0),1)&gt;=100000,INDEX($Q$1005:$U$1005,1,MATCH(COLUMNS($Q$1006:Q1006),$Q$1006:$U$1006,0))&gt;=100000), " ",IF(INDEX($Q$2:$U$1001,MATCH(ROWS($J$2:J639),$J$2:$J$1001,0),MATCH(COLUMNS($Q$1006:Q1006),$Q$1006:$U$1006,0)), HYPERLINK("#",""), HYPERLINK(CONCATENATE("#Metadata!", ADDRESS(INDEX($L$2:$L$1001,MATCH(ROWS($J$2:J639),$J$2:$J$1001,0),0), INDEX($Q$1004:$U$1004,1,MATCH(COLUMNS($Q$1006:Q1006),$Q$1006:$U$1006,0)))),"Fix")))</f>
        <v xml:space="preserve"> </v>
      </c>
      <c r="C639" s="3" t="str">
        <f ca="1">IF(OR(INDEX($K$2:$K$1001,MATCH(ROWS($J$2:J639),$J$2:$J$1001,0),1)&gt;=100000,INDEX($Q$1005:$U$1005,1,MATCH(COLUMNS($Q$1006:R1006),$Q$1006:$U$1006,0))&gt;=100000), " ",IF(INDEX($Q$2:$U$1001,MATCH(ROWS($J$2:J639),$J$2:$J$1001,0),MATCH(COLUMNS($Q$1006:R1006),$Q$1006:$U$1006,0)), HYPERLINK("#",""), HYPERLINK(CONCATENATE("#Metadata!", ADDRESS(INDEX($L$2:$L$1001,MATCH(ROWS($J$2:J639),$J$2:$J$1001,0),0), INDEX($Q$1004:$U$1004,1,MATCH(COLUMNS($Q$1006:R1006),$Q$1006:$U$1006,0)))),"Fix")))</f>
        <v xml:space="preserve"> </v>
      </c>
      <c r="D639" s="3" t="str">
        <f ca="1">IF(OR(INDEX($K$2:$K$1001,MATCH(ROWS($J$2:J639),$J$2:$J$1001,0),1)&gt;=100000,INDEX($Q$1005:$U$1005,1,MATCH(COLUMNS($Q$1006:S1006),$Q$1006:$U$1006,0))&gt;=100000), " ",IF(INDEX($Q$2:$U$1001,MATCH(ROWS($J$2:J639),$J$2:$J$1001,0),MATCH(COLUMNS($Q$1006:S1006),$Q$1006:$U$1006,0)), HYPERLINK("#",""), HYPERLINK(CONCATENATE("#Metadata!", ADDRESS(INDEX($L$2:$L$1001,MATCH(ROWS($J$2:J639),$J$2:$J$1001,0),0), INDEX($Q$1004:$U$1004,1,MATCH(COLUMNS($Q$1006:S1006),$Q$1006:$U$1006,0)))),"Fix")))</f>
        <v xml:space="preserve"> </v>
      </c>
      <c r="E639" s="3" t="str">
        <f ca="1">IF(OR(INDEX($K$2:$K$1001,MATCH(ROWS($J$2:J639),$J$2:$J$1001,0),1)&gt;=100000,INDEX($Q$1005:$U$1005,1,MATCH(COLUMNS($Q$1006:T1006),$Q$1006:$U$1006,0))&gt;=100000), " ",IF(INDEX($Q$2:$U$1001,MATCH(ROWS($J$2:J639),$J$2:$J$1001,0),MATCH(COLUMNS($Q$1006:T1006),$Q$1006:$U$1006,0)), HYPERLINK("#",""), HYPERLINK(CONCATENATE("#Metadata!", ADDRESS(INDEX($L$2:$L$1001,MATCH(ROWS($J$2:J639),$J$2:$J$1001,0),0), INDEX($Q$1004:$U$1004,1,MATCH(COLUMNS($Q$1006:T1006),$Q$1006:$U$1006,0)))),"Fix")))</f>
        <v xml:space="preserve"> </v>
      </c>
      <c r="F639" s="3" t="str">
        <f ca="1">IF(OR(INDEX($K$2:$K$1001,MATCH(ROWS($J$2:J639),$J$2:$J$1001,0),1)&gt;=100000,INDEX($Q$1005:$U$1005,1,MATCH(COLUMNS($Q$1006:U1006),$Q$1006:$U$1006,0))&gt;=100000), " ",IF(INDEX($Q$2:$U$1001,MATCH(ROWS($J$2:J639),$J$2:$J$1001,0),MATCH(COLUMNS($Q$1006:U1006),$Q$1006:$U$1006,0)), HYPERLINK("#",""), HYPERLINK(CONCATENATE("#Metadata!", ADDRESS(INDEX($L$2:$L$1001,MATCH(ROWS($J$2:J639),$J$2:$J$1001,0),0), INDEX($Q$1004:$U$1004,1,MATCH(COLUMNS($Q$1006:U1006),$Q$1006:$U$1006,0)))),"Fix")))</f>
        <v xml:space="preserve"> </v>
      </c>
      <c r="J639">
        <f ca="1"/>
        <v>638</v>
      </c>
      <c r="K639">
        <v>100639</v>
      </c>
      <c r="L639">
        <v>639</v>
      </c>
      <c r="M639" t="b">
        <f t="shared" si="9"/>
        <v>1</v>
      </c>
      <c r="N639" t="b">
        <f>COUNTBLANK(Metadata!B639:F639)=COLUMNS(Metadata!B639:F639)</f>
        <v>1</v>
      </c>
      <c r="O639" t="str">
        <v/>
      </c>
      <c r="Q639" t="b">
        <f ca="1"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R639" t="b">
        <f>IF(Metadata!C639="",FALSE,TRUE)</f>
        <v>0</v>
      </c>
      <c r="S639" t="b">
        <f>OR(AND(IF(Metadata!D639="",FALSE,TRUE),EXACT(Metadata!D639,"missing: not collected")),AND(IF(Metadata!D639="",FALSE,TRUE),OR(EXACT(Metadata!D639,"t"),EXACT(Metadata!D639,"f"))))</f>
        <v>0</v>
      </c>
      <c r="T639" t="b">
        <f>AND(IF(Metadata!E639="",FALSE,TRUE),OR(EXACT(Metadata!E639,"a"),EXACT(Metadata!E639,"b")))</f>
        <v>0</v>
      </c>
      <c r="U639" t="b">
        <f>OR(AND(IF(Metadata!F639="",FALSE,TRUE),OR(EXACT(Metadata!F639,"missing: not collected"),EXACT(Metadata!F639,"missing: not provided"))),AND(IF(Metadata!F639="",FALSE,TRUE),OR(EXACT(Metadata!F639,"lo"),EXACT(Metadata!F639,"med"),EXACT(Metadata!F639,"hi"))))</f>
        <v>0</v>
      </c>
    </row>
    <row r="640" spans="1:21" x14ac:dyDescent="0.2">
      <c r="A640" s="4" t="str">
        <f ca="1">IF(B640=" "," ",HYPERLINK(CONCATENATE("#metadata!",ADDRESS(INDEX($L$2:$L$1001,MATCH(ROWS($J$2:J640),$J$2:$J$1001,0),0),1)),INDEX($O$2:$O$1001,MATCH(ROWS($J$2:J640),$J$2:$J$1001,0),0)))</f>
        <v xml:space="preserve"> </v>
      </c>
      <c r="B640" s="3" t="str">
        <f ca="1">IF(OR(INDEX($K$2:$K$1001,MATCH(ROWS($J$2:J640),$J$2:$J$1001,0),1)&gt;=100000,INDEX($Q$1005:$U$1005,1,MATCH(COLUMNS($Q$1006:Q1006),$Q$1006:$U$1006,0))&gt;=100000), " ",IF(INDEX($Q$2:$U$1001,MATCH(ROWS($J$2:J640),$J$2:$J$1001,0),MATCH(COLUMNS($Q$1006:Q1006),$Q$1006:$U$1006,0)), HYPERLINK("#",""), HYPERLINK(CONCATENATE("#Metadata!", ADDRESS(INDEX($L$2:$L$1001,MATCH(ROWS($J$2:J640),$J$2:$J$1001,0),0), INDEX($Q$1004:$U$1004,1,MATCH(COLUMNS($Q$1006:Q1006),$Q$1006:$U$1006,0)))),"Fix")))</f>
        <v xml:space="preserve"> </v>
      </c>
      <c r="C640" s="3" t="str">
        <f ca="1">IF(OR(INDEX($K$2:$K$1001,MATCH(ROWS($J$2:J640),$J$2:$J$1001,0),1)&gt;=100000,INDEX($Q$1005:$U$1005,1,MATCH(COLUMNS($Q$1006:R1006),$Q$1006:$U$1006,0))&gt;=100000), " ",IF(INDEX($Q$2:$U$1001,MATCH(ROWS($J$2:J640),$J$2:$J$1001,0),MATCH(COLUMNS($Q$1006:R1006),$Q$1006:$U$1006,0)), HYPERLINK("#",""), HYPERLINK(CONCATENATE("#Metadata!", ADDRESS(INDEX($L$2:$L$1001,MATCH(ROWS($J$2:J640),$J$2:$J$1001,0),0), INDEX($Q$1004:$U$1004,1,MATCH(COLUMNS($Q$1006:R1006),$Q$1006:$U$1006,0)))),"Fix")))</f>
        <v xml:space="preserve"> </v>
      </c>
      <c r="D640" s="3" t="str">
        <f ca="1">IF(OR(INDEX($K$2:$K$1001,MATCH(ROWS($J$2:J640),$J$2:$J$1001,0),1)&gt;=100000,INDEX($Q$1005:$U$1005,1,MATCH(COLUMNS($Q$1006:S1006),$Q$1006:$U$1006,0))&gt;=100000), " ",IF(INDEX($Q$2:$U$1001,MATCH(ROWS($J$2:J640),$J$2:$J$1001,0),MATCH(COLUMNS($Q$1006:S1006),$Q$1006:$U$1006,0)), HYPERLINK("#",""), HYPERLINK(CONCATENATE("#Metadata!", ADDRESS(INDEX($L$2:$L$1001,MATCH(ROWS($J$2:J640),$J$2:$J$1001,0),0), INDEX($Q$1004:$U$1004,1,MATCH(COLUMNS($Q$1006:S1006),$Q$1006:$U$1006,0)))),"Fix")))</f>
        <v xml:space="preserve"> </v>
      </c>
      <c r="E640" s="3" t="str">
        <f ca="1">IF(OR(INDEX($K$2:$K$1001,MATCH(ROWS($J$2:J640),$J$2:$J$1001,0),1)&gt;=100000,INDEX($Q$1005:$U$1005,1,MATCH(COLUMNS($Q$1006:T1006),$Q$1006:$U$1006,0))&gt;=100000), " ",IF(INDEX($Q$2:$U$1001,MATCH(ROWS($J$2:J640),$J$2:$J$1001,0),MATCH(COLUMNS($Q$1006:T1006),$Q$1006:$U$1006,0)), HYPERLINK("#",""), HYPERLINK(CONCATENATE("#Metadata!", ADDRESS(INDEX($L$2:$L$1001,MATCH(ROWS($J$2:J640),$J$2:$J$1001,0),0), INDEX($Q$1004:$U$1004,1,MATCH(COLUMNS($Q$1006:T1006),$Q$1006:$U$1006,0)))),"Fix")))</f>
        <v xml:space="preserve"> </v>
      </c>
      <c r="F640" s="3" t="str">
        <f ca="1">IF(OR(INDEX($K$2:$K$1001,MATCH(ROWS($J$2:J640),$J$2:$J$1001,0),1)&gt;=100000,INDEX($Q$1005:$U$1005,1,MATCH(COLUMNS($Q$1006:U1006),$Q$1006:$U$1006,0))&gt;=100000), " ",IF(INDEX($Q$2:$U$1001,MATCH(ROWS($J$2:J640),$J$2:$J$1001,0),MATCH(COLUMNS($Q$1006:U1006),$Q$1006:$U$1006,0)), HYPERLINK("#",""), HYPERLINK(CONCATENATE("#Metadata!", ADDRESS(INDEX($L$2:$L$1001,MATCH(ROWS($J$2:J640),$J$2:$J$1001,0),0), INDEX($Q$1004:$U$1004,1,MATCH(COLUMNS($Q$1006:U1006),$Q$1006:$U$1006,0)))),"Fix")))</f>
        <v xml:space="preserve"> </v>
      </c>
      <c r="J640">
        <f ca="1"/>
        <v>639</v>
      </c>
      <c r="K640">
        <v>100640</v>
      </c>
      <c r="L640">
        <v>640</v>
      </c>
      <c r="M640" t="b">
        <f t="shared" si="9"/>
        <v>1</v>
      </c>
      <c r="N640" t="b">
        <f>COUNTBLANK(Metadata!B640:F640)=COLUMNS(Metadata!B640:F640)</f>
        <v>1</v>
      </c>
      <c r="O640" t="str">
        <v/>
      </c>
      <c r="Q640" t="b">
        <f ca="1"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R640" t="b">
        <f>IF(Metadata!C640="",FALSE,TRUE)</f>
        <v>0</v>
      </c>
      <c r="S640" t="b">
        <f>OR(AND(IF(Metadata!D640="",FALSE,TRUE),EXACT(Metadata!D640,"missing: not collected")),AND(IF(Metadata!D640="",FALSE,TRUE),OR(EXACT(Metadata!D640,"t"),EXACT(Metadata!D640,"f"))))</f>
        <v>0</v>
      </c>
      <c r="T640" t="b">
        <f>AND(IF(Metadata!E640="",FALSE,TRUE),OR(EXACT(Metadata!E640,"a"),EXACT(Metadata!E640,"b")))</f>
        <v>0</v>
      </c>
      <c r="U640" t="b">
        <f>OR(AND(IF(Metadata!F640="",FALSE,TRUE),OR(EXACT(Metadata!F640,"missing: not collected"),EXACT(Metadata!F640,"missing: not provided"))),AND(IF(Metadata!F640="",FALSE,TRUE),OR(EXACT(Metadata!F640,"lo"),EXACT(Metadata!F640,"med"),EXACT(Metadata!F640,"hi"))))</f>
        <v>0</v>
      </c>
    </row>
    <row r="641" spans="1:21" x14ac:dyDescent="0.2">
      <c r="A641" s="4" t="str">
        <f ca="1">IF(B641=" "," ",HYPERLINK(CONCATENATE("#metadata!",ADDRESS(INDEX($L$2:$L$1001,MATCH(ROWS($J$2:J641),$J$2:$J$1001,0),0),1)),INDEX($O$2:$O$1001,MATCH(ROWS($J$2:J641),$J$2:$J$1001,0),0)))</f>
        <v xml:space="preserve"> </v>
      </c>
      <c r="B641" s="3" t="str">
        <f ca="1">IF(OR(INDEX($K$2:$K$1001,MATCH(ROWS($J$2:J641),$J$2:$J$1001,0),1)&gt;=100000,INDEX($Q$1005:$U$1005,1,MATCH(COLUMNS($Q$1006:Q1006),$Q$1006:$U$1006,0))&gt;=100000), " ",IF(INDEX($Q$2:$U$1001,MATCH(ROWS($J$2:J641),$J$2:$J$1001,0),MATCH(COLUMNS($Q$1006:Q1006),$Q$1006:$U$1006,0)), HYPERLINK("#",""), HYPERLINK(CONCATENATE("#Metadata!", ADDRESS(INDEX($L$2:$L$1001,MATCH(ROWS($J$2:J641),$J$2:$J$1001,0),0), INDEX($Q$1004:$U$1004,1,MATCH(COLUMNS($Q$1006:Q1006),$Q$1006:$U$1006,0)))),"Fix")))</f>
        <v xml:space="preserve"> </v>
      </c>
      <c r="C641" s="3" t="str">
        <f ca="1">IF(OR(INDEX($K$2:$K$1001,MATCH(ROWS($J$2:J641),$J$2:$J$1001,0),1)&gt;=100000,INDEX($Q$1005:$U$1005,1,MATCH(COLUMNS($Q$1006:R1006),$Q$1006:$U$1006,0))&gt;=100000), " ",IF(INDEX($Q$2:$U$1001,MATCH(ROWS($J$2:J641),$J$2:$J$1001,0),MATCH(COLUMNS($Q$1006:R1006),$Q$1006:$U$1006,0)), HYPERLINK("#",""), HYPERLINK(CONCATENATE("#Metadata!", ADDRESS(INDEX($L$2:$L$1001,MATCH(ROWS($J$2:J641),$J$2:$J$1001,0),0), INDEX($Q$1004:$U$1004,1,MATCH(COLUMNS($Q$1006:R1006),$Q$1006:$U$1006,0)))),"Fix")))</f>
        <v xml:space="preserve"> </v>
      </c>
      <c r="D641" s="3" t="str">
        <f ca="1">IF(OR(INDEX($K$2:$K$1001,MATCH(ROWS($J$2:J641),$J$2:$J$1001,0),1)&gt;=100000,INDEX($Q$1005:$U$1005,1,MATCH(COLUMNS($Q$1006:S1006),$Q$1006:$U$1006,0))&gt;=100000), " ",IF(INDEX($Q$2:$U$1001,MATCH(ROWS($J$2:J641),$J$2:$J$1001,0),MATCH(COLUMNS($Q$1006:S1006),$Q$1006:$U$1006,0)), HYPERLINK("#",""), HYPERLINK(CONCATENATE("#Metadata!", ADDRESS(INDEX($L$2:$L$1001,MATCH(ROWS($J$2:J641),$J$2:$J$1001,0),0), INDEX($Q$1004:$U$1004,1,MATCH(COLUMNS($Q$1006:S1006),$Q$1006:$U$1006,0)))),"Fix")))</f>
        <v xml:space="preserve"> </v>
      </c>
      <c r="E641" s="3" t="str">
        <f ca="1">IF(OR(INDEX($K$2:$K$1001,MATCH(ROWS($J$2:J641),$J$2:$J$1001,0),1)&gt;=100000,INDEX($Q$1005:$U$1005,1,MATCH(COLUMNS($Q$1006:T1006),$Q$1006:$U$1006,0))&gt;=100000), " ",IF(INDEX($Q$2:$U$1001,MATCH(ROWS($J$2:J641),$J$2:$J$1001,0),MATCH(COLUMNS($Q$1006:T1006),$Q$1006:$U$1006,0)), HYPERLINK("#",""), HYPERLINK(CONCATENATE("#Metadata!", ADDRESS(INDEX($L$2:$L$1001,MATCH(ROWS($J$2:J641),$J$2:$J$1001,0),0), INDEX($Q$1004:$U$1004,1,MATCH(COLUMNS($Q$1006:T1006),$Q$1006:$U$1006,0)))),"Fix")))</f>
        <v xml:space="preserve"> </v>
      </c>
      <c r="F641" s="3" t="str">
        <f ca="1">IF(OR(INDEX($K$2:$K$1001,MATCH(ROWS($J$2:J641),$J$2:$J$1001,0),1)&gt;=100000,INDEX($Q$1005:$U$1005,1,MATCH(COLUMNS($Q$1006:U1006),$Q$1006:$U$1006,0))&gt;=100000), " ",IF(INDEX($Q$2:$U$1001,MATCH(ROWS($J$2:J641),$J$2:$J$1001,0),MATCH(COLUMNS($Q$1006:U1006),$Q$1006:$U$1006,0)), HYPERLINK("#",""), HYPERLINK(CONCATENATE("#Metadata!", ADDRESS(INDEX($L$2:$L$1001,MATCH(ROWS($J$2:J641),$J$2:$J$1001,0),0), INDEX($Q$1004:$U$1004,1,MATCH(COLUMNS($Q$1006:U1006),$Q$1006:$U$1006,0)))),"Fix")))</f>
        <v xml:space="preserve"> </v>
      </c>
      <c r="J641">
        <f ca="1"/>
        <v>640</v>
      </c>
      <c r="K641">
        <v>100641</v>
      </c>
      <c r="L641">
        <v>641</v>
      </c>
      <c r="M641" t="b">
        <f t="shared" si="9"/>
        <v>1</v>
      </c>
      <c r="N641" t="b">
        <f>COUNTBLANK(Metadata!B641:F641)=COLUMNS(Metadata!B641:F641)</f>
        <v>1</v>
      </c>
      <c r="O641" t="str">
        <v/>
      </c>
      <c r="Q641" t="b">
        <f ca="1"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R641" t="b">
        <f>IF(Metadata!C641="",FALSE,TRUE)</f>
        <v>0</v>
      </c>
      <c r="S641" t="b">
        <f>OR(AND(IF(Metadata!D641="",FALSE,TRUE),EXACT(Metadata!D641,"missing: not collected")),AND(IF(Metadata!D641="",FALSE,TRUE),OR(EXACT(Metadata!D641,"t"),EXACT(Metadata!D641,"f"))))</f>
        <v>0</v>
      </c>
      <c r="T641" t="b">
        <f>AND(IF(Metadata!E641="",FALSE,TRUE),OR(EXACT(Metadata!E641,"a"),EXACT(Metadata!E641,"b")))</f>
        <v>0</v>
      </c>
      <c r="U641" t="b">
        <f>OR(AND(IF(Metadata!F641="",FALSE,TRUE),OR(EXACT(Metadata!F641,"missing: not collected"),EXACT(Metadata!F641,"missing: not provided"))),AND(IF(Metadata!F641="",FALSE,TRUE),OR(EXACT(Metadata!F641,"lo"),EXACT(Metadata!F641,"med"),EXACT(Metadata!F641,"hi"))))</f>
        <v>0</v>
      </c>
    </row>
    <row r="642" spans="1:21" x14ac:dyDescent="0.2">
      <c r="A642" s="4" t="str">
        <f ca="1">IF(B642=" "," ",HYPERLINK(CONCATENATE("#metadata!",ADDRESS(INDEX($L$2:$L$1001,MATCH(ROWS($J$2:J642),$J$2:$J$1001,0),0),1)),INDEX($O$2:$O$1001,MATCH(ROWS($J$2:J642),$J$2:$J$1001,0),0)))</f>
        <v xml:space="preserve"> </v>
      </c>
      <c r="B642" s="3" t="str">
        <f ca="1">IF(OR(INDEX($K$2:$K$1001,MATCH(ROWS($J$2:J642),$J$2:$J$1001,0),1)&gt;=100000,INDEX($Q$1005:$U$1005,1,MATCH(COLUMNS($Q$1006:Q1006),$Q$1006:$U$1006,0))&gt;=100000), " ",IF(INDEX($Q$2:$U$1001,MATCH(ROWS($J$2:J642),$J$2:$J$1001,0),MATCH(COLUMNS($Q$1006:Q1006),$Q$1006:$U$1006,0)), HYPERLINK("#",""), HYPERLINK(CONCATENATE("#Metadata!", ADDRESS(INDEX($L$2:$L$1001,MATCH(ROWS($J$2:J642),$J$2:$J$1001,0),0), INDEX($Q$1004:$U$1004,1,MATCH(COLUMNS($Q$1006:Q1006),$Q$1006:$U$1006,0)))),"Fix")))</f>
        <v xml:space="preserve"> </v>
      </c>
      <c r="C642" s="3" t="str">
        <f ca="1">IF(OR(INDEX($K$2:$K$1001,MATCH(ROWS($J$2:J642),$J$2:$J$1001,0),1)&gt;=100000,INDEX($Q$1005:$U$1005,1,MATCH(COLUMNS($Q$1006:R1006),$Q$1006:$U$1006,0))&gt;=100000), " ",IF(INDEX($Q$2:$U$1001,MATCH(ROWS($J$2:J642),$J$2:$J$1001,0),MATCH(COLUMNS($Q$1006:R1006),$Q$1006:$U$1006,0)), HYPERLINK("#",""), HYPERLINK(CONCATENATE("#Metadata!", ADDRESS(INDEX($L$2:$L$1001,MATCH(ROWS($J$2:J642),$J$2:$J$1001,0),0), INDEX($Q$1004:$U$1004,1,MATCH(COLUMNS($Q$1006:R1006),$Q$1006:$U$1006,0)))),"Fix")))</f>
        <v xml:space="preserve"> </v>
      </c>
      <c r="D642" s="3" t="str">
        <f ca="1">IF(OR(INDEX($K$2:$K$1001,MATCH(ROWS($J$2:J642),$J$2:$J$1001,0),1)&gt;=100000,INDEX($Q$1005:$U$1005,1,MATCH(COLUMNS($Q$1006:S1006),$Q$1006:$U$1006,0))&gt;=100000), " ",IF(INDEX($Q$2:$U$1001,MATCH(ROWS($J$2:J642),$J$2:$J$1001,0),MATCH(COLUMNS($Q$1006:S1006),$Q$1006:$U$1006,0)), HYPERLINK("#",""), HYPERLINK(CONCATENATE("#Metadata!", ADDRESS(INDEX($L$2:$L$1001,MATCH(ROWS($J$2:J642),$J$2:$J$1001,0),0), INDEX($Q$1004:$U$1004,1,MATCH(COLUMNS($Q$1006:S1006),$Q$1006:$U$1006,0)))),"Fix")))</f>
        <v xml:space="preserve"> </v>
      </c>
      <c r="E642" s="3" t="str">
        <f ca="1">IF(OR(INDEX($K$2:$K$1001,MATCH(ROWS($J$2:J642),$J$2:$J$1001,0),1)&gt;=100000,INDEX($Q$1005:$U$1005,1,MATCH(COLUMNS($Q$1006:T1006),$Q$1006:$U$1006,0))&gt;=100000), " ",IF(INDEX($Q$2:$U$1001,MATCH(ROWS($J$2:J642),$J$2:$J$1001,0),MATCH(COLUMNS($Q$1006:T1006),$Q$1006:$U$1006,0)), HYPERLINK("#",""), HYPERLINK(CONCATENATE("#Metadata!", ADDRESS(INDEX($L$2:$L$1001,MATCH(ROWS($J$2:J642),$J$2:$J$1001,0),0), INDEX($Q$1004:$U$1004,1,MATCH(COLUMNS($Q$1006:T1006),$Q$1006:$U$1006,0)))),"Fix")))</f>
        <v xml:space="preserve"> </v>
      </c>
      <c r="F642" s="3" t="str">
        <f ca="1">IF(OR(INDEX($K$2:$K$1001,MATCH(ROWS($J$2:J642),$J$2:$J$1001,0),1)&gt;=100000,INDEX($Q$1005:$U$1005,1,MATCH(COLUMNS($Q$1006:U1006),$Q$1006:$U$1006,0))&gt;=100000), " ",IF(INDEX($Q$2:$U$1001,MATCH(ROWS($J$2:J642),$J$2:$J$1001,0),MATCH(COLUMNS($Q$1006:U1006),$Q$1006:$U$1006,0)), HYPERLINK("#",""), HYPERLINK(CONCATENATE("#Metadata!", ADDRESS(INDEX($L$2:$L$1001,MATCH(ROWS($J$2:J642),$J$2:$J$1001,0),0), INDEX($Q$1004:$U$1004,1,MATCH(COLUMNS($Q$1006:U1006),$Q$1006:$U$1006,0)))),"Fix")))</f>
        <v xml:space="preserve"> </v>
      </c>
      <c r="J642">
        <f ca="1"/>
        <v>641</v>
      </c>
      <c r="K642">
        <v>100642</v>
      </c>
      <c r="L642">
        <v>642</v>
      </c>
      <c r="M642" t="b">
        <f t="shared" ref="M642:M705" si="10">IF(N642,TRUE,AND(Q642:U642))</f>
        <v>1</v>
      </c>
      <c r="N642" t="b">
        <f>COUNTBLANK(Metadata!B642:F642)=COLUMNS(Metadata!B642:F642)</f>
        <v>1</v>
      </c>
      <c r="O642" t="str">
        <v/>
      </c>
      <c r="Q642" t="b">
        <f ca="1"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R642" t="b">
        <f>IF(Metadata!C642="",FALSE,TRUE)</f>
        <v>0</v>
      </c>
      <c r="S642" t="b">
        <f>OR(AND(IF(Metadata!D642="",FALSE,TRUE),EXACT(Metadata!D642,"missing: not collected")),AND(IF(Metadata!D642="",FALSE,TRUE),OR(EXACT(Metadata!D642,"t"),EXACT(Metadata!D642,"f"))))</f>
        <v>0</v>
      </c>
      <c r="T642" t="b">
        <f>AND(IF(Metadata!E642="",FALSE,TRUE),OR(EXACT(Metadata!E642,"a"),EXACT(Metadata!E642,"b")))</f>
        <v>0</v>
      </c>
      <c r="U642" t="b">
        <f>OR(AND(IF(Metadata!F642="",FALSE,TRUE),OR(EXACT(Metadata!F642,"missing: not collected"),EXACT(Metadata!F642,"missing: not provided"))),AND(IF(Metadata!F642="",FALSE,TRUE),OR(EXACT(Metadata!F642,"lo"),EXACT(Metadata!F642,"med"),EXACT(Metadata!F642,"hi"))))</f>
        <v>0</v>
      </c>
    </row>
    <row r="643" spans="1:21" x14ac:dyDescent="0.2">
      <c r="A643" s="4" t="str">
        <f ca="1">IF(B643=" "," ",HYPERLINK(CONCATENATE("#metadata!",ADDRESS(INDEX($L$2:$L$1001,MATCH(ROWS($J$2:J643),$J$2:$J$1001,0),0),1)),INDEX($O$2:$O$1001,MATCH(ROWS($J$2:J643),$J$2:$J$1001,0),0)))</f>
        <v xml:space="preserve"> </v>
      </c>
      <c r="B643" s="3" t="str">
        <f ca="1">IF(OR(INDEX($K$2:$K$1001,MATCH(ROWS($J$2:J643),$J$2:$J$1001,0),1)&gt;=100000,INDEX($Q$1005:$U$1005,1,MATCH(COLUMNS($Q$1006:Q1006),$Q$1006:$U$1006,0))&gt;=100000), " ",IF(INDEX($Q$2:$U$1001,MATCH(ROWS($J$2:J643),$J$2:$J$1001,0),MATCH(COLUMNS($Q$1006:Q1006),$Q$1006:$U$1006,0)), HYPERLINK("#",""), HYPERLINK(CONCATENATE("#Metadata!", ADDRESS(INDEX($L$2:$L$1001,MATCH(ROWS($J$2:J643),$J$2:$J$1001,0),0), INDEX($Q$1004:$U$1004,1,MATCH(COLUMNS($Q$1006:Q1006),$Q$1006:$U$1006,0)))),"Fix")))</f>
        <v xml:space="preserve"> </v>
      </c>
      <c r="C643" s="3" t="str">
        <f ca="1">IF(OR(INDEX($K$2:$K$1001,MATCH(ROWS($J$2:J643),$J$2:$J$1001,0),1)&gt;=100000,INDEX($Q$1005:$U$1005,1,MATCH(COLUMNS($Q$1006:R1006),$Q$1006:$U$1006,0))&gt;=100000), " ",IF(INDEX($Q$2:$U$1001,MATCH(ROWS($J$2:J643),$J$2:$J$1001,0),MATCH(COLUMNS($Q$1006:R1006),$Q$1006:$U$1006,0)), HYPERLINK("#",""), HYPERLINK(CONCATENATE("#Metadata!", ADDRESS(INDEX($L$2:$L$1001,MATCH(ROWS($J$2:J643),$J$2:$J$1001,0),0), INDEX($Q$1004:$U$1004,1,MATCH(COLUMNS($Q$1006:R1006),$Q$1006:$U$1006,0)))),"Fix")))</f>
        <v xml:space="preserve"> </v>
      </c>
      <c r="D643" s="3" t="str">
        <f ca="1">IF(OR(INDEX($K$2:$K$1001,MATCH(ROWS($J$2:J643),$J$2:$J$1001,0),1)&gt;=100000,INDEX($Q$1005:$U$1005,1,MATCH(COLUMNS($Q$1006:S1006),$Q$1006:$U$1006,0))&gt;=100000), " ",IF(INDEX($Q$2:$U$1001,MATCH(ROWS($J$2:J643),$J$2:$J$1001,0),MATCH(COLUMNS($Q$1006:S1006),$Q$1006:$U$1006,0)), HYPERLINK("#",""), HYPERLINK(CONCATENATE("#Metadata!", ADDRESS(INDEX($L$2:$L$1001,MATCH(ROWS($J$2:J643),$J$2:$J$1001,0),0), INDEX($Q$1004:$U$1004,1,MATCH(COLUMNS($Q$1006:S1006),$Q$1006:$U$1006,0)))),"Fix")))</f>
        <v xml:space="preserve"> </v>
      </c>
      <c r="E643" s="3" t="str">
        <f ca="1">IF(OR(INDEX($K$2:$K$1001,MATCH(ROWS($J$2:J643),$J$2:$J$1001,0),1)&gt;=100000,INDEX($Q$1005:$U$1005,1,MATCH(COLUMNS($Q$1006:T1006),$Q$1006:$U$1006,0))&gt;=100000), " ",IF(INDEX($Q$2:$U$1001,MATCH(ROWS($J$2:J643),$J$2:$J$1001,0),MATCH(COLUMNS($Q$1006:T1006),$Q$1006:$U$1006,0)), HYPERLINK("#",""), HYPERLINK(CONCATENATE("#Metadata!", ADDRESS(INDEX($L$2:$L$1001,MATCH(ROWS($J$2:J643),$J$2:$J$1001,0),0), INDEX($Q$1004:$U$1004,1,MATCH(COLUMNS($Q$1006:T1006),$Q$1006:$U$1006,0)))),"Fix")))</f>
        <v xml:space="preserve"> </v>
      </c>
      <c r="F643" s="3" t="str">
        <f ca="1">IF(OR(INDEX($K$2:$K$1001,MATCH(ROWS($J$2:J643),$J$2:$J$1001,0),1)&gt;=100000,INDEX($Q$1005:$U$1005,1,MATCH(COLUMNS($Q$1006:U1006),$Q$1006:$U$1006,0))&gt;=100000), " ",IF(INDEX($Q$2:$U$1001,MATCH(ROWS($J$2:J643),$J$2:$J$1001,0),MATCH(COLUMNS($Q$1006:U1006),$Q$1006:$U$1006,0)), HYPERLINK("#",""), HYPERLINK(CONCATENATE("#Metadata!", ADDRESS(INDEX($L$2:$L$1001,MATCH(ROWS($J$2:J643),$J$2:$J$1001,0),0), INDEX($Q$1004:$U$1004,1,MATCH(COLUMNS($Q$1006:U1006),$Q$1006:$U$1006,0)))),"Fix")))</f>
        <v xml:space="preserve"> </v>
      </c>
      <c r="J643">
        <f ca="1"/>
        <v>642</v>
      </c>
      <c r="K643">
        <v>100643</v>
      </c>
      <c r="L643">
        <v>643</v>
      </c>
      <c r="M643" t="b">
        <f t="shared" si="10"/>
        <v>1</v>
      </c>
      <c r="N643" t="b">
        <f>COUNTBLANK(Metadata!B643:F643)=COLUMNS(Metadata!B643:F643)</f>
        <v>1</v>
      </c>
      <c r="O643" t="str">
        <v/>
      </c>
      <c r="Q643" t="b">
        <f ca="1"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R643" t="b">
        <f>IF(Metadata!C643="",FALSE,TRUE)</f>
        <v>0</v>
      </c>
      <c r="S643" t="b">
        <f>OR(AND(IF(Metadata!D643="",FALSE,TRUE),EXACT(Metadata!D643,"missing: not collected")),AND(IF(Metadata!D643="",FALSE,TRUE),OR(EXACT(Metadata!D643,"t"),EXACT(Metadata!D643,"f"))))</f>
        <v>0</v>
      </c>
      <c r="T643" t="b">
        <f>AND(IF(Metadata!E643="",FALSE,TRUE),OR(EXACT(Metadata!E643,"a"),EXACT(Metadata!E643,"b")))</f>
        <v>0</v>
      </c>
      <c r="U643" t="b">
        <f>OR(AND(IF(Metadata!F643="",FALSE,TRUE),OR(EXACT(Metadata!F643,"missing: not collected"),EXACT(Metadata!F643,"missing: not provided"))),AND(IF(Metadata!F643="",FALSE,TRUE),OR(EXACT(Metadata!F643,"lo"),EXACT(Metadata!F643,"med"),EXACT(Metadata!F643,"hi"))))</f>
        <v>0</v>
      </c>
    </row>
    <row r="644" spans="1:21" x14ac:dyDescent="0.2">
      <c r="A644" s="4" t="str">
        <f ca="1">IF(B644=" "," ",HYPERLINK(CONCATENATE("#metadata!",ADDRESS(INDEX($L$2:$L$1001,MATCH(ROWS($J$2:J644),$J$2:$J$1001,0),0),1)),INDEX($O$2:$O$1001,MATCH(ROWS($J$2:J644),$J$2:$J$1001,0),0)))</f>
        <v xml:space="preserve"> </v>
      </c>
      <c r="B644" s="3" t="str">
        <f ca="1">IF(OR(INDEX($K$2:$K$1001,MATCH(ROWS($J$2:J644),$J$2:$J$1001,0),1)&gt;=100000,INDEX($Q$1005:$U$1005,1,MATCH(COLUMNS($Q$1006:Q1006),$Q$1006:$U$1006,0))&gt;=100000), " ",IF(INDEX($Q$2:$U$1001,MATCH(ROWS($J$2:J644),$J$2:$J$1001,0),MATCH(COLUMNS($Q$1006:Q1006),$Q$1006:$U$1006,0)), HYPERLINK("#",""), HYPERLINK(CONCATENATE("#Metadata!", ADDRESS(INDEX($L$2:$L$1001,MATCH(ROWS($J$2:J644),$J$2:$J$1001,0),0), INDEX($Q$1004:$U$1004,1,MATCH(COLUMNS($Q$1006:Q1006),$Q$1006:$U$1006,0)))),"Fix")))</f>
        <v xml:space="preserve"> </v>
      </c>
      <c r="C644" s="3" t="str">
        <f ca="1">IF(OR(INDEX($K$2:$K$1001,MATCH(ROWS($J$2:J644),$J$2:$J$1001,0),1)&gt;=100000,INDEX($Q$1005:$U$1005,1,MATCH(COLUMNS($Q$1006:R1006),$Q$1006:$U$1006,0))&gt;=100000), " ",IF(INDEX($Q$2:$U$1001,MATCH(ROWS($J$2:J644),$J$2:$J$1001,0),MATCH(COLUMNS($Q$1006:R1006),$Q$1006:$U$1006,0)), HYPERLINK("#",""), HYPERLINK(CONCATENATE("#Metadata!", ADDRESS(INDEX($L$2:$L$1001,MATCH(ROWS($J$2:J644),$J$2:$J$1001,0),0), INDEX($Q$1004:$U$1004,1,MATCH(COLUMNS($Q$1006:R1006),$Q$1006:$U$1006,0)))),"Fix")))</f>
        <v xml:space="preserve"> </v>
      </c>
      <c r="D644" s="3" t="str">
        <f ca="1">IF(OR(INDEX($K$2:$K$1001,MATCH(ROWS($J$2:J644),$J$2:$J$1001,0),1)&gt;=100000,INDEX($Q$1005:$U$1005,1,MATCH(COLUMNS($Q$1006:S1006),$Q$1006:$U$1006,0))&gt;=100000), " ",IF(INDEX($Q$2:$U$1001,MATCH(ROWS($J$2:J644),$J$2:$J$1001,0),MATCH(COLUMNS($Q$1006:S1006),$Q$1006:$U$1006,0)), HYPERLINK("#",""), HYPERLINK(CONCATENATE("#Metadata!", ADDRESS(INDEX($L$2:$L$1001,MATCH(ROWS($J$2:J644),$J$2:$J$1001,0),0), INDEX($Q$1004:$U$1004,1,MATCH(COLUMNS($Q$1006:S1006),$Q$1006:$U$1006,0)))),"Fix")))</f>
        <v xml:space="preserve"> </v>
      </c>
      <c r="E644" s="3" t="str">
        <f ca="1">IF(OR(INDEX($K$2:$K$1001,MATCH(ROWS($J$2:J644),$J$2:$J$1001,0),1)&gt;=100000,INDEX($Q$1005:$U$1005,1,MATCH(COLUMNS($Q$1006:T1006),$Q$1006:$U$1006,0))&gt;=100000), " ",IF(INDEX($Q$2:$U$1001,MATCH(ROWS($J$2:J644),$J$2:$J$1001,0),MATCH(COLUMNS($Q$1006:T1006),$Q$1006:$U$1006,0)), HYPERLINK("#",""), HYPERLINK(CONCATENATE("#Metadata!", ADDRESS(INDEX($L$2:$L$1001,MATCH(ROWS($J$2:J644),$J$2:$J$1001,0),0), INDEX($Q$1004:$U$1004,1,MATCH(COLUMNS($Q$1006:T1006),$Q$1006:$U$1006,0)))),"Fix")))</f>
        <v xml:space="preserve"> </v>
      </c>
      <c r="F644" s="3" t="str">
        <f ca="1">IF(OR(INDEX($K$2:$K$1001,MATCH(ROWS($J$2:J644),$J$2:$J$1001,0),1)&gt;=100000,INDEX($Q$1005:$U$1005,1,MATCH(COLUMNS($Q$1006:U1006),$Q$1006:$U$1006,0))&gt;=100000), " ",IF(INDEX($Q$2:$U$1001,MATCH(ROWS($J$2:J644),$J$2:$J$1001,0),MATCH(COLUMNS($Q$1006:U1006),$Q$1006:$U$1006,0)), HYPERLINK("#",""), HYPERLINK(CONCATENATE("#Metadata!", ADDRESS(INDEX($L$2:$L$1001,MATCH(ROWS($J$2:J644),$J$2:$J$1001,0),0), INDEX($Q$1004:$U$1004,1,MATCH(COLUMNS($Q$1006:U1006),$Q$1006:$U$1006,0)))),"Fix")))</f>
        <v xml:space="preserve"> </v>
      </c>
      <c r="J644">
        <f ca="1"/>
        <v>643</v>
      </c>
      <c r="K644">
        <v>100644</v>
      </c>
      <c r="L644">
        <v>644</v>
      </c>
      <c r="M644" t="b">
        <f t="shared" si="10"/>
        <v>1</v>
      </c>
      <c r="N644" t="b">
        <f>COUNTBLANK(Metadata!B644:F644)=COLUMNS(Metadata!B644:F644)</f>
        <v>1</v>
      </c>
      <c r="O644" t="str">
        <v/>
      </c>
      <c r="Q644" t="b">
        <f ca="1"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R644" t="b">
        <f>IF(Metadata!C644="",FALSE,TRUE)</f>
        <v>0</v>
      </c>
      <c r="S644" t="b">
        <f>OR(AND(IF(Metadata!D644="",FALSE,TRUE),EXACT(Metadata!D644,"missing: not collected")),AND(IF(Metadata!D644="",FALSE,TRUE),OR(EXACT(Metadata!D644,"t"),EXACT(Metadata!D644,"f"))))</f>
        <v>0</v>
      </c>
      <c r="T644" t="b">
        <f>AND(IF(Metadata!E644="",FALSE,TRUE),OR(EXACT(Metadata!E644,"a"),EXACT(Metadata!E644,"b")))</f>
        <v>0</v>
      </c>
      <c r="U644" t="b">
        <f>OR(AND(IF(Metadata!F644="",FALSE,TRUE),OR(EXACT(Metadata!F644,"missing: not collected"),EXACT(Metadata!F644,"missing: not provided"))),AND(IF(Metadata!F644="",FALSE,TRUE),OR(EXACT(Metadata!F644,"lo"),EXACT(Metadata!F644,"med"),EXACT(Metadata!F644,"hi"))))</f>
        <v>0</v>
      </c>
    </row>
    <row r="645" spans="1:21" x14ac:dyDescent="0.2">
      <c r="A645" s="4" t="str">
        <f ca="1">IF(B645=" "," ",HYPERLINK(CONCATENATE("#metadata!",ADDRESS(INDEX($L$2:$L$1001,MATCH(ROWS($J$2:J645),$J$2:$J$1001,0),0),1)),INDEX($O$2:$O$1001,MATCH(ROWS($J$2:J645),$J$2:$J$1001,0),0)))</f>
        <v xml:space="preserve"> </v>
      </c>
      <c r="B645" s="3" t="str">
        <f ca="1">IF(OR(INDEX($K$2:$K$1001,MATCH(ROWS($J$2:J645),$J$2:$J$1001,0),1)&gt;=100000,INDEX($Q$1005:$U$1005,1,MATCH(COLUMNS($Q$1006:Q1006),$Q$1006:$U$1006,0))&gt;=100000), " ",IF(INDEX($Q$2:$U$1001,MATCH(ROWS($J$2:J645),$J$2:$J$1001,0),MATCH(COLUMNS($Q$1006:Q1006),$Q$1006:$U$1006,0)), HYPERLINK("#",""), HYPERLINK(CONCATENATE("#Metadata!", ADDRESS(INDEX($L$2:$L$1001,MATCH(ROWS($J$2:J645),$J$2:$J$1001,0),0), INDEX($Q$1004:$U$1004,1,MATCH(COLUMNS($Q$1006:Q1006),$Q$1006:$U$1006,0)))),"Fix")))</f>
        <v xml:space="preserve"> </v>
      </c>
      <c r="C645" s="3" t="str">
        <f ca="1">IF(OR(INDEX($K$2:$K$1001,MATCH(ROWS($J$2:J645),$J$2:$J$1001,0),1)&gt;=100000,INDEX($Q$1005:$U$1005,1,MATCH(COLUMNS($Q$1006:R1006),$Q$1006:$U$1006,0))&gt;=100000), " ",IF(INDEX($Q$2:$U$1001,MATCH(ROWS($J$2:J645),$J$2:$J$1001,0),MATCH(COLUMNS($Q$1006:R1006),$Q$1006:$U$1006,0)), HYPERLINK("#",""), HYPERLINK(CONCATENATE("#Metadata!", ADDRESS(INDEX($L$2:$L$1001,MATCH(ROWS($J$2:J645),$J$2:$J$1001,0),0), INDEX($Q$1004:$U$1004,1,MATCH(COLUMNS($Q$1006:R1006),$Q$1006:$U$1006,0)))),"Fix")))</f>
        <v xml:space="preserve"> </v>
      </c>
      <c r="D645" s="3" t="str">
        <f ca="1">IF(OR(INDEX($K$2:$K$1001,MATCH(ROWS($J$2:J645),$J$2:$J$1001,0),1)&gt;=100000,INDEX($Q$1005:$U$1005,1,MATCH(COLUMNS($Q$1006:S1006),$Q$1006:$U$1006,0))&gt;=100000), " ",IF(INDEX($Q$2:$U$1001,MATCH(ROWS($J$2:J645),$J$2:$J$1001,0),MATCH(COLUMNS($Q$1006:S1006),$Q$1006:$U$1006,0)), HYPERLINK("#",""), HYPERLINK(CONCATENATE("#Metadata!", ADDRESS(INDEX($L$2:$L$1001,MATCH(ROWS($J$2:J645),$J$2:$J$1001,0),0), INDEX($Q$1004:$U$1004,1,MATCH(COLUMNS($Q$1006:S1006),$Q$1006:$U$1006,0)))),"Fix")))</f>
        <v xml:space="preserve"> </v>
      </c>
      <c r="E645" s="3" t="str">
        <f ca="1">IF(OR(INDEX($K$2:$K$1001,MATCH(ROWS($J$2:J645),$J$2:$J$1001,0),1)&gt;=100000,INDEX($Q$1005:$U$1005,1,MATCH(COLUMNS($Q$1006:T1006),$Q$1006:$U$1006,0))&gt;=100000), " ",IF(INDEX($Q$2:$U$1001,MATCH(ROWS($J$2:J645),$J$2:$J$1001,0),MATCH(COLUMNS($Q$1006:T1006),$Q$1006:$U$1006,0)), HYPERLINK("#",""), HYPERLINK(CONCATENATE("#Metadata!", ADDRESS(INDEX($L$2:$L$1001,MATCH(ROWS($J$2:J645),$J$2:$J$1001,0),0), INDEX($Q$1004:$U$1004,1,MATCH(COLUMNS($Q$1006:T1006),$Q$1006:$U$1006,0)))),"Fix")))</f>
        <v xml:space="preserve"> </v>
      </c>
      <c r="F645" s="3" t="str">
        <f ca="1">IF(OR(INDEX($K$2:$K$1001,MATCH(ROWS($J$2:J645),$J$2:$J$1001,0),1)&gt;=100000,INDEX($Q$1005:$U$1005,1,MATCH(COLUMNS($Q$1006:U1006),$Q$1006:$U$1006,0))&gt;=100000), " ",IF(INDEX($Q$2:$U$1001,MATCH(ROWS($J$2:J645),$J$2:$J$1001,0),MATCH(COLUMNS($Q$1006:U1006),$Q$1006:$U$1006,0)), HYPERLINK("#",""), HYPERLINK(CONCATENATE("#Metadata!", ADDRESS(INDEX($L$2:$L$1001,MATCH(ROWS($J$2:J645),$J$2:$J$1001,0),0), INDEX($Q$1004:$U$1004,1,MATCH(COLUMNS($Q$1006:U1006),$Q$1006:$U$1006,0)))),"Fix")))</f>
        <v xml:space="preserve"> </v>
      </c>
      <c r="J645">
        <f ca="1"/>
        <v>644</v>
      </c>
      <c r="K645">
        <v>100645</v>
      </c>
      <c r="L645">
        <v>645</v>
      </c>
      <c r="M645" t="b">
        <f t="shared" si="10"/>
        <v>1</v>
      </c>
      <c r="N645" t="b">
        <f>COUNTBLANK(Metadata!B645:F645)=COLUMNS(Metadata!B645:F645)</f>
        <v>1</v>
      </c>
      <c r="O645" t="str">
        <v/>
      </c>
      <c r="Q645" t="b">
        <f ca="1"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R645" t="b">
        <f>IF(Metadata!C645="",FALSE,TRUE)</f>
        <v>0</v>
      </c>
      <c r="S645" t="b">
        <f>OR(AND(IF(Metadata!D645="",FALSE,TRUE),EXACT(Metadata!D645,"missing: not collected")),AND(IF(Metadata!D645="",FALSE,TRUE),OR(EXACT(Metadata!D645,"t"),EXACT(Metadata!D645,"f"))))</f>
        <v>0</v>
      </c>
      <c r="T645" t="b">
        <f>AND(IF(Metadata!E645="",FALSE,TRUE),OR(EXACT(Metadata!E645,"a"),EXACT(Metadata!E645,"b")))</f>
        <v>0</v>
      </c>
      <c r="U645" t="b">
        <f>OR(AND(IF(Metadata!F645="",FALSE,TRUE),OR(EXACT(Metadata!F645,"missing: not collected"),EXACT(Metadata!F645,"missing: not provided"))),AND(IF(Metadata!F645="",FALSE,TRUE),OR(EXACT(Metadata!F645,"lo"),EXACT(Metadata!F645,"med"),EXACT(Metadata!F645,"hi"))))</f>
        <v>0</v>
      </c>
    </row>
    <row r="646" spans="1:21" x14ac:dyDescent="0.2">
      <c r="A646" s="4" t="str">
        <f ca="1">IF(B646=" "," ",HYPERLINK(CONCATENATE("#metadata!",ADDRESS(INDEX($L$2:$L$1001,MATCH(ROWS($J$2:J646),$J$2:$J$1001,0),0),1)),INDEX($O$2:$O$1001,MATCH(ROWS($J$2:J646),$J$2:$J$1001,0),0)))</f>
        <v xml:space="preserve"> </v>
      </c>
      <c r="B646" s="3" t="str">
        <f ca="1">IF(OR(INDEX($K$2:$K$1001,MATCH(ROWS($J$2:J646),$J$2:$J$1001,0),1)&gt;=100000,INDEX($Q$1005:$U$1005,1,MATCH(COLUMNS($Q$1006:Q1006),$Q$1006:$U$1006,0))&gt;=100000), " ",IF(INDEX($Q$2:$U$1001,MATCH(ROWS($J$2:J646),$J$2:$J$1001,0),MATCH(COLUMNS($Q$1006:Q1006),$Q$1006:$U$1006,0)), HYPERLINK("#",""), HYPERLINK(CONCATENATE("#Metadata!", ADDRESS(INDEX($L$2:$L$1001,MATCH(ROWS($J$2:J646),$J$2:$J$1001,0),0), INDEX($Q$1004:$U$1004,1,MATCH(COLUMNS($Q$1006:Q1006),$Q$1006:$U$1006,0)))),"Fix")))</f>
        <v xml:space="preserve"> </v>
      </c>
      <c r="C646" s="3" t="str">
        <f ca="1">IF(OR(INDEX($K$2:$K$1001,MATCH(ROWS($J$2:J646),$J$2:$J$1001,0),1)&gt;=100000,INDEX($Q$1005:$U$1005,1,MATCH(COLUMNS($Q$1006:R1006),$Q$1006:$U$1006,0))&gt;=100000), " ",IF(INDEX($Q$2:$U$1001,MATCH(ROWS($J$2:J646),$J$2:$J$1001,0),MATCH(COLUMNS($Q$1006:R1006),$Q$1006:$U$1006,0)), HYPERLINK("#",""), HYPERLINK(CONCATENATE("#Metadata!", ADDRESS(INDEX($L$2:$L$1001,MATCH(ROWS($J$2:J646),$J$2:$J$1001,0),0), INDEX($Q$1004:$U$1004,1,MATCH(COLUMNS($Q$1006:R1006),$Q$1006:$U$1006,0)))),"Fix")))</f>
        <v xml:space="preserve"> </v>
      </c>
      <c r="D646" s="3" t="str">
        <f ca="1">IF(OR(INDEX($K$2:$K$1001,MATCH(ROWS($J$2:J646),$J$2:$J$1001,0),1)&gt;=100000,INDEX($Q$1005:$U$1005,1,MATCH(COLUMNS($Q$1006:S1006),$Q$1006:$U$1006,0))&gt;=100000), " ",IF(INDEX($Q$2:$U$1001,MATCH(ROWS($J$2:J646),$J$2:$J$1001,0),MATCH(COLUMNS($Q$1006:S1006),$Q$1006:$U$1006,0)), HYPERLINK("#",""), HYPERLINK(CONCATENATE("#Metadata!", ADDRESS(INDEX($L$2:$L$1001,MATCH(ROWS($J$2:J646),$J$2:$J$1001,0),0), INDEX($Q$1004:$U$1004,1,MATCH(COLUMNS($Q$1006:S1006),$Q$1006:$U$1006,0)))),"Fix")))</f>
        <v xml:space="preserve"> </v>
      </c>
      <c r="E646" s="3" t="str">
        <f ca="1">IF(OR(INDEX($K$2:$K$1001,MATCH(ROWS($J$2:J646),$J$2:$J$1001,0),1)&gt;=100000,INDEX($Q$1005:$U$1005,1,MATCH(COLUMNS($Q$1006:T1006),$Q$1006:$U$1006,0))&gt;=100000), " ",IF(INDEX($Q$2:$U$1001,MATCH(ROWS($J$2:J646),$J$2:$J$1001,0),MATCH(COLUMNS($Q$1006:T1006),$Q$1006:$U$1006,0)), HYPERLINK("#",""), HYPERLINK(CONCATENATE("#Metadata!", ADDRESS(INDEX($L$2:$L$1001,MATCH(ROWS($J$2:J646),$J$2:$J$1001,0),0), INDEX($Q$1004:$U$1004,1,MATCH(COLUMNS($Q$1006:T1006),$Q$1006:$U$1006,0)))),"Fix")))</f>
        <v xml:space="preserve"> </v>
      </c>
      <c r="F646" s="3" t="str">
        <f ca="1">IF(OR(INDEX($K$2:$K$1001,MATCH(ROWS($J$2:J646),$J$2:$J$1001,0),1)&gt;=100000,INDEX($Q$1005:$U$1005,1,MATCH(COLUMNS($Q$1006:U1006),$Q$1006:$U$1006,0))&gt;=100000), " ",IF(INDEX($Q$2:$U$1001,MATCH(ROWS($J$2:J646),$J$2:$J$1001,0),MATCH(COLUMNS($Q$1006:U1006),$Q$1006:$U$1006,0)), HYPERLINK("#",""), HYPERLINK(CONCATENATE("#Metadata!", ADDRESS(INDEX($L$2:$L$1001,MATCH(ROWS($J$2:J646),$J$2:$J$1001,0),0), INDEX($Q$1004:$U$1004,1,MATCH(COLUMNS($Q$1006:U1006),$Q$1006:$U$1006,0)))),"Fix")))</f>
        <v xml:space="preserve"> </v>
      </c>
      <c r="J646">
        <f ca="1"/>
        <v>645</v>
      </c>
      <c r="K646">
        <v>100646</v>
      </c>
      <c r="L646">
        <v>646</v>
      </c>
      <c r="M646" t="b">
        <f t="shared" si="10"/>
        <v>1</v>
      </c>
      <c r="N646" t="b">
        <f>COUNTBLANK(Metadata!B646:F646)=COLUMNS(Metadata!B646:F646)</f>
        <v>1</v>
      </c>
      <c r="O646" t="str">
        <v/>
      </c>
      <c r="Q646" t="b">
        <f ca="1"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R646" t="b">
        <f>IF(Metadata!C646="",FALSE,TRUE)</f>
        <v>0</v>
      </c>
      <c r="S646" t="b">
        <f>OR(AND(IF(Metadata!D646="",FALSE,TRUE),EXACT(Metadata!D646,"missing: not collected")),AND(IF(Metadata!D646="",FALSE,TRUE),OR(EXACT(Metadata!D646,"t"),EXACT(Metadata!D646,"f"))))</f>
        <v>0</v>
      </c>
      <c r="T646" t="b">
        <f>AND(IF(Metadata!E646="",FALSE,TRUE),OR(EXACT(Metadata!E646,"a"),EXACT(Metadata!E646,"b")))</f>
        <v>0</v>
      </c>
      <c r="U646" t="b">
        <f>OR(AND(IF(Metadata!F646="",FALSE,TRUE),OR(EXACT(Metadata!F646,"missing: not collected"),EXACT(Metadata!F646,"missing: not provided"))),AND(IF(Metadata!F646="",FALSE,TRUE),OR(EXACT(Metadata!F646,"lo"),EXACT(Metadata!F646,"med"),EXACT(Metadata!F646,"hi"))))</f>
        <v>0</v>
      </c>
    </row>
    <row r="647" spans="1:21" x14ac:dyDescent="0.2">
      <c r="A647" s="4" t="str">
        <f ca="1">IF(B647=" "," ",HYPERLINK(CONCATENATE("#metadata!",ADDRESS(INDEX($L$2:$L$1001,MATCH(ROWS($J$2:J647),$J$2:$J$1001,0),0),1)),INDEX($O$2:$O$1001,MATCH(ROWS($J$2:J647),$J$2:$J$1001,0),0)))</f>
        <v xml:space="preserve"> </v>
      </c>
      <c r="B647" s="3" t="str">
        <f ca="1">IF(OR(INDEX($K$2:$K$1001,MATCH(ROWS($J$2:J647),$J$2:$J$1001,0),1)&gt;=100000,INDEX($Q$1005:$U$1005,1,MATCH(COLUMNS($Q$1006:Q1006),$Q$1006:$U$1006,0))&gt;=100000), " ",IF(INDEX($Q$2:$U$1001,MATCH(ROWS($J$2:J647),$J$2:$J$1001,0),MATCH(COLUMNS($Q$1006:Q1006),$Q$1006:$U$1006,0)), HYPERLINK("#",""), HYPERLINK(CONCATENATE("#Metadata!", ADDRESS(INDEX($L$2:$L$1001,MATCH(ROWS($J$2:J647),$J$2:$J$1001,0),0), INDEX($Q$1004:$U$1004,1,MATCH(COLUMNS($Q$1006:Q1006),$Q$1006:$U$1006,0)))),"Fix")))</f>
        <v xml:space="preserve"> </v>
      </c>
      <c r="C647" s="3" t="str">
        <f ca="1">IF(OR(INDEX($K$2:$K$1001,MATCH(ROWS($J$2:J647),$J$2:$J$1001,0),1)&gt;=100000,INDEX($Q$1005:$U$1005,1,MATCH(COLUMNS($Q$1006:R1006),$Q$1006:$U$1006,0))&gt;=100000), " ",IF(INDEX($Q$2:$U$1001,MATCH(ROWS($J$2:J647),$J$2:$J$1001,0),MATCH(COLUMNS($Q$1006:R1006),$Q$1006:$U$1006,0)), HYPERLINK("#",""), HYPERLINK(CONCATENATE("#Metadata!", ADDRESS(INDEX($L$2:$L$1001,MATCH(ROWS($J$2:J647),$J$2:$J$1001,0),0), INDEX($Q$1004:$U$1004,1,MATCH(COLUMNS($Q$1006:R1006),$Q$1006:$U$1006,0)))),"Fix")))</f>
        <v xml:space="preserve"> </v>
      </c>
      <c r="D647" s="3" t="str">
        <f ca="1">IF(OR(INDEX($K$2:$K$1001,MATCH(ROWS($J$2:J647),$J$2:$J$1001,0),1)&gt;=100000,INDEX($Q$1005:$U$1005,1,MATCH(COLUMNS($Q$1006:S1006),$Q$1006:$U$1006,0))&gt;=100000), " ",IF(INDEX($Q$2:$U$1001,MATCH(ROWS($J$2:J647),$J$2:$J$1001,0),MATCH(COLUMNS($Q$1006:S1006),$Q$1006:$U$1006,0)), HYPERLINK("#",""), HYPERLINK(CONCATENATE("#Metadata!", ADDRESS(INDEX($L$2:$L$1001,MATCH(ROWS($J$2:J647),$J$2:$J$1001,0),0), INDEX($Q$1004:$U$1004,1,MATCH(COLUMNS($Q$1006:S1006),$Q$1006:$U$1006,0)))),"Fix")))</f>
        <v xml:space="preserve"> </v>
      </c>
      <c r="E647" s="3" t="str">
        <f ca="1">IF(OR(INDEX($K$2:$K$1001,MATCH(ROWS($J$2:J647),$J$2:$J$1001,0),1)&gt;=100000,INDEX($Q$1005:$U$1005,1,MATCH(COLUMNS($Q$1006:T1006),$Q$1006:$U$1006,0))&gt;=100000), " ",IF(INDEX($Q$2:$U$1001,MATCH(ROWS($J$2:J647),$J$2:$J$1001,0),MATCH(COLUMNS($Q$1006:T1006),$Q$1006:$U$1006,0)), HYPERLINK("#",""), HYPERLINK(CONCATENATE("#Metadata!", ADDRESS(INDEX($L$2:$L$1001,MATCH(ROWS($J$2:J647),$J$2:$J$1001,0),0), INDEX($Q$1004:$U$1004,1,MATCH(COLUMNS($Q$1006:T1006),$Q$1006:$U$1006,0)))),"Fix")))</f>
        <v xml:space="preserve"> </v>
      </c>
      <c r="F647" s="3" t="str">
        <f ca="1">IF(OR(INDEX($K$2:$K$1001,MATCH(ROWS($J$2:J647),$J$2:$J$1001,0),1)&gt;=100000,INDEX($Q$1005:$U$1005,1,MATCH(COLUMNS($Q$1006:U1006),$Q$1006:$U$1006,0))&gt;=100000), " ",IF(INDEX($Q$2:$U$1001,MATCH(ROWS($J$2:J647),$J$2:$J$1001,0),MATCH(COLUMNS($Q$1006:U1006),$Q$1006:$U$1006,0)), HYPERLINK("#",""), HYPERLINK(CONCATENATE("#Metadata!", ADDRESS(INDEX($L$2:$L$1001,MATCH(ROWS($J$2:J647),$J$2:$J$1001,0),0), INDEX($Q$1004:$U$1004,1,MATCH(COLUMNS($Q$1006:U1006),$Q$1006:$U$1006,0)))),"Fix")))</f>
        <v xml:space="preserve"> </v>
      </c>
      <c r="J647">
        <f ca="1"/>
        <v>646</v>
      </c>
      <c r="K647">
        <v>100647</v>
      </c>
      <c r="L647">
        <v>647</v>
      </c>
      <c r="M647" t="b">
        <f t="shared" si="10"/>
        <v>1</v>
      </c>
      <c r="N647" t="b">
        <f>COUNTBLANK(Metadata!B647:F647)=COLUMNS(Metadata!B647:F647)</f>
        <v>1</v>
      </c>
      <c r="O647" t="str">
        <v/>
      </c>
      <c r="Q647" t="b">
        <f ca="1"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R647" t="b">
        <f>IF(Metadata!C647="",FALSE,TRUE)</f>
        <v>0</v>
      </c>
      <c r="S647" t="b">
        <f>OR(AND(IF(Metadata!D647="",FALSE,TRUE),EXACT(Metadata!D647,"missing: not collected")),AND(IF(Metadata!D647="",FALSE,TRUE),OR(EXACT(Metadata!D647,"t"),EXACT(Metadata!D647,"f"))))</f>
        <v>0</v>
      </c>
      <c r="T647" t="b">
        <f>AND(IF(Metadata!E647="",FALSE,TRUE),OR(EXACT(Metadata!E647,"a"),EXACT(Metadata!E647,"b")))</f>
        <v>0</v>
      </c>
      <c r="U647" t="b">
        <f>OR(AND(IF(Metadata!F647="",FALSE,TRUE),OR(EXACT(Metadata!F647,"missing: not collected"),EXACT(Metadata!F647,"missing: not provided"))),AND(IF(Metadata!F647="",FALSE,TRUE),OR(EXACT(Metadata!F647,"lo"),EXACT(Metadata!F647,"med"),EXACT(Metadata!F647,"hi"))))</f>
        <v>0</v>
      </c>
    </row>
    <row r="648" spans="1:21" x14ac:dyDescent="0.2">
      <c r="A648" s="4" t="str">
        <f ca="1">IF(B648=" "," ",HYPERLINK(CONCATENATE("#metadata!",ADDRESS(INDEX($L$2:$L$1001,MATCH(ROWS($J$2:J648),$J$2:$J$1001,0),0),1)),INDEX($O$2:$O$1001,MATCH(ROWS($J$2:J648),$J$2:$J$1001,0),0)))</f>
        <v xml:space="preserve"> </v>
      </c>
      <c r="B648" s="3" t="str">
        <f ca="1">IF(OR(INDEX($K$2:$K$1001,MATCH(ROWS($J$2:J648),$J$2:$J$1001,0),1)&gt;=100000,INDEX($Q$1005:$U$1005,1,MATCH(COLUMNS($Q$1006:Q1006),$Q$1006:$U$1006,0))&gt;=100000), " ",IF(INDEX($Q$2:$U$1001,MATCH(ROWS($J$2:J648),$J$2:$J$1001,0),MATCH(COLUMNS($Q$1006:Q1006),$Q$1006:$U$1006,0)), HYPERLINK("#",""), HYPERLINK(CONCATENATE("#Metadata!", ADDRESS(INDEX($L$2:$L$1001,MATCH(ROWS($J$2:J648),$J$2:$J$1001,0),0), INDEX($Q$1004:$U$1004,1,MATCH(COLUMNS($Q$1006:Q1006),$Q$1006:$U$1006,0)))),"Fix")))</f>
        <v xml:space="preserve"> </v>
      </c>
      <c r="C648" s="3" t="str">
        <f ca="1">IF(OR(INDEX($K$2:$K$1001,MATCH(ROWS($J$2:J648),$J$2:$J$1001,0),1)&gt;=100000,INDEX($Q$1005:$U$1005,1,MATCH(COLUMNS($Q$1006:R1006),$Q$1006:$U$1006,0))&gt;=100000), " ",IF(INDEX($Q$2:$U$1001,MATCH(ROWS($J$2:J648),$J$2:$J$1001,0),MATCH(COLUMNS($Q$1006:R1006),$Q$1006:$U$1006,0)), HYPERLINK("#",""), HYPERLINK(CONCATENATE("#Metadata!", ADDRESS(INDEX($L$2:$L$1001,MATCH(ROWS($J$2:J648),$J$2:$J$1001,0),0), INDEX($Q$1004:$U$1004,1,MATCH(COLUMNS($Q$1006:R1006),$Q$1006:$U$1006,0)))),"Fix")))</f>
        <v xml:space="preserve"> </v>
      </c>
      <c r="D648" s="3" t="str">
        <f ca="1">IF(OR(INDEX($K$2:$K$1001,MATCH(ROWS($J$2:J648),$J$2:$J$1001,0),1)&gt;=100000,INDEX($Q$1005:$U$1005,1,MATCH(COLUMNS($Q$1006:S1006),$Q$1006:$U$1006,0))&gt;=100000), " ",IF(INDEX($Q$2:$U$1001,MATCH(ROWS($J$2:J648),$J$2:$J$1001,0),MATCH(COLUMNS($Q$1006:S1006),$Q$1006:$U$1006,0)), HYPERLINK("#",""), HYPERLINK(CONCATENATE("#Metadata!", ADDRESS(INDEX($L$2:$L$1001,MATCH(ROWS($J$2:J648),$J$2:$J$1001,0),0), INDEX($Q$1004:$U$1004,1,MATCH(COLUMNS($Q$1006:S1006),$Q$1006:$U$1006,0)))),"Fix")))</f>
        <v xml:space="preserve"> </v>
      </c>
      <c r="E648" s="3" t="str">
        <f ca="1">IF(OR(INDEX($K$2:$K$1001,MATCH(ROWS($J$2:J648),$J$2:$J$1001,0),1)&gt;=100000,INDEX($Q$1005:$U$1005,1,MATCH(COLUMNS($Q$1006:T1006),$Q$1006:$U$1006,0))&gt;=100000), " ",IF(INDEX($Q$2:$U$1001,MATCH(ROWS($J$2:J648),$J$2:$J$1001,0),MATCH(COLUMNS($Q$1006:T1006),$Q$1006:$U$1006,0)), HYPERLINK("#",""), HYPERLINK(CONCATENATE("#Metadata!", ADDRESS(INDEX($L$2:$L$1001,MATCH(ROWS($J$2:J648),$J$2:$J$1001,0),0), INDEX($Q$1004:$U$1004,1,MATCH(COLUMNS($Q$1006:T1006),$Q$1006:$U$1006,0)))),"Fix")))</f>
        <v xml:space="preserve"> </v>
      </c>
      <c r="F648" s="3" t="str">
        <f ca="1">IF(OR(INDEX($K$2:$K$1001,MATCH(ROWS($J$2:J648),$J$2:$J$1001,0),1)&gt;=100000,INDEX($Q$1005:$U$1005,1,MATCH(COLUMNS($Q$1006:U1006),$Q$1006:$U$1006,0))&gt;=100000), " ",IF(INDEX($Q$2:$U$1001,MATCH(ROWS($J$2:J648),$J$2:$J$1001,0),MATCH(COLUMNS($Q$1006:U1006),$Q$1006:$U$1006,0)), HYPERLINK("#",""), HYPERLINK(CONCATENATE("#Metadata!", ADDRESS(INDEX($L$2:$L$1001,MATCH(ROWS($J$2:J648),$J$2:$J$1001,0),0), INDEX($Q$1004:$U$1004,1,MATCH(COLUMNS($Q$1006:U1006),$Q$1006:$U$1006,0)))),"Fix")))</f>
        <v xml:space="preserve"> </v>
      </c>
      <c r="J648">
        <f ca="1"/>
        <v>647</v>
      </c>
      <c r="K648">
        <v>100648</v>
      </c>
      <c r="L648">
        <v>648</v>
      </c>
      <c r="M648" t="b">
        <f t="shared" si="10"/>
        <v>1</v>
      </c>
      <c r="N648" t="b">
        <f>COUNTBLANK(Metadata!B648:F648)=COLUMNS(Metadata!B648:F648)</f>
        <v>1</v>
      </c>
      <c r="O648" t="str">
        <v/>
      </c>
      <c r="Q648" t="b">
        <f ca="1"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R648" t="b">
        <f>IF(Metadata!C648="",FALSE,TRUE)</f>
        <v>0</v>
      </c>
      <c r="S648" t="b">
        <f>OR(AND(IF(Metadata!D648="",FALSE,TRUE),EXACT(Metadata!D648,"missing: not collected")),AND(IF(Metadata!D648="",FALSE,TRUE),OR(EXACT(Metadata!D648,"t"),EXACT(Metadata!D648,"f"))))</f>
        <v>0</v>
      </c>
      <c r="T648" t="b">
        <f>AND(IF(Metadata!E648="",FALSE,TRUE),OR(EXACT(Metadata!E648,"a"),EXACT(Metadata!E648,"b")))</f>
        <v>0</v>
      </c>
      <c r="U648" t="b">
        <f>OR(AND(IF(Metadata!F648="",FALSE,TRUE),OR(EXACT(Metadata!F648,"missing: not collected"),EXACT(Metadata!F648,"missing: not provided"))),AND(IF(Metadata!F648="",FALSE,TRUE),OR(EXACT(Metadata!F648,"lo"),EXACT(Metadata!F648,"med"),EXACT(Metadata!F648,"hi"))))</f>
        <v>0</v>
      </c>
    </row>
    <row r="649" spans="1:21" x14ac:dyDescent="0.2">
      <c r="A649" s="4" t="str">
        <f ca="1">IF(B649=" "," ",HYPERLINK(CONCATENATE("#metadata!",ADDRESS(INDEX($L$2:$L$1001,MATCH(ROWS($J$2:J649),$J$2:$J$1001,0),0),1)),INDEX($O$2:$O$1001,MATCH(ROWS($J$2:J649),$J$2:$J$1001,0),0)))</f>
        <v xml:space="preserve"> </v>
      </c>
      <c r="B649" s="3" t="str">
        <f ca="1">IF(OR(INDEX($K$2:$K$1001,MATCH(ROWS($J$2:J649),$J$2:$J$1001,0),1)&gt;=100000,INDEX($Q$1005:$U$1005,1,MATCH(COLUMNS($Q$1006:Q1006),$Q$1006:$U$1006,0))&gt;=100000), " ",IF(INDEX($Q$2:$U$1001,MATCH(ROWS($J$2:J649),$J$2:$J$1001,0),MATCH(COLUMNS($Q$1006:Q1006),$Q$1006:$U$1006,0)), HYPERLINK("#",""), HYPERLINK(CONCATENATE("#Metadata!", ADDRESS(INDEX($L$2:$L$1001,MATCH(ROWS($J$2:J649),$J$2:$J$1001,0),0), INDEX($Q$1004:$U$1004,1,MATCH(COLUMNS($Q$1006:Q1006),$Q$1006:$U$1006,0)))),"Fix")))</f>
        <v xml:space="preserve"> </v>
      </c>
      <c r="C649" s="3" t="str">
        <f ca="1">IF(OR(INDEX($K$2:$K$1001,MATCH(ROWS($J$2:J649),$J$2:$J$1001,0),1)&gt;=100000,INDEX($Q$1005:$U$1005,1,MATCH(COLUMNS($Q$1006:R1006),$Q$1006:$U$1006,0))&gt;=100000), " ",IF(INDEX($Q$2:$U$1001,MATCH(ROWS($J$2:J649),$J$2:$J$1001,0),MATCH(COLUMNS($Q$1006:R1006),$Q$1006:$U$1006,0)), HYPERLINK("#",""), HYPERLINK(CONCATENATE("#Metadata!", ADDRESS(INDEX($L$2:$L$1001,MATCH(ROWS($J$2:J649),$J$2:$J$1001,0),0), INDEX($Q$1004:$U$1004,1,MATCH(COLUMNS($Q$1006:R1006),$Q$1006:$U$1006,0)))),"Fix")))</f>
        <v xml:space="preserve"> </v>
      </c>
      <c r="D649" s="3" t="str">
        <f ca="1">IF(OR(INDEX($K$2:$K$1001,MATCH(ROWS($J$2:J649),$J$2:$J$1001,0),1)&gt;=100000,INDEX($Q$1005:$U$1005,1,MATCH(COLUMNS($Q$1006:S1006),$Q$1006:$U$1006,0))&gt;=100000), " ",IF(INDEX($Q$2:$U$1001,MATCH(ROWS($J$2:J649),$J$2:$J$1001,0),MATCH(COLUMNS($Q$1006:S1006),$Q$1006:$U$1006,0)), HYPERLINK("#",""), HYPERLINK(CONCATENATE("#Metadata!", ADDRESS(INDEX($L$2:$L$1001,MATCH(ROWS($J$2:J649),$J$2:$J$1001,0),0), INDEX($Q$1004:$U$1004,1,MATCH(COLUMNS($Q$1006:S1006),$Q$1006:$U$1006,0)))),"Fix")))</f>
        <v xml:space="preserve"> </v>
      </c>
      <c r="E649" s="3" t="str">
        <f ca="1">IF(OR(INDEX($K$2:$K$1001,MATCH(ROWS($J$2:J649),$J$2:$J$1001,0),1)&gt;=100000,INDEX($Q$1005:$U$1005,1,MATCH(COLUMNS($Q$1006:T1006),$Q$1006:$U$1006,0))&gt;=100000), " ",IF(INDEX($Q$2:$U$1001,MATCH(ROWS($J$2:J649),$J$2:$J$1001,0),MATCH(COLUMNS($Q$1006:T1006),$Q$1006:$U$1006,0)), HYPERLINK("#",""), HYPERLINK(CONCATENATE("#Metadata!", ADDRESS(INDEX($L$2:$L$1001,MATCH(ROWS($J$2:J649),$J$2:$J$1001,0),0), INDEX($Q$1004:$U$1004,1,MATCH(COLUMNS($Q$1006:T1006),$Q$1006:$U$1006,0)))),"Fix")))</f>
        <v xml:space="preserve"> </v>
      </c>
      <c r="F649" s="3" t="str">
        <f ca="1">IF(OR(INDEX($K$2:$K$1001,MATCH(ROWS($J$2:J649),$J$2:$J$1001,0),1)&gt;=100000,INDEX($Q$1005:$U$1005,1,MATCH(COLUMNS($Q$1006:U1006),$Q$1006:$U$1006,0))&gt;=100000), " ",IF(INDEX($Q$2:$U$1001,MATCH(ROWS($J$2:J649),$J$2:$J$1001,0),MATCH(COLUMNS($Q$1006:U1006),$Q$1006:$U$1006,0)), HYPERLINK("#",""), HYPERLINK(CONCATENATE("#Metadata!", ADDRESS(INDEX($L$2:$L$1001,MATCH(ROWS($J$2:J649),$J$2:$J$1001,0),0), INDEX($Q$1004:$U$1004,1,MATCH(COLUMNS($Q$1006:U1006),$Q$1006:$U$1006,0)))),"Fix")))</f>
        <v xml:space="preserve"> </v>
      </c>
      <c r="J649">
        <f ca="1"/>
        <v>648</v>
      </c>
      <c r="K649">
        <v>100649</v>
      </c>
      <c r="L649">
        <v>649</v>
      </c>
      <c r="M649" t="b">
        <f t="shared" si="10"/>
        <v>1</v>
      </c>
      <c r="N649" t="b">
        <f>COUNTBLANK(Metadata!B649:F649)=COLUMNS(Metadata!B649:F649)</f>
        <v>1</v>
      </c>
      <c r="O649" t="str">
        <v/>
      </c>
      <c r="Q649" t="b">
        <f ca="1"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R649" t="b">
        <f>IF(Metadata!C649="",FALSE,TRUE)</f>
        <v>0</v>
      </c>
      <c r="S649" t="b">
        <f>OR(AND(IF(Metadata!D649="",FALSE,TRUE),EXACT(Metadata!D649,"missing: not collected")),AND(IF(Metadata!D649="",FALSE,TRUE),OR(EXACT(Metadata!D649,"t"),EXACT(Metadata!D649,"f"))))</f>
        <v>0</v>
      </c>
      <c r="T649" t="b">
        <f>AND(IF(Metadata!E649="",FALSE,TRUE),OR(EXACT(Metadata!E649,"a"),EXACT(Metadata!E649,"b")))</f>
        <v>0</v>
      </c>
      <c r="U649" t="b">
        <f>OR(AND(IF(Metadata!F649="",FALSE,TRUE),OR(EXACT(Metadata!F649,"missing: not collected"),EXACT(Metadata!F649,"missing: not provided"))),AND(IF(Metadata!F649="",FALSE,TRUE),OR(EXACT(Metadata!F649,"lo"),EXACT(Metadata!F649,"med"),EXACT(Metadata!F649,"hi"))))</f>
        <v>0</v>
      </c>
    </row>
    <row r="650" spans="1:21" x14ac:dyDescent="0.2">
      <c r="A650" s="4" t="str">
        <f ca="1">IF(B650=" "," ",HYPERLINK(CONCATENATE("#metadata!",ADDRESS(INDEX($L$2:$L$1001,MATCH(ROWS($J$2:J650),$J$2:$J$1001,0),0),1)),INDEX($O$2:$O$1001,MATCH(ROWS($J$2:J650),$J$2:$J$1001,0),0)))</f>
        <v xml:space="preserve"> </v>
      </c>
      <c r="B650" s="3" t="str">
        <f ca="1">IF(OR(INDEX($K$2:$K$1001,MATCH(ROWS($J$2:J650),$J$2:$J$1001,0),1)&gt;=100000,INDEX($Q$1005:$U$1005,1,MATCH(COLUMNS($Q$1006:Q1006),$Q$1006:$U$1006,0))&gt;=100000), " ",IF(INDEX($Q$2:$U$1001,MATCH(ROWS($J$2:J650),$J$2:$J$1001,0),MATCH(COLUMNS($Q$1006:Q1006),$Q$1006:$U$1006,0)), HYPERLINK("#",""), HYPERLINK(CONCATENATE("#Metadata!", ADDRESS(INDEX($L$2:$L$1001,MATCH(ROWS($J$2:J650),$J$2:$J$1001,0),0), INDEX($Q$1004:$U$1004,1,MATCH(COLUMNS($Q$1006:Q1006),$Q$1006:$U$1006,0)))),"Fix")))</f>
        <v xml:space="preserve"> </v>
      </c>
      <c r="C650" s="3" t="str">
        <f ca="1">IF(OR(INDEX($K$2:$K$1001,MATCH(ROWS($J$2:J650),$J$2:$J$1001,0),1)&gt;=100000,INDEX($Q$1005:$U$1005,1,MATCH(COLUMNS($Q$1006:R1006),$Q$1006:$U$1006,0))&gt;=100000), " ",IF(INDEX($Q$2:$U$1001,MATCH(ROWS($J$2:J650),$J$2:$J$1001,0),MATCH(COLUMNS($Q$1006:R1006),$Q$1006:$U$1006,0)), HYPERLINK("#",""), HYPERLINK(CONCATENATE("#Metadata!", ADDRESS(INDEX($L$2:$L$1001,MATCH(ROWS($J$2:J650),$J$2:$J$1001,0),0), INDEX($Q$1004:$U$1004,1,MATCH(COLUMNS($Q$1006:R1006),$Q$1006:$U$1006,0)))),"Fix")))</f>
        <v xml:space="preserve"> </v>
      </c>
      <c r="D650" s="3" t="str">
        <f ca="1">IF(OR(INDEX($K$2:$K$1001,MATCH(ROWS($J$2:J650),$J$2:$J$1001,0),1)&gt;=100000,INDEX($Q$1005:$U$1005,1,MATCH(COLUMNS($Q$1006:S1006),$Q$1006:$U$1006,0))&gt;=100000), " ",IF(INDEX($Q$2:$U$1001,MATCH(ROWS($J$2:J650),$J$2:$J$1001,0),MATCH(COLUMNS($Q$1006:S1006),$Q$1006:$U$1006,0)), HYPERLINK("#",""), HYPERLINK(CONCATENATE("#Metadata!", ADDRESS(INDEX($L$2:$L$1001,MATCH(ROWS($J$2:J650),$J$2:$J$1001,0),0), INDEX($Q$1004:$U$1004,1,MATCH(COLUMNS($Q$1006:S1006),$Q$1006:$U$1006,0)))),"Fix")))</f>
        <v xml:space="preserve"> </v>
      </c>
      <c r="E650" s="3" t="str">
        <f ca="1">IF(OR(INDEX($K$2:$K$1001,MATCH(ROWS($J$2:J650),$J$2:$J$1001,0),1)&gt;=100000,INDEX($Q$1005:$U$1005,1,MATCH(COLUMNS($Q$1006:T1006),$Q$1006:$U$1006,0))&gt;=100000), " ",IF(INDEX($Q$2:$U$1001,MATCH(ROWS($J$2:J650),$J$2:$J$1001,0),MATCH(COLUMNS($Q$1006:T1006),$Q$1006:$U$1006,0)), HYPERLINK("#",""), HYPERLINK(CONCATENATE("#Metadata!", ADDRESS(INDEX($L$2:$L$1001,MATCH(ROWS($J$2:J650),$J$2:$J$1001,0),0), INDEX($Q$1004:$U$1004,1,MATCH(COLUMNS($Q$1006:T1006),$Q$1006:$U$1006,0)))),"Fix")))</f>
        <v xml:space="preserve"> </v>
      </c>
      <c r="F650" s="3" t="str">
        <f ca="1">IF(OR(INDEX($K$2:$K$1001,MATCH(ROWS($J$2:J650),$J$2:$J$1001,0),1)&gt;=100000,INDEX($Q$1005:$U$1005,1,MATCH(COLUMNS($Q$1006:U1006),$Q$1006:$U$1006,0))&gt;=100000), " ",IF(INDEX($Q$2:$U$1001,MATCH(ROWS($J$2:J650),$J$2:$J$1001,0),MATCH(COLUMNS($Q$1006:U1006),$Q$1006:$U$1006,0)), HYPERLINK("#",""), HYPERLINK(CONCATENATE("#Metadata!", ADDRESS(INDEX($L$2:$L$1001,MATCH(ROWS($J$2:J650),$J$2:$J$1001,0),0), INDEX($Q$1004:$U$1004,1,MATCH(COLUMNS($Q$1006:U1006),$Q$1006:$U$1006,0)))),"Fix")))</f>
        <v xml:space="preserve"> </v>
      </c>
      <c r="J650">
        <f ca="1"/>
        <v>649</v>
      </c>
      <c r="K650">
        <v>100650</v>
      </c>
      <c r="L650">
        <v>650</v>
      </c>
      <c r="M650" t="b">
        <f t="shared" si="10"/>
        <v>1</v>
      </c>
      <c r="N650" t="b">
        <f>COUNTBLANK(Metadata!B650:F650)=COLUMNS(Metadata!B650:F650)</f>
        <v>1</v>
      </c>
      <c r="O650" t="str">
        <v/>
      </c>
      <c r="Q650" t="b">
        <f ca="1"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R650" t="b">
        <f>IF(Metadata!C650="",FALSE,TRUE)</f>
        <v>0</v>
      </c>
      <c r="S650" t="b">
        <f>OR(AND(IF(Metadata!D650="",FALSE,TRUE),EXACT(Metadata!D650,"missing: not collected")),AND(IF(Metadata!D650="",FALSE,TRUE),OR(EXACT(Metadata!D650,"t"),EXACT(Metadata!D650,"f"))))</f>
        <v>0</v>
      </c>
      <c r="T650" t="b">
        <f>AND(IF(Metadata!E650="",FALSE,TRUE),OR(EXACT(Metadata!E650,"a"),EXACT(Metadata!E650,"b")))</f>
        <v>0</v>
      </c>
      <c r="U650" t="b">
        <f>OR(AND(IF(Metadata!F650="",FALSE,TRUE),OR(EXACT(Metadata!F650,"missing: not collected"),EXACT(Metadata!F650,"missing: not provided"))),AND(IF(Metadata!F650="",FALSE,TRUE),OR(EXACT(Metadata!F650,"lo"),EXACT(Metadata!F650,"med"),EXACT(Metadata!F650,"hi"))))</f>
        <v>0</v>
      </c>
    </row>
    <row r="651" spans="1:21" x14ac:dyDescent="0.2">
      <c r="A651" s="4" t="str">
        <f ca="1">IF(B651=" "," ",HYPERLINK(CONCATENATE("#metadata!",ADDRESS(INDEX($L$2:$L$1001,MATCH(ROWS($J$2:J651),$J$2:$J$1001,0),0),1)),INDEX($O$2:$O$1001,MATCH(ROWS($J$2:J651),$J$2:$J$1001,0),0)))</f>
        <v xml:space="preserve"> </v>
      </c>
      <c r="B651" s="3" t="str">
        <f ca="1">IF(OR(INDEX($K$2:$K$1001,MATCH(ROWS($J$2:J651),$J$2:$J$1001,0),1)&gt;=100000,INDEX($Q$1005:$U$1005,1,MATCH(COLUMNS($Q$1006:Q1006),$Q$1006:$U$1006,0))&gt;=100000), " ",IF(INDEX($Q$2:$U$1001,MATCH(ROWS($J$2:J651),$J$2:$J$1001,0),MATCH(COLUMNS($Q$1006:Q1006),$Q$1006:$U$1006,0)), HYPERLINK("#",""), HYPERLINK(CONCATENATE("#Metadata!", ADDRESS(INDEX($L$2:$L$1001,MATCH(ROWS($J$2:J651),$J$2:$J$1001,0),0), INDEX($Q$1004:$U$1004,1,MATCH(COLUMNS($Q$1006:Q1006),$Q$1006:$U$1006,0)))),"Fix")))</f>
        <v xml:space="preserve"> </v>
      </c>
      <c r="C651" s="3" t="str">
        <f ca="1">IF(OR(INDEX($K$2:$K$1001,MATCH(ROWS($J$2:J651),$J$2:$J$1001,0),1)&gt;=100000,INDEX($Q$1005:$U$1005,1,MATCH(COLUMNS($Q$1006:R1006),$Q$1006:$U$1006,0))&gt;=100000), " ",IF(INDEX($Q$2:$U$1001,MATCH(ROWS($J$2:J651),$J$2:$J$1001,0),MATCH(COLUMNS($Q$1006:R1006),$Q$1006:$U$1006,0)), HYPERLINK("#",""), HYPERLINK(CONCATENATE("#Metadata!", ADDRESS(INDEX($L$2:$L$1001,MATCH(ROWS($J$2:J651),$J$2:$J$1001,0),0), INDEX($Q$1004:$U$1004,1,MATCH(COLUMNS($Q$1006:R1006),$Q$1006:$U$1006,0)))),"Fix")))</f>
        <v xml:space="preserve"> </v>
      </c>
      <c r="D651" s="3" t="str">
        <f ca="1">IF(OR(INDEX($K$2:$K$1001,MATCH(ROWS($J$2:J651),$J$2:$J$1001,0),1)&gt;=100000,INDEX($Q$1005:$U$1005,1,MATCH(COLUMNS($Q$1006:S1006),$Q$1006:$U$1006,0))&gt;=100000), " ",IF(INDEX($Q$2:$U$1001,MATCH(ROWS($J$2:J651),$J$2:$J$1001,0),MATCH(COLUMNS($Q$1006:S1006),$Q$1006:$U$1006,0)), HYPERLINK("#",""), HYPERLINK(CONCATENATE("#Metadata!", ADDRESS(INDEX($L$2:$L$1001,MATCH(ROWS($J$2:J651),$J$2:$J$1001,0),0), INDEX($Q$1004:$U$1004,1,MATCH(COLUMNS($Q$1006:S1006),$Q$1006:$U$1006,0)))),"Fix")))</f>
        <v xml:space="preserve"> </v>
      </c>
      <c r="E651" s="3" t="str">
        <f ca="1">IF(OR(INDEX($K$2:$K$1001,MATCH(ROWS($J$2:J651),$J$2:$J$1001,0),1)&gt;=100000,INDEX($Q$1005:$U$1005,1,MATCH(COLUMNS($Q$1006:T1006),$Q$1006:$U$1006,0))&gt;=100000), " ",IF(INDEX($Q$2:$U$1001,MATCH(ROWS($J$2:J651),$J$2:$J$1001,0),MATCH(COLUMNS($Q$1006:T1006),$Q$1006:$U$1006,0)), HYPERLINK("#",""), HYPERLINK(CONCATENATE("#Metadata!", ADDRESS(INDEX($L$2:$L$1001,MATCH(ROWS($J$2:J651),$J$2:$J$1001,0),0), INDEX($Q$1004:$U$1004,1,MATCH(COLUMNS($Q$1006:T1006),$Q$1006:$U$1006,0)))),"Fix")))</f>
        <v xml:space="preserve"> </v>
      </c>
      <c r="F651" s="3" t="str">
        <f ca="1">IF(OR(INDEX($K$2:$K$1001,MATCH(ROWS($J$2:J651),$J$2:$J$1001,0),1)&gt;=100000,INDEX($Q$1005:$U$1005,1,MATCH(COLUMNS($Q$1006:U1006),$Q$1006:$U$1006,0))&gt;=100000), " ",IF(INDEX($Q$2:$U$1001,MATCH(ROWS($J$2:J651),$J$2:$J$1001,0),MATCH(COLUMNS($Q$1006:U1006),$Q$1006:$U$1006,0)), HYPERLINK("#",""), HYPERLINK(CONCATENATE("#Metadata!", ADDRESS(INDEX($L$2:$L$1001,MATCH(ROWS($J$2:J651),$J$2:$J$1001,0),0), INDEX($Q$1004:$U$1004,1,MATCH(COLUMNS($Q$1006:U1006),$Q$1006:$U$1006,0)))),"Fix")))</f>
        <v xml:space="preserve"> </v>
      </c>
      <c r="J651">
        <f ca="1"/>
        <v>650</v>
      </c>
      <c r="K651">
        <v>100651</v>
      </c>
      <c r="L651">
        <v>651</v>
      </c>
      <c r="M651" t="b">
        <f t="shared" si="10"/>
        <v>1</v>
      </c>
      <c r="N651" t="b">
        <f>COUNTBLANK(Metadata!B651:F651)=COLUMNS(Metadata!B651:F651)</f>
        <v>1</v>
      </c>
      <c r="O651" t="str">
        <v/>
      </c>
      <c r="Q651" t="b">
        <f ca="1"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R651" t="b">
        <f>IF(Metadata!C651="",FALSE,TRUE)</f>
        <v>0</v>
      </c>
      <c r="S651" t="b">
        <f>OR(AND(IF(Metadata!D651="",FALSE,TRUE),EXACT(Metadata!D651,"missing: not collected")),AND(IF(Metadata!D651="",FALSE,TRUE),OR(EXACT(Metadata!D651,"t"),EXACT(Metadata!D651,"f"))))</f>
        <v>0</v>
      </c>
      <c r="T651" t="b">
        <f>AND(IF(Metadata!E651="",FALSE,TRUE),OR(EXACT(Metadata!E651,"a"),EXACT(Metadata!E651,"b")))</f>
        <v>0</v>
      </c>
      <c r="U651" t="b">
        <f>OR(AND(IF(Metadata!F651="",FALSE,TRUE),OR(EXACT(Metadata!F651,"missing: not collected"),EXACT(Metadata!F651,"missing: not provided"))),AND(IF(Metadata!F651="",FALSE,TRUE),OR(EXACT(Metadata!F651,"lo"),EXACT(Metadata!F651,"med"),EXACT(Metadata!F651,"hi"))))</f>
        <v>0</v>
      </c>
    </row>
    <row r="652" spans="1:21" x14ac:dyDescent="0.2">
      <c r="A652" s="4" t="str">
        <f ca="1">IF(B652=" "," ",HYPERLINK(CONCATENATE("#metadata!",ADDRESS(INDEX($L$2:$L$1001,MATCH(ROWS($J$2:J652),$J$2:$J$1001,0),0),1)),INDEX($O$2:$O$1001,MATCH(ROWS($J$2:J652),$J$2:$J$1001,0),0)))</f>
        <v xml:space="preserve"> </v>
      </c>
      <c r="B652" s="3" t="str">
        <f ca="1">IF(OR(INDEX($K$2:$K$1001,MATCH(ROWS($J$2:J652),$J$2:$J$1001,0),1)&gt;=100000,INDEX($Q$1005:$U$1005,1,MATCH(COLUMNS($Q$1006:Q1006),$Q$1006:$U$1006,0))&gt;=100000), " ",IF(INDEX($Q$2:$U$1001,MATCH(ROWS($J$2:J652),$J$2:$J$1001,0),MATCH(COLUMNS($Q$1006:Q1006),$Q$1006:$U$1006,0)), HYPERLINK("#",""), HYPERLINK(CONCATENATE("#Metadata!", ADDRESS(INDEX($L$2:$L$1001,MATCH(ROWS($J$2:J652),$J$2:$J$1001,0),0), INDEX($Q$1004:$U$1004,1,MATCH(COLUMNS($Q$1006:Q1006),$Q$1006:$U$1006,0)))),"Fix")))</f>
        <v xml:space="preserve"> </v>
      </c>
      <c r="C652" s="3" t="str">
        <f ca="1">IF(OR(INDEX($K$2:$K$1001,MATCH(ROWS($J$2:J652),$J$2:$J$1001,0),1)&gt;=100000,INDEX($Q$1005:$U$1005,1,MATCH(COLUMNS($Q$1006:R1006),$Q$1006:$U$1006,0))&gt;=100000), " ",IF(INDEX($Q$2:$U$1001,MATCH(ROWS($J$2:J652),$J$2:$J$1001,0),MATCH(COLUMNS($Q$1006:R1006),$Q$1006:$U$1006,0)), HYPERLINK("#",""), HYPERLINK(CONCATENATE("#Metadata!", ADDRESS(INDEX($L$2:$L$1001,MATCH(ROWS($J$2:J652),$J$2:$J$1001,0),0), INDEX($Q$1004:$U$1004,1,MATCH(COLUMNS($Q$1006:R1006),$Q$1006:$U$1006,0)))),"Fix")))</f>
        <v xml:space="preserve"> </v>
      </c>
      <c r="D652" s="3" t="str">
        <f ca="1">IF(OR(INDEX($K$2:$K$1001,MATCH(ROWS($J$2:J652),$J$2:$J$1001,0),1)&gt;=100000,INDEX($Q$1005:$U$1005,1,MATCH(COLUMNS($Q$1006:S1006),$Q$1006:$U$1006,0))&gt;=100000), " ",IF(INDEX($Q$2:$U$1001,MATCH(ROWS($J$2:J652),$J$2:$J$1001,0),MATCH(COLUMNS($Q$1006:S1006),$Q$1006:$U$1006,0)), HYPERLINK("#",""), HYPERLINK(CONCATENATE("#Metadata!", ADDRESS(INDEX($L$2:$L$1001,MATCH(ROWS($J$2:J652),$J$2:$J$1001,0),0), INDEX($Q$1004:$U$1004,1,MATCH(COLUMNS($Q$1006:S1006),$Q$1006:$U$1006,0)))),"Fix")))</f>
        <v xml:space="preserve"> </v>
      </c>
      <c r="E652" s="3" t="str">
        <f ca="1">IF(OR(INDEX($K$2:$K$1001,MATCH(ROWS($J$2:J652),$J$2:$J$1001,0),1)&gt;=100000,INDEX($Q$1005:$U$1005,1,MATCH(COLUMNS($Q$1006:T1006),$Q$1006:$U$1006,0))&gt;=100000), " ",IF(INDEX($Q$2:$U$1001,MATCH(ROWS($J$2:J652),$J$2:$J$1001,0),MATCH(COLUMNS($Q$1006:T1006),$Q$1006:$U$1006,0)), HYPERLINK("#",""), HYPERLINK(CONCATENATE("#Metadata!", ADDRESS(INDEX($L$2:$L$1001,MATCH(ROWS($J$2:J652),$J$2:$J$1001,0),0), INDEX($Q$1004:$U$1004,1,MATCH(COLUMNS($Q$1006:T1006),$Q$1006:$U$1006,0)))),"Fix")))</f>
        <v xml:space="preserve"> </v>
      </c>
      <c r="F652" s="3" t="str">
        <f ca="1">IF(OR(INDEX($K$2:$K$1001,MATCH(ROWS($J$2:J652),$J$2:$J$1001,0),1)&gt;=100000,INDEX($Q$1005:$U$1005,1,MATCH(COLUMNS($Q$1006:U1006),$Q$1006:$U$1006,0))&gt;=100000), " ",IF(INDEX($Q$2:$U$1001,MATCH(ROWS($J$2:J652),$J$2:$J$1001,0),MATCH(COLUMNS($Q$1006:U1006),$Q$1006:$U$1006,0)), HYPERLINK("#",""), HYPERLINK(CONCATENATE("#Metadata!", ADDRESS(INDEX($L$2:$L$1001,MATCH(ROWS($J$2:J652),$J$2:$J$1001,0),0), INDEX($Q$1004:$U$1004,1,MATCH(COLUMNS($Q$1006:U1006),$Q$1006:$U$1006,0)))),"Fix")))</f>
        <v xml:space="preserve"> </v>
      </c>
      <c r="J652">
        <f ca="1"/>
        <v>651</v>
      </c>
      <c r="K652">
        <v>100652</v>
      </c>
      <c r="L652">
        <v>652</v>
      </c>
      <c r="M652" t="b">
        <f t="shared" si="10"/>
        <v>1</v>
      </c>
      <c r="N652" t="b">
        <f>COUNTBLANK(Metadata!B652:F652)=COLUMNS(Metadata!B652:F652)</f>
        <v>1</v>
      </c>
      <c r="O652" t="str">
        <v/>
      </c>
      <c r="Q652" t="b">
        <f ca="1"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R652" t="b">
        <f>IF(Metadata!C652="",FALSE,TRUE)</f>
        <v>0</v>
      </c>
      <c r="S652" t="b">
        <f>OR(AND(IF(Metadata!D652="",FALSE,TRUE),EXACT(Metadata!D652,"missing: not collected")),AND(IF(Metadata!D652="",FALSE,TRUE),OR(EXACT(Metadata!D652,"t"),EXACT(Metadata!D652,"f"))))</f>
        <v>0</v>
      </c>
      <c r="T652" t="b">
        <f>AND(IF(Metadata!E652="",FALSE,TRUE),OR(EXACT(Metadata!E652,"a"),EXACT(Metadata!E652,"b")))</f>
        <v>0</v>
      </c>
      <c r="U652" t="b">
        <f>OR(AND(IF(Metadata!F652="",FALSE,TRUE),OR(EXACT(Metadata!F652,"missing: not collected"),EXACT(Metadata!F652,"missing: not provided"))),AND(IF(Metadata!F652="",FALSE,TRUE),OR(EXACT(Metadata!F652,"lo"),EXACT(Metadata!F652,"med"),EXACT(Metadata!F652,"hi"))))</f>
        <v>0</v>
      </c>
    </row>
    <row r="653" spans="1:21" x14ac:dyDescent="0.2">
      <c r="A653" s="4" t="str">
        <f ca="1">IF(B653=" "," ",HYPERLINK(CONCATENATE("#metadata!",ADDRESS(INDEX($L$2:$L$1001,MATCH(ROWS($J$2:J653),$J$2:$J$1001,0),0),1)),INDEX($O$2:$O$1001,MATCH(ROWS($J$2:J653),$J$2:$J$1001,0),0)))</f>
        <v xml:space="preserve"> </v>
      </c>
      <c r="B653" s="3" t="str">
        <f ca="1">IF(OR(INDEX($K$2:$K$1001,MATCH(ROWS($J$2:J653),$J$2:$J$1001,0),1)&gt;=100000,INDEX($Q$1005:$U$1005,1,MATCH(COLUMNS($Q$1006:Q1006),$Q$1006:$U$1006,0))&gt;=100000), " ",IF(INDEX($Q$2:$U$1001,MATCH(ROWS($J$2:J653),$J$2:$J$1001,0),MATCH(COLUMNS($Q$1006:Q1006),$Q$1006:$U$1006,0)), HYPERLINK("#",""), HYPERLINK(CONCATENATE("#Metadata!", ADDRESS(INDEX($L$2:$L$1001,MATCH(ROWS($J$2:J653),$J$2:$J$1001,0),0), INDEX($Q$1004:$U$1004,1,MATCH(COLUMNS($Q$1006:Q1006),$Q$1006:$U$1006,0)))),"Fix")))</f>
        <v xml:space="preserve"> </v>
      </c>
      <c r="C653" s="3" t="str">
        <f ca="1">IF(OR(INDEX($K$2:$K$1001,MATCH(ROWS($J$2:J653),$J$2:$J$1001,0),1)&gt;=100000,INDEX($Q$1005:$U$1005,1,MATCH(COLUMNS($Q$1006:R1006),$Q$1006:$U$1006,0))&gt;=100000), " ",IF(INDEX($Q$2:$U$1001,MATCH(ROWS($J$2:J653),$J$2:$J$1001,0),MATCH(COLUMNS($Q$1006:R1006),$Q$1006:$U$1006,0)), HYPERLINK("#",""), HYPERLINK(CONCATENATE("#Metadata!", ADDRESS(INDEX($L$2:$L$1001,MATCH(ROWS($J$2:J653),$J$2:$J$1001,0),0), INDEX($Q$1004:$U$1004,1,MATCH(COLUMNS($Q$1006:R1006),$Q$1006:$U$1006,0)))),"Fix")))</f>
        <v xml:space="preserve"> </v>
      </c>
      <c r="D653" s="3" t="str">
        <f ca="1">IF(OR(INDEX($K$2:$K$1001,MATCH(ROWS($J$2:J653),$J$2:$J$1001,0),1)&gt;=100000,INDEX($Q$1005:$U$1005,1,MATCH(COLUMNS($Q$1006:S1006),$Q$1006:$U$1006,0))&gt;=100000), " ",IF(INDEX($Q$2:$U$1001,MATCH(ROWS($J$2:J653),$J$2:$J$1001,0),MATCH(COLUMNS($Q$1006:S1006),$Q$1006:$U$1006,0)), HYPERLINK("#",""), HYPERLINK(CONCATENATE("#Metadata!", ADDRESS(INDEX($L$2:$L$1001,MATCH(ROWS($J$2:J653),$J$2:$J$1001,0),0), INDEX($Q$1004:$U$1004,1,MATCH(COLUMNS($Q$1006:S1006),$Q$1006:$U$1006,0)))),"Fix")))</f>
        <v xml:space="preserve"> </v>
      </c>
      <c r="E653" s="3" t="str">
        <f ca="1">IF(OR(INDEX($K$2:$K$1001,MATCH(ROWS($J$2:J653),$J$2:$J$1001,0),1)&gt;=100000,INDEX($Q$1005:$U$1005,1,MATCH(COLUMNS($Q$1006:T1006),$Q$1006:$U$1006,0))&gt;=100000), " ",IF(INDEX($Q$2:$U$1001,MATCH(ROWS($J$2:J653),$J$2:$J$1001,0),MATCH(COLUMNS($Q$1006:T1006),$Q$1006:$U$1006,0)), HYPERLINK("#",""), HYPERLINK(CONCATENATE("#Metadata!", ADDRESS(INDEX($L$2:$L$1001,MATCH(ROWS($J$2:J653),$J$2:$J$1001,0),0), INDEX($Q$1004:$U$1004,1,MATCH(COLUMNS($Q$1006:T1006),$Q$1006:$U$1006,0)))),"Fix")))</f>
        <v xml:space="preserve"> </v>
      </c>
      <c r="F653" s="3" t="str">
        <f ca="1">IF(OR(INDEX($K$2:$K$1001,MATCH(ROWS($J$2:J653),$J$2:$J$1001,0),1)&gt;=100000,INDEX($Q$1005:$U$1005,1,MATCH(COLUMNS($Q$1006:U1006),$Q$1006:$U$1006,0))&gt;=100000), " ",IF(INDEX($Q$2:$U$1001,MATCH(ROWS($J$2:J653),$J$2:$J$1001,0),MATCH(COLUMNS($Q$1006:U1006),$Q$1006:$U$1006,0)), HYPERLINK("#",""), HYPERLINK(CONCATENATE("#Metadata!", ADDRESS(INDEX($L$2:$L$1001,MATCH(ROWS($J$2:J653),$J$2:$J$1001,0),0), INDEX($Q$1004:$U$1004,1,MATCH(COLUMNS($Q$1006:U1006),$Q$1006:$U$1006,0)))),"Fix")))</f>
        <v xml:space="preserve"> </v>
      </c>
      <c r="J653">
        <f ca="1"/>
        <v>652</v>
      </c>
      <c r="K653">
        <v>100653</v>
      </c>
      <c r="L653">
        <v>653</v>
      </c>
      <c r="M653" t="b">
        <f t="shared" si="10"/>
        <v>1</v>
      </c>
      <c r="N653" t="b">
        <f>COUNTBLANK(Metadata!B653:F653)=COLUMNS(Metadata!B653:F653)</f>
        <v>1</v>
      </c>
      <c r="O653" t="str">
        <v/>
      </c>
      <c r="Q653" t="b">
        <f ca="1"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R653" t="b">
        <f>IF(Metadata!C653="",FALSE,TRUE)</f>
        <v>0</v>
      </c>
      <c r="S653" t="b">
        <f>OR(AND(IF(Metadata!D653="",FALSE,TRUE),EXACT(Metadata!D653,"missing: not collected")),AND(IF(Metadata!D653="",FALSE,TRUE),OR(EXACT(Metadata!D653,"t"),EXACT(Metadata!D653,"f"))))</f>
        <v>0</v>
      </c>
      <c r="T653" t="b">
        <f>AND(IF(Metadata!E653="",FALSE,TRUE),OR(EXACT(Metadata!E653,"a"),EXACT(Metadata!E653,"b")))</f>
        <v>0</v>
      </c>
      <c r="U653" t="b">
        <f>OR(AND(IF(Metadata!F653="",FALSE,TRUE),OR(EXACT(Metadata!F653,"missing: not collected"),EXACT(Metadata!F653,"missing: not provided"))),AND(IF(Metadata!F653="",FALSE,TRUE),OR(EXACT(Metadata!F653,"lo"),EXACT(Metadata!F653,"med"),EXACT(Metadata!F653,"hi"))))</f>
        <v>0</v>
      </c>
    </row>
    <row r="654" spans="1:21" x14ac:dyDescent="0.2">
      <c r="A654" s="4" t="str">
        <f ca="1">IF(B654=" "," ",HYPERLINK(CONCATENATE("#metadata!",ADDRESS(INDEX($L$2:$L$1001,MATCH(ROWS($J$2:J654),$J$2:$J$1001,0),0),1)),INDEX($O$2:$O$1001,MATCH(ROWS($J$2:J654),$J$2:$J$1001,0),0)))</f>
        <v xml:space="preserve"> </v>
      </c>
      <c r="B654" s="3" t="str">
        <f ca="1">IF(OR(INDEX($K$2:$K$1001,MATCH(ROWS($J$2:J654),$J$2:$J$1001,0),1)&gt;=100000,INDEX($Q$1005:$U$1005,1,MATCH(COLUMNS($Q$1006:Q1006),$Q$1006:$U$1006,0))&gt;=100000), " ",IF(INDEX($Q$2:$U$1001,MATCH(ROWS($J$2:J654),$J$2:$J$1001,0),MATCH(COLUMNS($Q$1006:Q1006),$Q$1006:$U$1006,0)), HYPERLINK("#",""), HYPERLINK(CONCATENATE("#Metadata!", ADDRESS(INDEX($L$2:$L$1001,MATCH(ROWS($J$2:J654),$J$2:$J$1001,0),0), INDEX($Q$1004:$U$1004,1,MATCH(COLUMNS($Q$1006:Q1006),$Q$1006:$U$1006,0)))),"Fix")))</f>
        <v xml:space="preserve"> </v>
      </c>
      <c r="C654" s="3" t="str">
        <f ca="1">IF(OR(INDEX($K$2:$K$1001,MATCH(ROWS($J$2:J654),$J$2:$J$1001,0),1)&gt;=100000,INDEX($Q$1005:$U$1005,1,MATCH(COLUMNS($Q$1006:R1006),$Q$1006:$U$1006,0))&gt;=100000), " ",IF(INDEX($Q$2:$U$1001,MATCH(ROWS($J$2:J654),$J$2:$J$1001,0),MATCH(COLUMNS($Q$1006:R1006),$Q$1006:$U$1006,0)), HYPERLINK("#",""), HYPERLINK(CONCATENATE("#Metadata!", ADDRESS(INDEX($L$2:$L$1001,MATCH(ROWS($J$2:J654),$J$2:$J$1001,0),0), INDEX($Q$1004:$U$1004,1,MATCH(COLUMNS($Q$1006:R1006),$Q$1006:$U$1006,0)))),"Fix")))</f>
        <v xml:space="preserve"> </v>
      </c>
      <c r="D654" s="3" t="str">
        <f ca="1">IF(OR(INDEX($K$2:$K$1001,MATCH(ROWS($J$2:J654),$J$2:$J$1001,0),1)&gt;=100000,INDEX($Q$1005:$U$1005,1,MATCH(COLUMNS($Q$1006:S1006),$Q$1006:$U$1006,0))&gt;=100000), " ",IF(INDEX($Q$2:$U$1001,MATCH(ROWS($J$2:J654),$J$2:$J$1001,0),MATCH(COLUMNS($Q$1006:S1006),$Q$1006:$U$1006,0)), HYPERLINK("#",""), HYPERLINK(CONCATENATE("#Metadata!", ADDRESS(INDEX($L$2:$L$1001,MATCH(ROWS($J$2:J654),$J$2:$J$1001,0),0), INDEX($Q$1004:$U$1004,1,MATCH(COLUMNS($Q$1006:S1006),$Q$1006:$U$1006,0)))),"Fix")))</f>
        <v xml:space="preserve"> </v>
      </c>
      <c r="E654" s="3" t="str">
        <f ca="1">IF(OR(INDEX($K$2:$K$1001,MATCH(ROWS($J$2:J654),$J$2:$J$1001,0),1)&gt;=100000,INDEX($Q$1005:$U$1005,1,MATCH(COLUMNS($Q$1006:T1006),$Q$1006:$U$1006,0))&gt;=100000), " ",IF(INDEX($Q$2:$U$1001,MATCH(ROWS($J$2:J654),$J$2:$J$1001,0),MATCH(COLUMNS($Q$1006:T1006),$Q$1006:$U$1006,0)), HYPERLINK("#",""), HYPERLINK(CONCATENATE("#Metadata!", ADDRESS(INDEX($L$2:$L$1001,MATCH(ROWS($J$2:J654),$J$2:$J$1001,0),0), INDEX($Q$1004:$U$1004,1,MATCH(COLUMNS($Q$1006:T1006),$Q$1006:$U$1006,0)))),"Fix")))</f>
        <v xml:space="preserve"> </v>
      </c>
      <c r="F654" s="3" t="str">
        <f ca="1">IF(OR(INDEX($K$2:$K$1001,MATCH(ROWS($J$2:J654),$J$2:$J$1001,0),1)&gt;=100000,INDEX($Q$1005:$U$1005,1,MATCH(COLUMNS($Q$1006:U1006),$Q$1006:$U$1006,0))&gt;=100000), " ",IF(INDEX($Q$2:$U$1001,MATCH(ROWS($J$2:J654),$J$2:$J$1001,0),MATCH(COLUMNS($Q$1006:U1006),$Q$1006:$U$1006,0)), HYPERLINK("#",""), HYPERLINK(CONCATENATE("#Metadata!", ADDRESS(INDEX($L$2:$L$1001,MATCH(ROWS($J$2:J654),$J$2:$J$1001,0),0), INDEX($Q$1004:$U$1004,1,MATCH(COLUMNS($Q$1006:U1006),$Q$1006:$U$1006,0)))),"Fix")))</f>
        <v xml:space="preserve"> </v>
      </c>
      <c r="J654">
        <f ca="1"/>
        <v>653</v>
      </c>
      <c r="K654">
        <v>100654</v>
      </c>
      <c r="L654">
        <v>654</v>
      </c>
      <c r="M654" t="b">
        <f t="shared" si="10"/>
        <v>1</v>
      </c>
      <c r="N654" t="b">
        <f>COUNTBLANK(Metadata!B654:F654)=COLUMNS(Metadata!B654:F654)</f>
        <v>1</v>
      </c>
      <c r="O654" t="str">
        <v/>
      </c>
      <c r="Q654" t="b">
        <f ca="1"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R654" t="b">
        <f>IF(Metadata!C654="",FALSE,TRUE)</f>
        <v>0</v>
      </c>
      <c r="S654" t="b">
        <f>OR(AND(IF(Metadata!D654="",FALSE,TRUE),EXACT(Metadata!D654,"missing: not collected")),AND(IF(Metadata!D654="",FALSE,TRUE),OR(EXACT(Metadata!D654,"t"),EXACT(Metadata!D654,"f"))))</f>
        <v>0</v>
      </c>
      <c r="T654" t="b">
        <f>AND(IF(Metadata!E654="",FALSE,TRUE),OR(EXACT(Metadata!E654,"a"),EXACT(Metadata!E654,"b")))</f>
        <v>0</v>
      </c>
      <c r="U654" t="b">
        <f>OR(AND(IF(Metadata!F654="",FALSE,TRUE),OR(EXACT(Metadata!F654,"missing: not collected"),EXACT(Metadata!F654,"missing: not provided"))),AND(IF(Metadata!F654="",FALSE,TRUE),OR(EXACT(Metadata!F654,"lo"),EXACT(Metadata!F654,"med"),EXACT(Metadata!F654,"hi"))))</f>
        <v>0</v>
      </c>
    </row>
    <row r="655" spans="1:21" x14ac:dyDescent="0.2">
      <c r="A655" s="4" t="str">
        <f ca="1">IF(B655=" "," ",HYPERLINK(CONCATENATE("#metadata!",ADDRESS(INDEX($L$2:$L$1001,MATCH(ROWS($J$2:J655),$J$2:$J$1001,0),0),1)),INDEX($O$2:$O$1001,MATCH(ROWS($J$2:J655),$J$2:$J$1001,0),0)))</f>
        <v xml:space="preserve"> </v>
      </c>
      <c r="B655" s="3" t="str">
        <f ca="1">IF(OR(INDEX($K$2:$K$1001,MATCH(ROWS($J$2:J655),$J$2:$J$1001,0),1)&gt;=100000,INDEX($Q$1005:$U$1005,1,MATCH(COLUMNS($Q$1006:Q1006),$Q$1006:$U$1006,0))&gt;=100000), " ",IF(INDEX($Q$2:$U$1001,MATCH(ROWS($J$2:J655),$J$2:$J$1001,0),MATCH(COLUMNS($Q$1006:Q1006),$Q$1006:$U$1006,0)), HYPERLINK("#",""), HYPERLINK(CONCATENATE("#Metadata!", ADDRESS(INDEX($L$2:$L$1001,MATCH(ROWS($J$2:J655),$J$2:$J$1001,0),0), INDEX($Q$1004:$U$1004,1,MATCH(COLUMNS($Q$1006:Q1006),$Q$1006:$U$1006,0)))),"Fix")))</f>
        <v xml:space="preserve"> </v>
      </c>
      <c r="C655" s="3" t="str">
        <f ca="1">IF(OR(INDEX($K$2:$K$1001,MATCH(ROWS($J$2:J655),$J$2:$J$1001,0),1)&gt;=100000,INDEX($Q$1005:$U$1005,1,MATCH(COLUMNS($Q$1006:R1006),$Q$1006:$U$1006,0))&gt;=100000), " ",IF(INDEX($Q$2:$U$1001,MATCH(ROWS($J$2:J655),$J$2:$J$1001,0),MATCH(COLUMNS($Q$1006:R1006),$Q$1006:$U$1006,0)), HYPERLINK("#",""), HYPERLINK(CONCATENATE("#Metadata!", ADDRESS(INDEX($L$2:$L$1001,MATCH(ROWS($J$2:J655),$J$2:$J$1001,0),0), INDEX($Q$1004:$U$1004,1,MATCH(COLUMNS($Q$1006:R1006),$Q$1006:$U$1006,0)))),"Fix")))</f>
        <v xml:space="preserve"> </v>
      </c>
      <c r="D655" s="3" t="str">
        <f ca="1">IF(OR(INDEX($K$2:$K$1001,MATCH(ROWS($J$2:J655),$J$2:$J$1001,0),1)&gt;=100000,INDEX($Q$1005:$U$1005,1,MATCH(COLUMNS($Q$1006:S1006),$Q$1006:$U$1006,0))&gt;=100000), " ",IF(INDEX($Q$2:$U$1001,MATCH(ROWS($J$2:J655),$J$2:$J$1001,0),MATCH(COLUMNS($Q$1006:S1006),$Q$1006:$U$1006,0)), HYPERLINK("#",""), HYPERLINK(CONCATENATE("#Metadata!", ADDRESS(INDEX($L$2:$L$1001,MATCH(ROWS($J$2:J655),$J$2:$J$1001,0),0), INDEX($Q$1004:$U$1004,1,MATCH(COLUMNS($Q$1006:S1006),$Q$1006:$U$1006,0)))),"Fix")))</f>
        <v xml:space="preserve"> </v>
      </c>
      <c r="E655" s="3" t="str">
        <f ca="1">IF(OR(INDEX($K$2:$K$1001,MATCH(ROWS($J$2:J655),$J$2:$J$1001,0),1)&gt;=100000,INDEX($Q$1005:$U$1005,1,MATCH(COLUMNS($Q$1006:T1006),$Q$1006:$U$1006,0))&gt;=100000), " ",IF(INDEX($Q$2:$U$1001,MATCH(ROWS($J$2:J655),$J$2:$J$1001,0),MATCH(COLUMNS($Q$1006:T1006),$Q$1006:$U$1006,0)), HYPERLINK("#",""), HYPERLINK(CONCATENATE("#Metadata!", ADDRESS(INDEX($L$2:$L$1001,MATCH(ROWS($J$2:J655),$J$2:$J$1001,0),0), INDEX($Q$1004:$U$1004,1,MATCH(COLUMNS($Q$1006:T1006),$Q$1006:$U$1006,0)))),"Fix")))</f>
        <v xml:space="preserve"> </v>
      </c>
      <c r="F655" s="3" t="str">
        <f ca="1">IF(OR(INDEX($K$2:$K$1001,MATCH(ROWS($J$2:J655),$J$2:$J$1001,0),1)&gt;=100000,INDEX($Q$1005:$U$1005,1,MATCH(COLUMNS($Q$1006:U1006),$Q$1006:$U$1006,0))&gt;=100000), " ",IF(INDEX($Q$2:$U$1001,MATCH(ROWS($J$2:J655),$J$2:$J$1001,0),MATCH(COLUMNS($Q$1006:U1006),$Q$1006:$U$1006,0)), HYPERLINK("#",""), HYPERLINK(CONCATENATE("#Metadata!", ADDRESS(INDEX($L$2:$L$1001,MATCH(ROWS($J$2:J655),$J$2:$J$1001,0),0), INDEX($Q$1004:$U$1004,1,MATCH(COLUMNS($Q$1006:U1006),$Q$1006:$U$1006,0)))),"Fix")))</f>
        <v xml:space="preserve"> </v>
      </c>
      <c r="J655">
        <f ca="1"/>
        <v>654</v>
      </c>
      <c r="K655">
        <v>100655</v>
      </c>
      <c r="L655">
        <v>655</v>
      </c>
      <c r="M655" t="b">
        <f t="shared" si="10"/>
        <v>1</v>
      </c>
      <c r="N655" t="b">
        <f>COUNTBLANK(Metadata!B655:F655)=COLUMNS(Metadata!B655:F655)</f>
        <v>1</v>
      </c>
      <c r="O655" t="str">
        <v/>
      </c>
      <c r="Q655" t="b">
        <f ca="1"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R655" t="b">
        <f>IF(Metadata!C655="",FALSE,TRUE)</f>
        <v>0</v>
      </c>
      <c r="S655" t="b">
        <f>OR(AND(IF(Metadata!D655="",FALSE,TRUE),EXACT(Metadata!D655,"missing: not collected")),AND(IF(Metadata!D655="",FALSE,TRUE),OR(EXACT(Metadata!D655,"t"),EXACT(Metadata!D655,"f"))))</f>
        <v>0</v>
      </c>
      <c r="T655" t="b">
        <f>AND(IF(Metadata!E655="",FALSE,TRUE),OR(EXACT(Metadata!E655,"a"),EXACT(Metadata!E655,"b")))</f>
        <v>0</v>
      </c>
      <c r="U655" t="b">
        <f>OR(AND(IF(Metadata!F655="",FALSE,TRUE),OR(EXACT(Metadata!F655,"missing: not collected"),EXACT(Metadata!F655,"missing: not provided"))),AND(IF(Metadata!F655="",FALSE,TRUE),OR(EXACT(Metadata!F655,"lo"),EXACT(Metadata!F655,"med"),EXACT(Metadata!F655,"hi"))))</f>
        <v>0</v>
      </c>
    </row>
    <row r="656" spans="1:21" x14ac:dyDescent="0.2">
      <c r="A656" s="4" t="str">
        <f ca="1">IF(B656=" "," ",HYPERLINK(CONCATENATE("#metadata!",ADDRESS(INDEX($L$2:$L$1001,MATCH(ROWS($J$2:J656),$J$2:$J$1001,0),0),1)),INDEX($O$2:$O$1001,MATCH(ROWS($J$2:J656),$J$2:$J$1001,0),0)))</f>
        <v xml:space="preserve"> </v>
      </c>
      <c r="B656" s="3" t="str">
        <f ca="1">IF(OR(INDEX($K$2:$K$1001,MATCH(ROWS($J$2:J656),$J$2:$J$1001,0),1)&gt;=100000,INDEX($Q$1005:$U$1005,1,MATCH(COLUMNS($Q$1006:Q1006),$Q$1006:$U$1006,0))&gt;=100000), " ",IF(INDEX($Q$2:$U$1001,MATCH(ROWS($J$2:J656),$J$2:$J$1001,0),MATCH(COLUMNS($Q$1006:Q1006),$Q$1006:$U$1006,0)), HYPERLINK("#",""), HYPERLINK(CONCATENATE("#Metadata!", ADDRESS(INDEX($L$2:$L$1001,MATCH(ROWS($J$2:J656),$J$2:$J$1001,0),0), INDEX($Q$1004:$U$1004,1,MATCH(COLUMNS($Q$1006:Q1006),$Q$1006:$U$1006,0)))),"Fix")))</f>
        <v xml:space="preserve"> </v>
      </c>
      <c r="C656" s="3" t="str">
        <f ca="1">IF(OR(INDEX($K$2:$K$1001,MATCH(ROWS($J$2:J656),$J$2:$J$1001,0),1)&gt;=100000,INDEX($Q$1005:$U$1005,1,MATCH(COLUMNS($Q$1006:R1006),$Q$1006:$U$1006,0))&gt;=100000), " ",IF(INDEX($Q$2:$U$1001,MATCH(ROWS($J$2:J656),$J$2:$J$1001,0),MATCH(COLUMNS($Q$1006:R1006),$Q$1006:$U$1006,0)), HYPERLINK("#",""), HYPERLINK(CONCATENATE("#Metadata!", ADDRESS(INDEX($L$2:$L$1001,MATCH(ROWS($J$2:J656),$J$2:$J$1001,0),0), INDEX($Q$1004:$U$1004,1,MATCH(COLUMNS($Q$1006:R1006),$Q$1006:$U$1006,0)))),"Fix")))</f>
        <v xml:space="preserve"> </v>
      </c>
      <c r="D656" s="3" t="str">
        <f ca="1">IF(OR(INDEX($K$2:$K$1001,MATCH(ROWS($J$2:J656),$J$2:$J$1001,0),1)&gt;=100000,INDEX($Q$1005:$U$1005,1,MATCH(COLUMNS($Q$1006:S1006),$Q$1006:$U$1006,0))&gt;=100000), " ",IF(INDEX($Q$2:$U$1001,MATCH(ROWS($J$2:J656),$J$2:$J$1001,0),MATCH(COLUMNS($Q$1006:S1006),$Q$1006:$U$1006,0)), HYPERLINK("#",""), HYPERLINK(CONCATENATE("#Metadata!", ADDRESS(INDEX($L$2:$L$1001,MATCH(ROWS($J$2:J656),$J$2:$J$1001,0),0), INDEX($Q$1004:$U$1004,1,MATCH(COLUMNS($Q$1006:S1006),$Q$1006:$U$1006,0)))),"Fix")))</f>
        <v xml:space="preserve"> </v>
      </c>
      <c r="E656" s="3" t="str">
        <f ca="1">IF(OR(INDEX($K$2:$K$1001,MATCH(ROWS($J$2:J656),$J$2:$J$1001,0),1)&gt;=100000,INDEX($Q$1005:$U$1005,1,MATCH(COLUMNS($Q$1006:T1006),$Q$1006:$U$1006,0))&gt;=100000), " ",IF(INDEX($Q$2:$U$1001,MATCH(ROWS($J$2:J656),$J$2:$J$1001,0),MATCH(COLUMNS($Q$1006:T1006),$Q$1006:$U$1006,0)), HYPERLINK("#",""), HYPERLINK(CONCATENATE("#Metadata!", ADDRESS(INDEX($L$2:$L$1001,MATCH(ROWS($J$2:J656),$J$2:$J$1001,0),0), INDEX($Q$1004:$U$1004,1,MATCH(COLUMNS($Q$1006:T1006),$Q$1006:$U$1006,0)))),"Fix")))</f>
        <v xml:space="preserve"> </v>
      </c>
      <c r="F656" s="3" t="str">
        <f ca="1">IF(OR(INDEX($K$2:$K$1001,MATCH(ROWS($J$2:J656),$J$2:$J$1001,0),1)&gt;=100000,INDEX($Q$1005:$U$1005,1,MATCH(COLUMNS($Q$1006:U1006),$Q$1006:$U$1006,0))&gt;=100000), " ",IF(INDEX($Q$2:$U$1001,MATCH(ROWS($J$2:J656),$J$2:$J$1001,0),MATCH(COLUMNS($Q$1006:U1006),$Q$1006:$U$1006,0)), HYPERLINK("#",""), HYPERLINK(CONCATENATE("#Metadata!", ADDRESS(INDEX($L$2:$L$1001,MATCH(ROWS($J$2:J656),$J$2:$J$1001,0),0), INDEX($Q$1004:$U$1004,1,MATCH(COLUMNS($Q$1006:U1006),$Q$1006:$U$1006,0)))),"Fix")))</f>
        <v xml:space="preserve"> </v>
      </c>
      <c r="J656">
        <f ca="1"/>
        <v>655</v>
      </c>
      <c r="K656">
        <v>100656</v>
      </c>
      <c r="L656">
        <v>656</v>
      </c>
      <c r="M656" t="b">
        <f t="shared" si="10"/>
        <v>1</v>
      </c>
      <c r="N656" t="b">
        <f>COUNTBLANK(Metadata!B656:F656)=COLUMNS(Metadata!B656:F656)</f>
        <v>1</v>
      </c>
      <c r="O656" t="str">
        <v/>
      </c>
      <c r="Q656" t="b">
        <f ca="1"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R656" t="b">
        <f>IF(Metadata!C656="",FALSE,TRUE)</f>
        <v>0</v>
      </c>
      <c r="S656" t="b">
        <f>OR(AND(IF(Metadata!D656="",FALSE,TRUE),EXACT(Metadata!D656,"missing: not collected")),AND(IF(Metadata!D656="",FALSE,TRUE),OR(EXACT(Metadata!D656,"t"),EXACT(Metadata!D656,"f"))))</f>
        <v>0</v>
      </c>
      <c r="T656" t="b">
        <f>AND(IF(Metadata!E656="",FALSE,TRUE),OR(EXACT(Metadata!E656,"a"),EXACT(Metadata!E656,"b")))</f>
        <v>0</v>
      </c>
      <c r="U656" t="b">
        <f>OR(AND(IF(Metadata!F656="",FALSE,TRUE),OR(EXACT(Metadata!F656,"missing: not collected"),EXACT(Metadata!F656,"missing: not provided"))),AND(IF(Metadata!F656="",FALSE,TRUE),OR(EXACT(Metadata!F656,"lo"),EXACT(Metadata!F656,"med"),EXACT(Metadata!F656,"hi"))))</f>
        <v>0</v>
      </c>
    </row>
    <row r="657" spans="1:21" x14ac:dyDescent="0.2">
      <c r="A657" s="4" t="str">
        <f ca="1">IF(B657=" "," ",HYPERLINK(CONCATENATE("#metadata!",ADDRESS(INDEX($L$2:$L$1001,MATCH(ROWS($J$2:J657),$J$2:$J$1001,0),0),1)),INDEX($O$2:$O$1001,MATCH(ROWS($J$2:J657),$J$2:$J$1001,0),0)))</f>
        <v xml:space="preserve"> </v>
      </c>
      <c r="B657" s="3" t="str">
        <f ca="1">IF(OR(INDEX($K$2:$K$1001,MATCH(ROWS($J$2:J657),$J$2:$J$1001,0),1)&gt;=100000,INDEX($Q$1005:$U$1005,1,MATCH(COLUMNS($Q$1006:Q1006),$Q$1006:$U$1006,0))&gt;=100000), " ",IF(INDEX($Q$2:$U$1001,MATCH(ROWS($J$2:J657),$J$2:$J$1001,0),MATCH(COLUMNS($Q$1006:Q1006),$Q$1006:$U$1006,0)), HYPERLINK("#",""), HYPERLINK(CONCATENATE("#Metadata!", ADDRESS(INDEX($L$2:$L$1001,MATCH(ROWS($J$2:J657),$J$2:$J$1001,0),0), INDEX($Q$1004:$U$1004,1,MATCH(COLUMNS($Q$1006:Q1006),$Q$1006:$U$1006,0)))),"Fix")))</f>
        <v xml:space="preserve"> </v>
      </c>
      <c r="C657" s="3" t="str">
        <f ca="1">IF(OR(INDEX($K$2:$K$1001,MATCH(ROWS($J$2:J657),$J$2:$J$1001,0),1)&gt;=100000,INDEX($Q$1005:$U$1005,1,MATCH(COLUMNS($Q$1006:R1006),$Q$1006:$U$1006,0))&gt;=100000), " ",IF(INDEX($Q$2:$U$1001,MATCH(ROWS($J$2:J657),$J$2:$J$1001,0),MATCH(COLUMNS($Q$1006:R1006),$Q$1006:$U$1006,0)), HYPERLINK("#",""), HYPERLINK(CONCATENATE("#Metadata!", ADDRESS(INDEX($L$2:$L$1001,MATCH(ROWS($J$2:J657),$J$2:$J$1001,0),0), INDEX($Q$1004:$U$1004,1,MATCH(COLUMNS($Q$1006:R1006),$Q$1006:$U$1006,0)))),"Fix")))</f>
        <v xml:space="preserve"> </v>
      </c>
      <c r="D657" s="3" t="str">
        <f ca="1">IF(OR(INDEX($K$2:$K$1001,MATCH(ROWS($J$2:J657),$J$2:$J$1001,0),1)&gt;=100000,INDEX($Q$1005:$U$1005,1,MATCH(COLUMNS($Q$1006:S1006),$Q$1006:$U$1006,0))&gt;=100000), " ",IF(INDEX($Q$2:$U$1001,MATCH(ROWS($J$2:J657),$J$2:$J$1001,0),MATCH(COLUMNS($Q$1006:S1006),$Q$1006:$U$1006,0)), HYPERLINK("#",""), HYPERLINK(CONCATENATE("#Metadata!", ADDRESS(INDEX($L$2:$L$1001,MATCH(ROWS($J$2:J657),$J$2:$J$1001,0),0), INDEX($Q$1004:$U$1004,1,MATCH(COLUMNS($Q$1006:S1006),$Q$1006:$U$1006,0)))),"Fix")))</f>
        <v xml:space="preserve"> </v>
      </c>
      <c r="E657" s="3" t="str">
        <f ca="1">IF(OR(INDEX($K$2:$K$1001,MATCH(ROWS($J$2:J657),$J$2:$J$1001,0),1)&gt;=100000,INDEX($Q$1005:$U$1005,1,MATCH(COLUMNS($Q$1006:T1006),$Q$1006:$U$1006,0))&gt;=100000), " ",IF(INDEX($Q$2:$U$1001,MATCH(ROWS($J$2:J657),$J$2:$J$1001,0),MATCH(COLUMNS($Q$1006:T1006),$Q$1006:$U$1006,0)), HYPERLINK("#",""), HYPERLINK(CONCATENATE("#Metadata!", ADDRESS(INDEX($L$2:$L$1001,MATCH(ROWS($J$2:J657),$J$2:$J$1001,0),0), INDEX($Q$1004:$U$1004,1,MATCH(COLUMNS($Q$1006:T1006),$Q$1006:$U$1006,0)))),"Fix")))</f>
        <v xml:space="preserve"> </v>
      </c>
      <c r="F657" s="3" t="str">
        <f ca="1">IF(OR(INDEX($K$2:$K$1001,MATCH(ROWS($J$2:J657),$J$2:$J$1001,0),1)&gt;=100000,INDEX($Q$1005:$U$1005,1,MATCH(COLUMNS($Q$1006:U1006),$Q$1006:$U$1006,0))&gt;=100000), " ",IF(INDEX($Q$2:$U$1001,MATCH(ROWS($J$2:J657),$J$2:$J$1001,0),MATCH(COLUMNS($Q$1006:U1006),$Q$1006:$U$1006,0)), HYPERLINK("#",""), HYPERLINK(CONCATENATE("#Metadata!", ADDRESS(INDEX($L$2:$L$1001,MATCH(ROWS($J$2:J657),$J$2:$J$1001,0),0), INDEX($Q$1004:$U$1004,1,MATCH(COLUMNS($Q$1006:U1006),$Q$1006:$U$1006,0)))),"Fix")))</f>
        <v xml:space="preserve"> </v>
      </c>
      <c r="J657">
        <f ca="1"/>
        <v>656</v>
      </c>
      <c r="K657">
        <v>100657</v>
      </c>
      <c r="L657">
        <v>657</v>
      </c>
      <c r="M657" t="b">
        <f t="shared" si="10"/>
        <v>1</v>
      </c>
      <c r="N657" t="b">
        <f>COUNTBLANK(Metadata!B657:F657)=COLUMNS(Metadata!B657:F657)</f>
        <v>1</v>
      </c>
      <c r="O657" t="str">
        <v/>
      </c>
      <c r="Q657" t="b">
        <f ca="1"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R657" t="b">
        <f>IF(Metadata!C657="",FALSE,TRUE)</f>
        <v>0</v>
      </c>
      <c r="S657" t="b">
        <f>OR(AND(IF(Metadata!D657="",FALSE,TRUE),EXACT(Metadata!D657,"missing: not collected")),AND(IF(Metadata!D657="",FALSE,TRUE),OR(EXACT(Metadata!D657,"t"),EXACT(Metadata!D657,"f"))))</f>
        <v>0</v>
      </c>
      <c r="T657" t="b">
        <f>AND(IF(Metadata!E657="",FALSE,TRUE),OR(EXACT(Metadata!E657,"a"),EXACT(Metadata!E657,"b")))</f>
        <v>0</v>
      </c>
      <c r="U657" t="b">
        <f>OR(AND(IF(Metadata!F657="",FALSE,TRUE),OR(EXACT(Metadata!F657,"missing: not collected"),EXACT(Metadata!F657,"missing: not provided"))),AND(IF(Metadata!F657="",FALSE,TRUE),OR(EXACT(Metadata!F657,"lo"),EXACT(Metadata!F657,"med"),EXACT(Metadata!F657,"hi"))))</f>
        <v>0</v>
      </c>
    </row>
    <row r="658" spans="1:21" x14ac:dyDescent="0.2">
      <c r="A658" s="4" t="str">
        <f ca="1">IF(B658=" "," ",HYPERLINK(CONCATENATE("#metadata!",ADDRESS(INDEX($L$2:$L$1001,MATCH(ROWS($J$2:J658),$J$2:$J$1001,0),0),1)),INDEX($O$2:$O$1001,MATCH(ROWS($J$2:J658),$J$2:$J$1001,0),0)))</f>
        <v xml:space="preserve"> </v>
      </c>
      <c r="B658" s="3" t="str">
        <f ca="1">IF(OR(INDEX($K$2:$K$1001,MATCH(ROWS($J$2:J658),$J$2:$J$1001,0),1)&gt;=100000,INDEX($Q$1005:$U$1005,1,MATCH(COLUMNS($Q$1006:Q1006),$Q$1006:$U$1006,0))&gt;=100000), " ",IF(INDEX($Q$2:$U$1001,MATCH(ROWS($J$2:J658),$J$2:$J$1001,0),MATCH(COLUMNS($Q$1006:Q1006),$Q$1006:$U$1006,0)), HYPERLINK("#",""), HYPERLINK(CONCATENATE("#Metadata!", ADDRESS(INDEX($L$2:$L$1001,MATCH(ROWS($J$2:J658),$J$2:$J$1001,0),0), INDEX($Q$1004:$U$1004,1,MATCH(COLUMNS($Q$1006:Q1006),$Q$1006:$U$1006,0)))),"Fix")))</f>
        <v xml:space="preserve"> </v>
      </c>
      <c r="C658" s="3" t="str">
        <f ca="1">IF(OR(INDEX($K$2:$K$1001,MATCH(ROWS($J$2:J658),$J$2:$J$1001,0),1)&gt;=100000,INDEX($Q$1005:$U$1005,1,MATCH(COLUMNS($Q$1006:R1006),$Q$1006:$U$1006,0))&gt;=100000), " ",IF(INDEX($Q$2:$U$1001,MATCH(ROWS($J$2:J658),$J$2:$J$1001,0),MATCH(COLUMNS($Q$1006:R1006),$Q$1006:$U$1006,0)), HYPERLINK("#",""), HYPERLINK(CONCATENATE("#Metadata!", ADDRESS(INDEX($L$2:$L$1001,MATCH(ROWS($J$2:J658),$J$2:$J$1001,0),0), INDEX($Q$1004:$U$1004,1,MATCH(COLUMNS($Q$1006:R1006),$Q$1006:$U$1006,0)))),"Fix")))</f>
        <v xml:space="preserve"> </v>
      </c>
      <c r="D658" s="3" t="str">
        <f ca="1">IF(OR(INDEX($K$2:$K$1001,MATCH(ROWS($J$2:J658),$J$2:$J$1001,0),1)&gt;=100000,INDEX($Q$1005:$U$1005,1,MATCH(COLUMNS($Q$1006:S1006),$Q$1006:$U$1006,0))&gt;=100000), " ",IF(INDEX($Q$2:$U$1001,MATCH(ROWS($J$2:J658),$J$2:$J$1001,0),MATCH(COLUMNS($Q$1006:S1006),$Q$1006:$U$1006,0)), HYPERLINK("#",""), HYPERLINK(CONCATENATE("#Metadata!", ADDRESS(INDEX($L$2:$L$1001,MATCH(ROWS($J$2:J658),$J$2:$J$1001,0),0), INDEX($Q$1004:$U$1004,1,MATCH(COLUMNS($Q$1006:S1006),$Q$1006:$U$1006,0)))),"Fix")))</f>
        <v xml:space="preserve"> </v>
      </c>
      <c r="E658" s="3" t="str">
        <f ca="1">IF(OR(INDEX($K$2:$K$1001,MATCH(ROWS($J$2:J658),$J$2:$J$1001,0),1)&gt;=100000,INDEX($Q$1005:$U$1005,1,MATCH(COLUMNS($Q$1006:T1006),$Q$1006:$U$1006,0))&gt;=100000), " ",IF(INDEX($Q$2:$U$1001,MATCH(ROWS($J$2:J658),$J$2:$J$1001,0),MATCH(COLUMNS($Q$1006:T1006),$Q$1006:$U$1006,0)), HYPERLINK("#",""), HYPERLINK(CONCATENATE("#Metadata!", ADDRESS(INDEX($L$2:$L$1001,MATCH(ROWS($J$2:J658),$J$2:$J$1001,0),0), INDEX($Q$1004:$U$1004,1,MATCH(COLUMNS($Q$1006:T1006),$Q$1006:$U$1006,0)))),"Fix")))</f>
        <v xml:space="preserve"> </v>
      </c>
      <c r="F658" s="3" t="str">
        <f ca="1">IF(OR(INDEX($K$2:$K$1001,MATCH(ROWS($J$2:J658),$J$2:$J$1001,0),1)&gt;=100000,INDEX($Q$1005:$U$1005,1,MATCH(COLUMNS($Q$1006:U1006),$Q$1006:$U$1006,0))&gt;=100000), " ",IF(INDEX($Q$2:$U$1001,MATCH(ROWS($J$2:J658),$J$2:$J$1001,0),MATCH(COLUMNS($Q$1006:U1006),$Q$1006:$U$1006,0)), HYPERLINK("#",""), HYPERLINK(CONCATENATE("#Metadata!", ADDRESS(INDEX($L$2:$L$1001,MATCH(ROWS($J$2:J658),$J$2:$J$1001,0),0), INDEX($Q$1004:$U$1004,1,MATCH(COLUMNS($Q$1006:U1006),$Q$1006:$U$1006,0)))),"Fix")))</f>
        <v xml:space="preserve"> </v>
      </c>
      <c r="J658">
        <f ca="1"/>
        <v>657</v>
      </c>
      <c r="K658">
        <v>100658</v>
      </c>
      <c r="L658">
        <v>658</v>
      </c>
      <c r="M658" t="b">
        <f t="shared" si="10"/>
        <v>1</v>
      </c>
      <c r="N658" t="b">
        <f>COUNTBLANK(Metadata!B658:F658)=COLUMNS(Metadata!B658:F658)</f>
        <v>1</v>
      </c>
      <c r="O658" t="str">
        <v/>
      </c>
      <c r="Q658" t="b">
        <f ca="1"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R658" t="b">
        <f>IF(Metadata!C658="",FALSE,TRUE)</f>
        <v>0</v>
      </c>
      <c r="S658" t="b">
        <f>OR(AND(IF(Metadata!D658="",FALSE,TRUE),EXACT(Metadata!D658,"missing: not collected")),AND(IF(Metadata!D658="",FALSE,TRUE),OR(EXACT(Metadata!D658,"t"),EXACT(Metadata!D658,"f"))))</f>
        <v>0</v>
      </c>
      <c r="T658" t="b">
        <f>AND(IF(Metadata!E658="",FALSE,TRUE),OR(EXACT(Metadata!E658,"a"),EXACT(Metadata!E658,"b")))</f>
        <v>0</v>
      </c>
      <c r="U658" t="b">
        <f>OR(AND(IF(Metadata!F658="",FALSE,TRUE),OR(EXACT(Metadata!F658,"missing: not collected"),EXACT(Metadata!F658,"missing: not provided"))),AND(IF(Metadata!F658="",FALSE,TRUE),OR(EXACT(Metadata!F658,"lo"),EXACT(Metadata!F658,"med"),EXACT(Metadata!F658,"hi"))))</f>
        <v>0</v>
      </c>
    </row>
    <row r="659" spans="1:21" x14ac:dyDescent="0.2">
      <c r="A659" s="4" t="str">
        <f ca="1">IF(B659=" "," ",HYPERLINK(CONCATENATE("#metadata!",ADDRESS(INDEX($L$2:$L$1001,MATCH(ROWS($J$2:J659),$J$2:$J$1001,0),0),1)),INDEX($O$2:$O$1001,MATCH(ROWS($J$2:J659),$J$2:$J$1001,0),0)))</f>
        <v xml:space="preserve"> </v>
      </c>
      <c r="B659" s="3" t="str">
        <f ca="1">IF(OR(INDEX($K$2:$K$1001,MATCH(ROWS($J$2:J659),$J$2:$J$1001,0),1)&gt;=100000,INDEX($Q$1005:$U$1005,1,MATCH(COLUMNS($Q$1006:Q1006),$Q$1006:$U$1006,0))&gt;=100000), " ",IF(INDEX($Q$2:$U$1001,MATCH(ROWS($J$2:J659),$J$2:$J$1001,0),MATCH(COLUMNS($Q$1006:Q1006),$Q$1006:$U$1006,0)), HYPERLINK("#",""), HYPERLINK(CONCATENATE("#Metadata!", ADDRESS(INDEX($L$2:$L$1001,MATCH(ROWS($J$2:J659),$J$2:$J$1001,0),0), INDEX($Q$1004:$U$1004,1,MATCH(COLUMNS($Q$1006:Q1006),$Q$1006:$U$1006,0)))),"Fix")))</f>
        <v xml:space="preserve"> </v>
      </c>
      <c r="C659" s="3" t="str">
        <f ca="1">IF(OR(INDEX($K$2:$K$1001,MATCH(ROWS($J$2:J659),$J$2:$J$1001,0),1)&gt;=100000,INDEX($Q$1005:$U$1005,1,MATCH(COLUMNS($Q$1006:R1006),$Q$1006:$U$1006,0))&gt;=100000), " ",IF(INDEX($Q$2:$U$1001,MATCH(ROWS($J$2:J659),$J$2:$J$1001,0),MATCH(COLUMNS($Q$1006:R1006),$Q$1006:$U$1006,0)), HYPERLINK("#",""), HYPERLINK(CONCATENATE("#Metadata!", ADDRESS(INDEX($L$2:$L$1001,MATCH(ROWS($J$2:J659),$J$2:$J$1001,0),0), INDEX($Q$1004:$U$1004,1,MATCH(COLUMNS($Q$1006:R1006),$Q$1006:$U$1006,0)))),"Fix")))</f>
        <v xml:space="preserve"> </v>
      </c>
      <c r="D659" s="3" t="str">
        <f ca="1">IF(OR(INDEX($K$2:$K$1001,MATCH(ROWS($J$2:J659),$J$2:$J$1001,0),1)&gt;=100000,INDEX($Q$1005:$U$1005,1,MATCH(COLUMNS($Q$1006:S1006),$Q$1006:$U$1006,0))&gt;=100000), " ",IF(INDEX($Q$2:$U$1001,MATCH(ROWS($J$2:J659),$J$2:$J$1001,0),MATCH(COLUMNS($Q$1006:S1006),$Q$1006:$U$1006,0)), HYPERLINK("#",""), HYPERLINK(CONCATENATE("#Metadata!", ADDRESS(INDEX($L$2:$L$1001,MATCH(ROWS($J$2:J659),$J$2:$J$1001,0),0), INDEX($Q$1004:$U$1004,1,MATCH(COLUMNS($Q$1006:S1006),$Q$1006:$U$1006,0)))),"Fix")))</f>
        <v xml:space="preserve"> </v>
      </c>
      <c r="E659" s="3" t="str">
        <f ca="1">IF(OR(INDEX($K$2:$K$1001,MATCH(ROWS($J$2:J659),$J$2:$J$1001,0),1)&gt;=100000,INDEX($Q$1005:$U$1005,1,MATCH(COLUMNS($Q$1006:T1006),$Q$1006:$U$1006,0))&gt;=100000), " ",IF(INDEX($Q$2:$U$1001,MATCH(ROWS($J$2:J659),$J$2:$J$1001,0),MATCH(COLUMNS($Q$1006:T1006),$Q$1006:$U$1006,0)), HYPERLINK("#",""), HYPERLINK(CONCATENATE("#Metadata!", ADDRESS(INDEX($L$2:$L$1001,MATCH(ROWS($J$2:J659),$J$2:$J$1001,0),0), INDEX($Q$1004:$U$1004,1,MATCH(COLUMNS($Q$1006:T1006),$Q$1006:$U$1006,0)))),"Fix")))</f>
        <v xml:space="preserve"> </v>
      </c>
      <c r="F659" s="3" t="str">
        <f ca="1">IF(OR(INDEX($K$2:$K$1001,MATCH(ROWS($J$2:J659),$J$2:$J$1001,0),1)&gt;=100000,INDEX($Q$1005:$U$1005,1,MATCH(COLUMNS($Q$1006:U1006),$Q$1006:$U$1006,0))&gt;=100000), " ",IF(INDEX($Q$2:$U$1001,MATCH(ROWS($J$2:J659),$J$2:$J$1001,0),MATCH(COLUMNS($Q$1006:U1006),$Q$1006:$U$1006,0)), HYPERLINK("#",""), HYPERLINK(CONCATENATE("#Metadata!", ADDRESS(INDEX($L$2:$L$1001,MATCH(ROWS($J$2:J659),$J$2:$J$1001,0),0), INDEX($Q$1004:$U$1004,1,MATCH(COLUMNS($Q$1006:U1006),$Q$1006:$U$1006,0)))),"Fix")))</f>
        <v xml:space="preserve"> </v>
      </c>
      <c r="J659">
        <f ca="1"/>
        <v>658</v>
      </c>
      <c r="K659">
        <v>100659</v>
      </c>
      <c r="L659">
        <v>659</v>
      </c>
      <c r="M659" t="b">
        <f t="shared" si="10"/>
        <v>1</v>
      </c>
      <c r="N659" t="b">
        <f>COUNTBLANK(Metadata!B659:F659)=COLUMNS(Metadata!B659:F659)</f>
        <v>1</v>
      </c>
      <c r="O659" t="str">
        <v/>
      </c>
      <c r="Q659" t="b">
        <f ca="1"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R659" t="b">
        <f>IF(Metadata!C659="",FALSE,TRUE)</f>
        <v>0</v>
      </c>
      <c r="S659" t="b">
        <f>OR(AND(IF(Metadata!D659="",FALSE,TRUE),EXACT(Metadata!D659,"missing: not collected")),AND(IF(Metadata!D659="",FALSE,TRUE),OR(EXACT(Metadata!D659,"t"),EXACT(Metadata!D659,"f"))))</f>
        <v>0</v>
      </c>
      <c r="T659" t="b">
        <f>AND(IF(Metadata!E659="",FALSE,TRUE),OR(EXACT(Metadata!E659,"a"),EXACT(Metadata!E659,"b")))</f>
        <v>0</v>
      </c>
      <c r="U659" t="b">
        <f>OR(AND(IF(Metadata!F659="",FALSE,TRUE),OR(EXACT(Metadata!F659,"missing: not collected"),EXACT(Metadata!F659,"missing: not provided"))),AND(IF(Metadata!F659="",FALSE,TRUE),OR(EXACT(Metadata!F659,"lo"),EXACT(Metadata!F659,"med"),EXACT(Metadata!F659,"hi"))))</f>
        <v>0</v>
      </c>
    </row>
    <row r="660" spans="1:21" x14ac:dyDescent="0.2">
      <c r="A660" s="4" t="str">
        <f ca="1">IF(B660=" "," ",HYPERLINK(CONCATENATE("#metadata!",ADDRESS(INDEX($L$2:$L$1001,MATCH(ROWS($J$2:J660),$J$2:$J$1001,0),0),1)),INDEX($O$2:$O$1001,MATCH(ROWS($J$2:J660),$J$2:$J$1001,0),0)))</f>
        <v xml:space="preserve"> </v>
      </c>
      <c r="B660" s="3" t="str">
        <f ca="1">IF(OR(INDEX($K$2:$K$1001,MATCH(ROWS($J$2:J660),$J$2:$J$1001,0),1)&gt;=100000,INDEX($Q$1005:$U$1005,1,MATCH(COLUMNS($Q$1006:Q1006),$Q$1006:$U$1006,0))&gt;=100000), " ",IF(INDEX($Q$2:$U$1001,MATCH(ROWS($J$2:J660),$J$2:$J$1001,0),MATCH(COLUMNS($Q$1006:Q1006),$Q$1006:$U$1006,0)), HYPERLINK("#",""), HYPERLINK(CONCATENATE("#Metadata!", ADDRESS(INDEX($L$2:$L$1001,MATCH(ROWS($J$2:J660),$J$2:$J$1001,0),0), INDEX($Q$1004:$U$1004,1,MATCH(COLUMNS($Q$1006:Q1006),$Q$1006:$U$1006,0)))),"Fix")))</f>
        <v xml:space="preserve"> </v>
      </c>
      <c r="C660" s="3" t="str">
        <f ca="1">IF(OR(INDEX($K$2:$K$1001,MATCH(ROWS($J$2:J660),$J$2:$J$1001,0),1)&gt;=100000,INDEX($Q$1005:$U$1005,1,MATCH(COLUMNS($Q$1006:R1006),$Q$1006:$U$1006,0))&gt;=100000), " ",IF(INDEX($Q$2:$U$1001,MATCH(ROWS($J$2:J660),$J$2:$J$1001,0),MATCH(COLUMNS($Q$1006:R1006),$Q$1006:$U$1006,0)), HYPERLINK("#",""), HYPERLINK(CONCATENATE("#Metadata!", ADDRESS(INDEX($L$2:$L$1001,MATCH(ROWS($J$2:J660),$J$2:$J$1001,0),0), INDEX($Q$1004:$U$1004,1,MATCH(COLUMNS($Q$1006:R1006),$Q$1006:$U$1006,0)))),"Fix")))</f>
        <v xml:space="preserve"> </v>
      </c>
      <c r="D660" s="3" t="str">
        <f ca="1">IF(OR(INDEX($K$2:$K$1001,MATCH(ROWS($J$2:J660),$J$2:$J$1001,0),1)&gt;=100000,INDEX($Q$1005:$U$1005,1,MATCH(COLUMNS($Q$1006:S1006),$Q$1006:$U$1006,0))&gt;=100000), " ",IF(INDEX($Q$2:$U$1001,MATCH(ROWS($J$2:J660),$J$2:$J$1001,0),MATCH(COLUMNS($Q$1006:S1006),$Q$1006:$U$1006,0)), HYPERLINK("#",""), HYPERLINK(CONCATENATE("#Metadata!", ADDRESS(INDEX($L$2:$L$1001,MATCH(ROWS($J$2:J660),$J$2:$J$1001,0),0), INDEX($Q$1004:$U$1004,1,MATCH(COLUMNS($Q$1006:S1006),$Q$1006:$U$1006,0)))),"Fix")))</f>
        <v xml:space="preserve"> </v>
      </c>
      <c r="E660" s="3" t="str">
        <f ca="1">IF(OR(INDEX($K$2:$K$1001,MATCH(ROWS($J$2:J660),$J$2:$J$1001,0),1)&gt;=100000,INDEX($Q$1005:$U$1005,1,MATCH(COLUMNS($Q$1006:T1006),$Q$1006:$U$1006,0))&gt;=100000), " ",IF(INDEX($Q$2:$U$1001,MATCH(ROWS($J$2:J660),$J$2:$J$1001,0),MATCH(COLUMNS($Q$1006:T1006),$Q$1006:$U$1006,0)), HYPERLINK("#",""), HYPERLINK(CONCATENATE("#Metadata!", ADDRESS(INDEX($L$2:$L$1001,MATCH(ROWS($J$2:J660),$J$2:$J$1001,0),0), INDEX($Q$1004:$U$1004,1,MATCH(COLUMNS($Q$1006:T1006),$Q$1006:$U$1006,0)))),"Fix")))</f>
        <v xml:space="preserve"> </v>
      </c>
      <c r="F660" s="3" t="str">
        <f ca="1">IF(OR(INDEX($K$2:$K$1001,MATCH(ROWS($J$2:J660),$J$2:$J$1001,0),1)&gt;=100000,INDEX($Q$1005:$U$1005,1,MATCH(COLUMNS($Q$1006:U1006),$Q$1006:$U$1006,0))&gt;=100000), " ",IF(INDEX($Q$2:$U$1001,MATCH(ROWS($J$2:J660),$J$2:$J$1001,0),MATCH(COLUMNS($Q$1006:U1006),$Q$1006:$U$1006,0)), HYPERLINK("#",""), HYPERLINK(CONCATENATE("#Metadata!", ADDRESS(INDEX($L$2:$L$1001,MATCH(ROWS($J$2:J660),$J$2:$J$1001,0),0), INDEX($Q$1004:$U$1004,1,MATCH(COLUMNS($Q$1006:U1006),$Q$1006:$U$1006,0)))),"Fix")))</f>
        <v xml:space="preserve"> </v>
      </c>
      <c r="J660">
        <f ca="1"/>
        <v>659</v>
      </c>
      <c r="K660">
        <v>100660</v>
      </c>
      <c r="L660">
        <v>660</v>
      </c>
      <c r="M660" t="b">
        <f t="shared" si="10"/>
        <v>1</v>
      </c>
      <c r="N660" t="b">
        <f>COUNTBLANK(Metadata!B660:F660)=COLUMNS(Metadata!B660:F660)</f>
        <v>1</v>
      </c>
      <c r="O660" t="str">
        <v/>
      </c>
      <c r="Q660" t="b">
        <f ca="1"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R660" t="b">
        <f>IF(Metadata!C660="",FALSE,TRUE)</f>
        <v>0</v>
      </c>
      <c r="S660" t="b">
        <f>OR(AND(IF(Metadata!D660="",FALSE,TRUE),EXACT(Metadata!D660,"missing: not collected")),AND(IF(Metadata!D660="",FALSE,TRUE),OR(EXACT(Metadata!D660,"t"),EXACT(Metadata!D660,"f"))))</f>
        <v>0</v>
      </c>
      <c r="T660" t="b">
        <f>AND(IF(Metadata!E660="",FALSE,TRUE),OR(EXACT(Metadata!E660,"a"),EXACT(Metadata!E660,"b")))</f>
        <v>0</v>
      </c>
      <c r="U660" t="b">
        <f>OR(AND(IF(Metadata!F660="",FALSE,TRUE),OR(EXACT(Metadata!F660,"missing: not collected"),EXACT(Metadata!F660,"missing: not provided"))),AND(IF(Metadata!F660="",FALSE,TRUE),OR(EXACT(Metadata!F660,"lo"),EXACT(Metadata!F660,"med"),EXACT(Metadata!F660,"hi"))))</f>
        <v>0</v>
      </c>
    </row>
    <row r="661" spans="1:21" x14ac:dyDescent="0.2">
      <c r="A661" s="4" t="str">
        <f ca="1">IF(B661=" "," ",HYPERLINK(CONCATENATE("#metadata!",ADDRESS(INDEX($L$2:$L$1001,MATCH(ROWS($J$2:J661),$J$2:$J$1001,0),0),1)),INDEX($O$2:$O$1001,MATCH(ROWS($J$2:J661),$J$2:$J$1001,0),0)))</f>
        <v xml:space="preserve"> </v>
      </c>
      <c r="B661" s="3" t="str">
        <f ca="1">IF(OR(INDEX($K$2:$K$1001,MATCH(ROWS($J$2:J661),$J$2:$J$1001,0),1)&gt;=100000,INDEX($Q$1005:$U$1005,1,MATCH(COLUMNS($Q$1006:Q1006),$Q$1006:$U$1006,0))&gt;=100000), " ",IF(INDEX($Q$2:$U$1001,MATCH(ROWS($J$2:J661),$J$2:$J$1001,0),MATCH(COLUMNS($Q$1006:Q1006),$Q$1006:$U$1006,0)), HYPERLINK("#",""), HYPERLINK(CONCATENATE("#Metadata!", ADDRESS(INDEX($L$2:$L$1001,MATCH(ROWS($J$2:J661),$J$2:$J$1001,0),0), INDEX($Q$1004:$U$1004,1,MATCH(COLUMNS($Q$1006:Q1006),$Q$1006:$U$1006,0)))),"Fix")))</f>
        <v xml:space="preserve"> </v>
      </c>
      <c r="C661" s="3" t="str">
        <f ca="1">IF(OR(INDEX($K$2:$K$1001,MATCH(ROWS($J$2:J661),$J$2:$J$1001,0),1)&gt;=100000,INDEX($Q$1005:$U$1005,1,MATCH(COLUMNS($Q$1006:R1006),$Q$1006:$U$1006,0))&gt;=100000), " ",IF(INDEX($Q$2:$U$1001,MATCH(ROWS($J$2:J661),$J$2:$J$1001,0),MATCH(COLUMNS($Q$1006:R1006),$Q$1006:$U$1006,0)), HYPERLINK("#",""), HYPERLINK(CONCATENATE("#Metadata!", ADDRESS(INDEX($L$2:$L$1001,MATCH(ROWS($J$2:J661),$J$2:$J$1001,0),0), INDEX($Q$1004:$U$1004,1,MATCH(COLUMNS($Q$1006:R1006),$Q$1006:$U$1006,0)))),"Fix")))</f>
        <v xml:space="preserve"> </v>
      </c>
      <c r="D661" s="3" t="str">
        <f ca="1">IF(OR(INDEX($K$2:$K$1001,MATCH(ROWS($J$2:J661),$J$2:$J$1001,0),1)&gt;=100000,INDEX($Q$1005:$U$1005,1,MATCH(COLUMNS($Q$1006:S1006),$Q$1006:$U$1006,0))&gt;=100000), " ",IF(INDEX($Q$2:$U$1001,MATCH(ROWS($J$2:J661),$J$2:$J$1001,0),MATCH(COLUMNS($Q$1006:S1006),$Q$1006:$U$1006,0)), HYPERLINK("#",""), HYPERLINK(CONCATENATE("#Metadata!", ADDRESS(INDEX($L$2:$L$1001,MATCH(ROWS($J$2:J661),$J$2:$J$1001,0),0), INDEX($Q$1004:$U$1004,1,MATCH(COLUMNS($Q$1006:S1006),$Q$1006:$U$1006,0)))),"Fix")))</f>
        <v xml:space="preserve"> </v>
      </c>
      <c r="E661" s="3" t="str">
        <f ca="1">IF(OR(INDEX($K$2:$K$1001,MATCH(ROWS($J$2:J661),$J$2:$J$1001,0),1)&gt;=100000,INDEX($Q$1005:$U$1005,1,MATCH(COLUMNS($Q$1006:T1006),$Q$1006:$U$1006,0))&gt;=100000), " ",IF(INDEX($Q$2:$U$1001,MATCH(ROWS($J$2:J661),$J$2:$J$1001,0),MATCH(COLUMNS($Q$1006:T1006),$Q$1006:$U$1006,0)), HYPERLINK("#",""), HYPERLINK(CONCATENATE("#Metadata!", ADDRESS(INDEX($L$2:$L$1001,MATCH(ROWS($J$2:J661),$J$2:$J$1001,0),0), INDEX($Q$1004:$U$1004,1,MATCH(COLUMNS($Q$1006:T1006),$Q$1006:$U$1006,0)))),"Fix")))</f>
        <v xml:space="preserve"> </v>
      </c>
      <c r="F661" s="3" t="str">
        <f ca="1">IF(OR(INDEX($K$2:$K$1001,MATCH(ROWS($J$2:J661),$J$2:$J$1001,0),1)&gt;=100000,INDEX($Q$1005:$U$1005,1,MATCH(COLUMNS($Q$1006:U1006),$Q$1006:$U$1006,0))&gt;=100000), " ",IF(INDEX($Q$2:$U$1001,MATCH(ROWS($J$2:J661),$J$2:$J$1001,0),MATCH(COLUMNS($Q$1006:U1006),$Q$1006:$U$1006,0)), HYPERLINK("#",""), HYPERLINK(CONCATENATE("#Metadata!", ADDRESS(INDEX($L$2:$L$1001,MATCH(ROWS($J$2:J661),$J$2:$J$1001,0),0), INDEX($Q$1004:$U$1004,1,MATCH(COLUMNS($Q$1006:U1006),$Q$1006:$U$1006,0)))),"Fix")))</f>
        <v xml:space="preserve"> </v>
      </c>
      <c r="J661">
        <f ca="1"/>
        <v>660</v>
      </c>
      <c r="K661">
        <v>100661</v>
      </c>
      <c r="L661">
        <v>661</v>
      </c>
      <c r="M661" t="b">
        <f t="shared" si="10"/>
        <v>1</v>
      </c>
      <c r="N661" t="b">
        <f>COUNTBLANK(Metadata!B661:F661)=COLUMNS(Metadata!B661:F661)</f>
        <v>1</v>
      </c>
      <c r="O661" t="str">
        <v/>
      </c>
      <c r="Q661" t="b">
        <f ca="1"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R661" t="b">
        <f>IF(Metadata!C661="",FALSE,TRUE)</f>
        <v>0</v>
      </c>
      <c r="S661" t="b">
        <f>OR(AND(IF(Metadata!D661="",FALSE,TRUE),EXACT(Metadata!D661,"missing: not collected")),AND(IF(Metadata!D661="",FALSE,TRUE),OR(EXACT(Metadata!D661,"t"),EXACT(Metadata!D661,"f"))))</f>
        <v>0</v>
      </c>
      <c r="T661" t="b">
        <f>AND(IF(Metadata!E661="",FALSE,TRUE),OR(EXACT(Metadata!E661,"a"),EXACT(Metadata!E661,"b")))</f>
        <v>0</v>
      </c>
      <c r="U661" t="b">
        <f>OR(AND(IF(Metadata!F661="",FALSE,TRUE),OR(EXACT(Metadata!F661,"missing: not collected"),EXACT(Metadata!F661,"missing: not provided"))),AND(IF(Metadata!F661="",FALSE,TRUE),OR(EXACT(Metadata!F661,"lo"),EXACT(Metadata!F661,"med"),EXACT(Metadata!F661,"hi"))))</f>
        <v>0</v>
      </c>
    </row>
    <row r="662" spans="1:21" x14ac:dyDescent="0.2">
      <c r="A662" s="4" t="str">
        <f ca="1">IF(B662=" "," ",HYPERLINK(CONCATENATE("#metadata!",ADDRESS(INDEX($L$2:$L$1001,MATCH(ROWS($J$2:J662),$J$2:$J$1001,0),0),1)),INDEX($O$2:$O$1001,MATCH(ROWS($J$2:J662),$J$2:$J$1001,0),0)))</f>
        <v xml:space="preserve"> </v>
      </c>
      <c r="B662" s="3" t="str">
        <f ca="1">IF(OR(INDEX($K$2:$K$1001,MATCH(ROWS($J$2:J662),$J$2:$J$1001,0),1)&gt;=100000,INDEX($Q$1005:$U$1005,1,MATCH(COLUMNS($Q$1006:Q1006),$Q$1006:$U$1006,0))&gt;=100000), " ",IF(INDEX($Q$2:$U$1001,MATCH(ROWS($J$2:J662),$J$2:$J$1001,0),MATCH(COLUMNS($Q$1006:Q1006),$Q$1006:$U$1006,0)), HYPERLINK("#",""), HYPERLINK(CONCATENATE("#Metadata!", ADDRESS(INDEX($L$2:$L$1001,MATCH(ROWS($J$2:J662),$J$2:$J$1001,0),0), INDEX($Q$1004:$U$1004,1,MATCH(COLUMNS($Q$1006:Q1006),$Q$1006:$U$1006,0)))),"Fix")))</f>
        <v xml:space="preserve"> </v>
      </c>
      <c r="C662" s="3" t="str">
        <f ca="1">IF(OR(INDEX($K$2:$K$1001,MATCH(ROWS($J$2:J662),$J$2:$J$1001,0),1)&gt;=100000,INDEX($Q$1005:$U$1005,1,MATCH(COLUMNS($Q$1006:R1006),$Q$1006:$U$1006,0))&gt;=100000), " ",IF(INDEX($Q$2:$U$1001,MATCH(ROWS($J$2:J662),$J$2:$J$1001,0),MATCH(COLUMNS($Q$1006:R1006),$Q$1006:$U$1006,0)), HYPERLINK("#",""), HYPERLINK(CONCATENATE("#Metadata!", ADDRESS(INDEX($L$2:$L$1001,MATCH(ROWS($J$2:J662),$J$2:$J$1001,0),0), INDEX($Q$1004:$U$1004,1,MATCH(COLUMNS($Q$1006:R1006),$Q$1006:$U$1006,0)))),"Fix")))</f>
        <v xml:space="preserve"> </v>
      </c>
      <c r="D662" s="3" t="str">
        <f ca="1">IF(OR(INDEX($K$2:$K$1001,MATCH(ROWS($J$2:J662),$J$2:$J$1001,0),1)&gt;=100000,INDEX($Q$1005:$U$1005,1,MATCH(COLUMNS($Q$1006:S1006),$Q$1006:$U$1006,0))&gt;=100000), " ",IF(INDEX($Q$2:$U$1001,MATCH(ROWS($J$2:J662),$J$2:$J$1001,0),MATCH(COLUMNS($Q$1006:S1006),$Q$1006:$U$1006,0)), HYPERLINK("#",""), HYPERLINK(CONCATENATE("#Metadata!", ADDRESS(INDEX($L$2:$L$1001,MATCH(ROWS($J$2:J662),$J$2:$J$1001,0),0), INDEX($Q$1004:$U$1004,1,MATCH(COLUMNS($Q$1006:S1006),$Q$1006:$U$1006,0)))),"Fix")))</f>
        <v xml:space="preserve"> </v>
      </c>
      <c r="E662" s="3" t="str">
        <f ca="1">IF(OR(INDEX($K$2:$K$1001,MATCH(ROWS($J$2:J662),$J$2:$J$1001,0),1)&gt;=100000,INDEX($Q$1005:$U$1005,1,MATCH(COLUMNS($Q$1006:T1006),$Q$1006:$U$1006,0))&gt;=100000), " ",IF(INDEX($Q$2:$U$1001,MATCH(ROWS($J$2:J662),$J$2:$J$1001,0),MATCH(COLUMNS($Q$1006:T1006),$Q$1006:$U$1006,0)), HYPERLINK("#",""), HYPERLINK(CONCATENATE("#Metadata!", ADDRESS(INDEX($L$2:$L$1001,MATCH(ROWS($J$2:J662),$J$2:$J$1001,0),0), INDEX($Q$1004:$U$1004,1,MATCH(COLUMNS($Q$1006:T1006),$Q$1006:$U$1006,0)))),"Fix")))</f>
        <v xml:space="preserve"> </v>
      </c>
      <c r="F662" s="3" t="str">
        <f ca="1">IF(OR(INDEX($K$2:$K$1001,MATCH(ROWS($J$2:J662),$J$2:$J$1001,0),1)&gt;=100000,INDEX($Q$1005:$U$1005,1,MATCH(COLUMNS($Q$1006:U1006),$Q$1006:$U$1006,0))&gt;=100000), " ",IF(INDEX($Q$2:$U$1001,MATCH(ROWS($J$2:J662),$J$2:$J$1001,0),MATCH(COLUMNS($Q$1006:U1006),$Q$1006:$U$1006,0)), HYPERLINK("#",""), HYPERLINK(CONCATENATE("#Metadata!", ADDRESS(INDEX($L$2:$L$1001,MATCH(ROWS($J$2:J662),$J$2:$J$1001,0),0), INDEX($Q$1004:$U$1004,1,MATCH(COLUMNS($Q$1006:U1006),$Q$1006:$U$1006,0)))),"Fix")))</f>
        <v xml:space="preserve"> </v>
      </c>
      <c r="J662">
        <f ca="1"/>
        <v>661</v>
      </c>
      <c r="K662">
        <v>100662</v>
      </c>
      <c r="L662">
        <v>662</v>
      </c>
      <c r="M662" t="b">
        <f t="shared" si="10"/>
        <v>1</v>
      </c>
      <c r="N662" t="b">
        <f>COUNTBLANK(Metadata!B662:F662)=COLUMNS(Metadata!B662:F662)</f>
        <v>1</v>
      </c>
      <c r="O662" t="str">
        <v/>
      </c>
      <c r="Q662" t="b">
        <f ca="1"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R662" t="b">
        <f>IF(Metadata!C662="",FALSE,TRUE)</f>
        <v>0</v>
      </c>
      <c r="S662" t="b">
        <f>OR(AND(IF(Metadata!D662="",FALSE,TRUE),EXACT(Metadata!D662,"missing: not collected")),AND(IF(Metadata!D662="",FALSE,TRUE),OR(EXACT(Metadata!D662,"t"),EXACT(Metadata!D662,"f"))))</f>
        <v>0</v>
      </c>
      <c r="T662" t="b">
        <f>AND(IF(Metadata!E662="",FALSE,TRUE),OR(EXACT(Metadata!E662,"a"),EXACT(Metadata!E662,"b")))</f>
        <v>0</v>
      </c>
      <c r="U662" t="b">
        <f>OR(AND(IF(Metadata!F662="",FALSE,TRUE),OR(EXACT(Metadata!F662,"missing: not collected"),EXACT(Metadata!F662,"missing: not provided"))),AND(IF(Metadata!F662="",FALSE,TRUE),OR(EXACT(Metadata!F662,"lo"),EXACT(Metadata!F662,"med"),EXACT(Metadata!F662,"hi"))))</f>
        <v>0</v>
      </c>
    </row>
    <row r="663" spans="1:21" x14ac:dyDescent="0.2">
      <c r="A663" s="4" t="str">
        <f ca="1">IF(B663=" "," ",HYPERLINK(CONCATENATE("#metadata!",ADDRESS(INDEX($L$2:$L$1001,MATCH(ROWS($J$2:J663),$J$2:$J$1001,0),0),1)),INDEX($O$2:$O$1001,MATCH(ROWS($J$2:J663),$J$2:$J$1001,0),0)))</f>
        <v xml:space="preserve"> </v>
      </c>
      <c r="B663" s="3" t="str">
        <f ca="1">IF(OR(INDEX($K$2:$K$1001,MATCH(ROWS($J$2:J663),$J$2:$J$1001,0),1)&gt;=100000,INDEX($Q$1005:$U$1005,1,MATCH(COLUMNS($Q$1006:Q1006),$Q$1006:$U$1006,0))&gt;=100000), " ",IF(INDEX($Q$2:$U$1001,MATCH(ROWS($J$2:J663),$J$2:$J$1001,0),MATCH(COLUMNS($Q$1006:Q1006),$Q$1006:$U$1006,0)), HYPERLINK("#",""), HYPERLINK(CONCATENATE("#Metadata!", ADDRESS(INDEX($L$2:$L$1001,MATCH(ROWS($J$2:J663),$J$2:$J$1001,0),0), INDEX($Q$1004:$U$1004,1,MATCH(COLUMNS($Q$1006:Q1006),$Q$1006:$U$1006,0)))),"Fix")))</f>
        <v xml:space="preserve"> </v>
      </c>
      <c r="C663" s="3" t="str">
        <f ca="1">IF(OR(INDEX($K$2:$K$1001,MATCH(ROWS($J$2:J663),$J$2:$J$1001,0),1)&gt;=100000,INDEX($Q$1005:$U$1005,1,MATCH(COLUMNS($Q$1006:R1006),$Q$1006:$U$1006,0))&gt;=100000), " ",IF(INDEX($Q$2:$U$1001,MATCH(ROWS($J$2:J663),$J$2:$J$1001,0),MATCH(COLUMNS($Q$1006:R1006),$Q$1006:$U$1006,0)), HYPERLINK("#",""), HYPERLINK(CONCATENATE("#Metadata!", ADDRESS(INDEX($L$2:$L$1001,MATCH(ROWS($J$2:J663),$J$2:$J$1001,0),0), INDEX($Q$1004:$U$1004,1,MATCH(COLUMNS($Q$1006:R1006),$Q$1006:$U$1006,0)))),"Fix")))</f>
        <v xml:space="preserve"> </v>
      </c>
      <c r="D663" s="3" t="str">
        <f ca="1">IF(OR(INDEX($K$2:$K$1001,MATCH(ROWS($J$2:J663),$J$2:$J$1001,0),1)&gt;=100000,INDEX($Q$1005:$U$1005,1,MATCH(COLUMNS($Q$1006:S1006),$Q$1006:$U$1006,0))&gt;=100000), " ",IF(INDEX($Q$2:$U$1001,MATCH(ROWS($J$2:J663),$J$2:$J$1001,0),MATCH(COLUMNS($Q$1006:S1006),$Q$1006:$U$1006,0)), HYPERLINK("#",""), HYPERLINK(CONCATENATE("#Metadata!", ADDRESS(INDEX($L$2:$L$1001,MATCH(ROWS($J$2:J663),$J$2:$J$1001,0),0), INDEX($Q$1004:$U$1004,1,MATCH(COLUMNS($Q$1006:S1006),$Q$1006:$U$1006,0)))),"Fix")))</f>
        <v xml:space="preserve"> </v>
      </c>
      <c r="E663" s="3" t="str">
        <f ca="1">IF(OR(INDEX($K$2:$K$1001,MATCH(ROWS($J$2:J663),$J$2:$J$1001,0),1)&gt;=100000,INDEX($Q$1005:$U$1005,1,MATCH(COLUMNS($Q$1006:T1006),$Q$1006:$U$1006,0))&gt;=100000), " ",IF(INDEX($Q$2:$U$1001,MATCH(ROWS($J$2:J663),$J$2:$J$1001,0),MATCH(COLUMNS($Q$1006:T1006),$Q$1006:$U$1006,0)), HYPERLINK("#",""), HYPERLINK(CONCATENATE("#Metadata!", ADDRESS(INDEX($L$2:$L$1001,MATCH(ROWS($J$2:J663),$J$2:$J$1001,0),0), INDEX($Q$1004:$U$1004,1,MATCH(COLUMNS($Q$1006:T1006),$Q$1006:$U$1006,0)))),"Fix")))</f>
        <v xml:space="preserve"> </v>
      </c>
      <c r="F663" s="3" t="str">
        <f ca="1">IF(OR(INDEX($K$2:$K$1001,MATCH(ROWS($J$2:J663),$J$2:$J$1001,0),1)&gt;=100000,INDEX($Q$1005:$U$1005,1,MATCH(COLUMNS($Q$1006:U1006),$Q$1006:$U$1006,0))&gt;=100000), " ",IF(INDEX($Q$2:$U$1001,MATCH(ROWS($J$2:J663),$J$2:$J$1001,0),MATCH(COLUMNS($Q$1006:U1006),$Q$1006:$U$1006,0)), HYPERLINK("#",""), HYPERLINK(CONCATENATE("#Metadata!", ADDRESS(INDEX($L$2:$L$1001,MATCH(ROWS($J$2:J663),$J$2:$J$1001,0),0), INDEX($Q$1004:$U$1004,1,MATCH(COLUMNS($Q$1006:U1006),$Q$1006:$U$1006,0)))),"Fix")))</f>
        <v xml:space="preserve"> </v>
      </c>
      <c r="J663">
        <f ca="1"/>
        <v>662</v>
      </c>
      <c r="K663">
        <v>100663</v>
      </c>
      <c r="L663">
        <v>663</v>
      </c>
      <c r="M663" t="b">
        <f t="shared" si="10"/>
        <v>1</v>
      </c>
      <c r="N663" t="b">
        <f>COUNTBLANK(Metadata!B663:F663)=COLUMNS(Metadata!B663:F663)</f>
        <v>1</v>
      </c>
      <c r="O663" t="str">
        <v/>
      </c>
      <c r="Q663" t="b">
        <f ca="1"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R663" t="b">
        <f>IF(Metadata!C663="",FALSE,TRUE)</f>
        <v>0</v>
      </c>
      <c r="S663" t="b">
        <f>OR(AND(IF(Metadata!D663="",FALSE,TRUE),EXACT(Metadata!D663,"missing: not collected")),AND(IF(Metadata!D663="",FALSE,TRUE),OR(EXACT(Metadata!D663,"t"),EXACT(Metadata!D663,"f"))))</f>
        <v>0</v>
      </c>
      <c r="T663" t="b">
        <f>AND(IF(Metadata!E663="",FALSE,TRUE),OR(EXACT(Metadata!E663,"a"),EXACT(Metadata!E663,"b")))</f>
        <v>0</v>
      </c>
      <c r="U663" t="b">
        <f>OR(AND(IF(Metadata!F663="",FALSE,TRUE),OR(EXACT(Metadata!F663,"missing: not collected"),EXACT(Metadata!F663,"missing: not provided"))),AND(IF(Metadata!F663="",FALSE,TRUE),OR(EXACT(Metadata!F663,"lo"),EXACT(Metadata!F663,"med"),EXACT(Metadata!F663,"hi"))))</f>
        <v>0</v>
      </c>
    </row>
    <row r="664" spans="1:21" x14ac:dyDescent="0.2">
      <c r="A664" s="4" t="str">
        <f ca="1">IF(B664=" "," ",HYPERLINK(CONCATENATE("#metadata!",ADDRESS(INDEX($L$2:$L$1001,MATCH(ROWS($J$2:J664),$J$2:$J$1001,0),0),1)),INDEX($O$2:$O$1001,MATCH(ROWS($J$2:J664),$J$2:$J$1001,0),0)))</f>
        <v xml:space="preserve"> </v>
      </c>
      <c r="B664" s="3" t="str">
        <f ca="1">IF(OR(INDEX($K$2:$K$1001,MATCH(ROWS($J$2:J664),$J$2:$J$1001,0),1)&gt;=100000,INDEX($Q$1005:$U$1005,1,MATCH(COLUMNS($Q$1006:Q1006),$Q$1006:$U$1006,0))&gt;=100000), " ",IF(INDEX($Q$2:$U$1001,MATCH(ROWS($J$2:J664),$J$2:$J$1001,0),MATCH(COLUMNS($Q$1006:Q1006),$Q$1006:$U$1006,0)), HYPERLINK("#",""), HYPERLINK(CONCATENATE("#Metadata!", ADDRESS(INDEX($L$2:$L$1001,MATCH(ROWS($J$2:J664),$J$2:$J$1001,0),0), INDEX($Q$1004:$U$1004,1,MATCH(COLUMNS($Q$1006:Q1006),$Q$1006:$U$1006,0)))),"Fix")))</f>
        <v xml:space="preserve"> </v>
      </c>
      <c r="C664" s="3" t="str">
        <f ca="1">IF(OR(INDEX($K$2:$K$1001,MATCH(ROWS($J$2:J664),$J$2:$J$1001,0),1)&gt;=100000,INDEX($Q$1005:$U$1005,1,MATCH(COLUMNS($Q$1006:R1006),$Q$1006:$U$1006,0))&gt;=100000), " ",IF(INDEX($Q$2:$U$1001,MATCH(ROWS($J$2:J664),$J$2:$J$1001,0),MATCH(COLUMNS($Q$1006:R1006),$Q$1006:$U$1006,0)), HYPERLINK("#",""), HYPERLINK(CONCATENATE("#Metadata!", ADDRESS(INDEX($L$2:$L$1001,MATCH(ROWS($J$2:J664),$J$2:$J$1001,0),0), INDEX($Q$1004:$U$1004,1,MATCH(COLUMNS($Q$1006:R1006),$Q$1006:$U$1006,0)))),"Fix")))</f>
        <v xml:space="preserve"> </v>
      </c>
      <c r="D664" s="3" t="str">
        <f ca="1">IF(OR(INDEX($K$2:$K$1001,MATCH(ROWS($J$2:J664),$J$2:$J$1001,0),1)&gt;=100000,INDEX($Q$1005:$U$1005,1,MATCH(COLUMNS($Q$1006:S1006),$Q$1006:$U$1006,0))&gt;=100000), " ",IF(INDEX($Q$2:$U$1001,MATCH(ROWS($J$2:J664),$J$2:$J$1001,0),MATCH(COLUMNS($Q$1006:S1006),$Q$1006:$U$1006,0)), HYPERLINK("#",""), HYPERLINK(CONCATENATE("#Metadata!", ADDRESS(INDEX($L$2:$L$1001,MATCH(ROWS($J$2:J664),$J$2:$J$1001,0),0), INDEX($Q$1004:$U$1004,1,MATCH(COLUMNS($Q$1006:S1006),$Q$1006:$U$1006,0)))),"Fix")))</f>
        <v xml:space="preserve"> </v>
      </c>
      <c r="E664" s="3" t="str">
        <f ca="1">IF(OR(INDEX($K$2:$K$1001,MATCH(ROWS($J$2:J664),$J$2:$J$1001,0),1)&gt;=100000,INDEX($Q$1005:$U$1005,1,MATCH(COLUMNS($Q$1006:T1006),$Q$1006:$U$1006,0))&gt;=100000), " ",IF(INDEX($Q$2:$U$1001,MATCH(ROWS($J$2:J664),$J$2:$J$1001,0),MATCH(COLUMNS($Q$1006:T1006),$Q$1006:$U$1006,0)), HYPERLINK("#",""), HYPERLINK(CONCATENATE("#Metadata!", ADDRESS(INDEX($L$2:$L$1001,MATCH(ROWS($J$2:J664),$J$2:$J$1001,0),0), INDEX($Q$1004:$U$1004,1,MATCH(COLUMNS($Q$1006:T1006),$Q$1006:$U$1006,0)))),"Fix")))</f>
        <v xml:space="preserve"> </v>
      </c>
      <c r="F664" s="3" t="str">
        <f ca="1">IF(OR(INDEX($K$2:$K$1001,MATCH(ROWS($J$2:J664),$J$2:$J$1001,0),1)&gt;=100000,INDEX($Q$1005:$U$1005,1,MATCH(COLUMNS($Q$1006:U1006),$Q$1006:$U$1006,0))&gt;=100000), " ",IF(INDEX($Q$2:$U$1001,MATCH(ROWS($J$2:J664),$J$2:$J$1001,0),MATCH(COLUMNS($Q$1006:U1006),$Q$1006:$U$1006,0)), HYPERLINK("#",""), HYPERLINK(CONCATENATE("#Metadata!", ADDRESS(INDEX($L$2:$L$1001,MATCH(ROWS($J$2:J664),$J$2:$J$1001,0),0), INDEX($Q$1004:$U$1004,1,MATCH(COLUMNS($Q$1006:U1006),$Q$1006:$U$1006,0)))),"Fix")))</f>
        <v xml:space="preserve"> </v>
      </c>
      <c r="J664">
        <f ca="1"/>
        <v>663</v>
      </c>
      <c r="K664">
        <v>100664</v>
      </c>
      <c r="L664">
        <v>664</v>
      </c>
      <c r="M664" t="b">
        <f t="shared" si="10"/>
        <v>1</v>
      </c>
      <c r="N664" t="b">
        <f>COUNTBLANK(Metadata!B664:F664)=COLUMNS(Metadata!B664:F664)</f>
        <v>1</v>
      </c>
      <c r="O664" t="str">
        <v/>
      </c>
      <c r="Q664" t="b">
        <f ca="1"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R664" t="b">
        <f>IF(Metadata!C664="",FALSE,TRUE)</f>
        <v>0</v>
      </c>
      <c r="S664" t="b">
        <f>OR(AND(IF(Metadata!D664="",FALSE,TRUE),EXACT(Metadata!D664,"missing: not collected")),AND(IF(Metadata!D664="",FALSE,TRUE),OR(EXACT(Metadata!D664,"t"),EXACT(Metadata!D664,"f"))))</f>
        <v>0</v>
      </c>
      <c r="T664" t="b">
        <f>AND(IF(Metadata!E664="",FALSE,TRUE),OR(EXACT(Metadata!E664,"a"),EXACT(Metadata!E664,"b")))</f>
        <v>0</v>
      </c>
      <c r="U664" t="b">
        <f>OR(AND(IF(Metadata!F664="",FALSE,TRUE),OR(EXACT(Metadata!F664,"missing: not collected"),EXACT(Metadata!F664,"missing: not provided"))),AND(IF(Metadata!F664="",FALSE,TRUE),OR(EXACT(Metadata!F664,"lo"),EXACT(Metadata!F664,"med"),EXACT(Metadata!F664,"hi"))))</f>
        <v>0</v>
      </c>
    </row>
    <row r="665" spans="1:21" x14ac:dyDescent="0.2">
      <c r="A665" s="4" t="str">
        <f ca="1">IF(B665=" "," ",HYPERLINK(CONCATENATE("#metadata!",ADDRESS(INDEX($L$2:$L$1001,MATCH(ROWS($J$2:J665),$J$2:$J$1001,0),0),1)),INDEX($O$2:$O$1001,MATCH(ROWS($J$2:J665),$J$2:$J$1001,0),0)))</f>
        <v xml:space="preserve"> </v>
      </c>
      <c r="B665" s="3" t="str">
        <f ca="1">IF(OR(INDEX($K$2:$K$1001,MATCH(ROWS($J$2:J665),$J$2:$J$1001,0),1)&gt;=100000,INDEX($Q$1005:$U$1005,1,MATCH(COLUMNS($Q$1006:Q1006),$Q$1006:$U$1006,0))&gt;=100000), " ",IF(INDEX($Q$2:$U$1001,MATCH(ROWS($J$2:J665),$J$2:$J$1001,0),MATCH(COLUMNS($Q$1006:Q1006),$Q$1006:$U$1006,0)), HYPERLINK("#",""), HYPERLINK(CONCATENATE("#Metadata!", ADDRESS(INDEX($L$2:$L$1001,MATCH(ROWS($J$2:J665),$J$2:$J$1001,0),0), INDEX($Q$1004:$U$1004,1,MATCH(COLUMNS($Q$1006:Q1006),$Q$1006:$U$1006,0)))),"Fix")))</f>
        <v xml:space="preserve"> </v>
      </c>
      <c r="C665" s="3" t="str">
        <f ca="1">IF(OR(INDEX($K$2:$K$1001,MATCH(ROWS($J$2:J665),$J$2:$J$1001,0),1)&gt;=100000,INDEX($Q$1005:$U$1005,1,MATCH(COLUMNS($Q$1006:R1006),$Q$1006:$U$1006,0))&gt;=100000), " ",IF(INDEX($Q$2:$U$1001,MATCH(ROWS($J$2:J665),$J$2:$J$1001,0),MATCH(COLUMNS($Q$1006:R1006),$Q$1006:$U$1006,0)), HYPERLINK("#",""), HYPERLINK(CONCATENATE("#Metadata!", ADDRESS(INDEX($L$2:$L$1001,MATCH(ROWS($J$2:J665),$J$2:$J$1001,0),0), INDEX($Q$1004:$U$1004,1,MATCH(COLUMNS($Q$1006:R1006),$Q$1006:$U$1006,0)))),"Fix")))</f>
        <v xml:space="preserve"> </v>
      </c>
      <c r="D665" s="3" t="str">
        <f ca="1">IF(OR(INDEX($K$2:$K$1001,MATCH(ROWS($J$2:J665),$J$2:$J$1001,0),1)&gt;=100000,INDEX($Q$1005:$U$1005,1,MATCH(COLUMNS($Q$1006:S1006),$Q$1006:$U$1006,0))&gt;=100000), " ",IF(INDEX($Q$2:$U$1001,MATCH(ROWS($J$2:J665),$J$2:$J$1001,0),MATCH(COLUMNS($Q$1006:S1006),$Q$1006:$U$1006,0)), HYPERLINK("#",""), HYPERLINK(CONCATENATE("#Metadata!", ADDRESS(INDEX($L$2:$L$1001,MATCH(ROWS($J$2:J665),$J$2:$J$1001,0),0), INDEX($Q$1004:$U$1004,1,MATCH(COLUMNS($Q$1006:S1006),$Q$1006:$U$1006,0)))),"Fix")))</f>
        <v xml:space="preserve"> </v>
      </c>
      <c r="E665" s="3" t="str">
        <f ca="1">IF(OR(INDEX($K$2:$K$1001,MATCH(ROWS($J$2:J665),$J$2:$J$1001,0),1)&gt;=100000,INDEX($Q$1005:$U$1005,1,MATCH(COLUMNS($Q$1006:T1006),$Q$1006:$U$1006,0))&gt;=100000), " ",IF(INDEX($Q$2:$U$1001,MATCH(ROWS($J$2:J665),$J$2:$J$1001,0),MATCH(COLUMNS($Q$1006:T1006),$Q$1006:$U$1006,0)), HYPERLINK("#",""), HYPERLINK(CONCATENATE("#Metadata!", ADDRESS(INDEX($L$2:$L$1001,MATCH(ROWS($J$2:J665),$J$2:$J$1001,0),0), INDEX($Q$1004:$U$1004,1,MATCH(COLUMNS($Q$1006:T1006),$Q$1006:$U$1006,0)))),"Fix")))</f>
        <v xml:space="preserve"> </v>
      </c>
      <c r="F665" s="3" t="str">
        <f ca="1">IF(OR(INDEX($K$2:$K$1001,MATCH(ROWS($J$2:J665),$J$2:$J$1001,0),1)&gt;=100000,INDEX($Q$1005:$U$1005,1,MATCH(COLUMNS($Q$1006:U1006),$Q$1006:$U$1006,0))&gt;=100000), " ",IF(INDEX($Q$2:$U$1001,MATCH(ROWS($J$2:J665),$J$2:$J$1001,0),MATCH(COLUMNS($Q$1006:U1006),$Q$1006:$U$1006,0)), HYPERLINK("#",""), HYPERLINK(CONCATENATE("#Metadata!", ADDRESS(INDEX($L$2:$L$1001,MATCH(ROWS($J$2:J665),$J$2:$J$1001,0),0), INDEX($Q$1004:$U$1004,1,MATCH(COLUMNS($Q$1006:U1006),$Q$1006:$U$1006,0)))),"Fix")))</f>
        <v xml:space="preserve"> </v>
      </c>
      <c r="J665">
        <f ca="1"/>
        <v>664</v>
      </c>
      <c r="K665">
        <v>100665</v>
      </c>
      <c r="L665">
        <v>665</v>
      </c>
      <c r="M665" t="b">
        <f t="shared" si="10"/>
        <v>1</v>
      </c>
      <c r="N665" t="b">
        <f>COUNTBLANK(Metadata!B665:F665)=COLUMNS(Metadata!B665:F665)</f>
        <v>1</v>
      </c>
      <c r="O665" t="str">
        <v/>
      </c>
      <c r="Q665" t="b">
        <f ca="1"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R665" t="b">
        <f>IF(Metadata!C665="",FALSE,TRUE)</f>
        <v>0</v>
      </c>
      <c r="S665" t="b">
        <f>OR(AND(IF(Metadata!D665="",FALSE,TRUE),EXACT(Metadata!D665,"missing: not collected")),AND(IF(Metadata!D665="",FALSE,TRUE),OR(EXACT(Metadata!D665,"t"),EXACT(Metadata!D665,"f"))))</f>
        <v>0</v>
      </c>
      <c r="T665" t="b">
        <f>AND(IF(Metadata!E665="",FALSE,TRUE),OR(EXACT(Metadata!E665,"a"),EXACT(Metadata!E665,"b")))</f>
        <v>0</v>
      </c>
      <c r="U665" t="b">
        <f>OR(AND(IF(Metadata!F665="",FALSE,TRUE),OR(EXACT(Metadata!F665,"missing: not collected"),EXACT(Metadata!F665,"missing: not provided"))),AND(IF(Metadata!F665="",FALSE,TRUE),OR(EXACT(Metadata!F665,"lo"),EXACT(Metadata!F665,"med"),EXACT(Metadata!F665,"hi"))))</f>
        <v>0</v>
      </c>
    </row>
    <row r="666" spans="1:21" x14ac:dyDescent="0.2">
      <c r="A666" s="4" t="str">
        <f ca="1">IF(B666=" "," ",HYPERLINK(CONCATENATE("#metadata!",ADDRESS(INDEX($L$2:$L$1001,MATCH(ROWS($J$2:J666),$J$2:$J$1001,0),0),1)),INDEX($O$2:$O$1001,MATCH(ROWS($J$2:J666),$J$2:$J$1001,0),0)))</f>
        <v xml:space="preserve"> </v>
      </c>
      <c r="B666" s="3" t="str">
        <f ca="1">IF(OR(INDEX($K$2:$K$1001,MATCH(ROWS($J$2:J666),$J$2:$J$1001,0),1)&gt;=100000,INDEX($Q$1005:$U$1005,1,MATCH(COLUMNS($Q$1006:Q1006),$Q$1006:$U$1006,0))&gt;=100000), " ",IF(INDEX($Q$2:$U$1001,MATCH(ROWS($J$2:J666),$J$2:$J$1001,0),MATCH(COLUMNS($Q$1006:Q1006),$Q$1006:$U$1006,0)), HYPERLINK("#",""), HYPERLINK(CONCATENATE("#Metadata!", ADDRESS(INDEX($L$2:$L$1001,MATCH(ROWS($J$2:J666),$J$2:$J$1001,0),0), INDEX($Q$1004:$U$1004,1,MATCH(COLUMNS($Q$1006:Q1006),$Q$1006:$U$1006,0)))),"Fix")))</f>
        <v xml:space="preserve"> </v>
      </c>
      <c r="C666" s="3" t="str">
        <f ca="1">IF(OR(INDEX($K$2:$K$1001,MATCH(ROWS($J$2:J666),$J$2:$J$1001,0),1)&gt;=100000,INDEX($Q$1005:$U$1005,1,MATCH(COLUMNS($Q$1006:R1006),$Q$1006:$U$1006,0))&gt;=100000), " ",IF(INDEX($Q$2:$U$1001,MATCH(ROWS($J$2:J666),$J$2:$J$1001,0),MATCH(COLUMNS($Q$1006:R1006),$Q$1006:$U$1006,0)), HYPERLINK("#",""), HYPERLINK(CONCATENATE("#Metadata!", ADDRESS(INDEX($L$2:$L$1001,MATCH(ROWS($J$2:J666),$J$2:$J$1001,0),0), INDEX($Q$1004:$U$1004,1,MATCH(COLUMNS($Q$1006:R1006),$Q$1006:$U$1006,0)))),"Fix")))</f>
        <v xml:space="preserve"> </v>
      </c>
      <c r="D666" s="3" t="str">
        <f ca="1">IF(OR(INDEX($K$2:$K$1001,MATCH(ROWS($J$2:J666),$J$2:$J$1001,0),1)&gt;=100000,INDEX($Q$1005:$U$1005,1,MATCH(COLUMNS($Q$1006:S1006),$Q$1006:$U$1006,0))&gt;=100000), " ",IF(INDEX($Q$2:$U$1001,MATCH(ROWS($J$2:J666),$J$2:$J$1001,0),MATCH(COLUMNS($Q$1006:S1006),$Q$1006:$U$1006,0)), HYPERLINK("#",""), HYPERLINK(CONCATENATE("#Metadata!", ADDRESS(INDEX($L$2:$L$1001,MATCH(ROWS($J$2:J666),$J$2:$J$1001,0),0), INDEX($Q$1004:$U$1004,1,MATCH(COLUMNS($Q$1006:S1006),$Q$1006:$U$1006,0)))),"Fix")))</f>
        <v xml:space="preserve"> </v>
      </c>
      <c r="E666" s="3" t="str">
        <f ca="1">IF(OR(INDEX($K$2:$K$1001,MATCH(ROWS($J$2:J666),$J$2:$J$1001,0),1)&gt;=100000,INDEX($Q$1005:$U$1005,1,MATCH(COLUMNS($Q$1006:T1006),$Q$1006:$U$1006,0))&gt;=100000), " ",IF(INDEX($Q$2:$U$1001,MATCH(ROWS($J$2:J666),$J$2:$J$1001,0),MATCH(COLUMNS($Q$1006:T1006),$Q$1006:$U$1006,0)), HYPERLINK("#",""), HYPERLINK(CONCATENATE("#Metadata!", ADDRESS(INDEX($L$2:$L$1001,MATCH(ROWS($J$2:J666),$J$2:$J$1001,0),0), INDEX($Q$1004:$U$1004,1,MATCH(COLUMNS($Q$1006:T1006),$Q$1006:$U$1006,0)))),"Fix")))</f>
        <v xml:space="preserve"> </v>
      </c>
      <c r="F666" s="3" t="str">
        <f ca="1">IF(OR(INDEX($K$2:$K$1001,MATCH(ROWS($J$2:J666),$J$2:$J$1001,0),1)&gt;=100000,INDEX($Q$1005:$U$1005,1,MATCH(COLUMNS($Q$1006:U1006),$Q$1006:$U$1006,0))&gt;=100000), " ",IF(INDEX($Q$2:$U$1001,MATCH(ROWS($J$2:J666),$J$2:$J$1001,0),MATCH(COLUMNS($Q$1006:U1006),$Q$1006:$U$1006,0)), HYPERLINK("#",""), HYPERLINK(CONCATENATE("#Metadata!", ADDRESS(INDEX($L$2:$L$1001,MATCH(ROWS($J$2:J666),$J$2:$J$1001,0),0), INDEX($Q$1004:$U$1004,1,MATCH(COLUMNS($Q$1006:U1006),$Q$1006:$U$1006,0)))),"Fix")))</f>
        <v xml:space="preserve"> </v>
      </c>
      <c r="J666">
        <f ca="1"/>
        <v>665</v>
      </c>
      <c r="K666">
        <v>100666</v>
      </c>
      <c r="L666">
        <v>666</v>
      </c>
      <c r="M666" t="b">
        <f t="shared" si="10"/>
        <v>1</v>
      </c>
      <c r="N666" t="b">
        <f>COUNTBLANK(Metadata!B666:F666)=COLUMNS(Metadata!B666:F666)</f>
        <v>1</v>
      </c>
      <c r="O666" t="str">
        <v/>
      </c>
      <c r="Q666" t="b">
        <f ca="1"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R666" t="b">
        <f>IF(Metadata!C666="",FALSE,TRUE)</f>
        <v>0</v>
      </c>
      <c r="S666" t="b">
        <f>OR(AND(IF(Metadata!D666="",FALSE,TRUE),EXACT(Metadata!D666,"missing: not collected")),AND(IF(Metadata!D666="",FALSE,TRUE),OR(EXACT(Metadata!D666,"t"),EXACT(Metadata!D666,"f"))))</f>
        <v>0</v>
      </c>
      <c r="T666" t="b">
        <f>AND(IF(Metadata!E666="",FALSE,TRUE),OR(EXACT(Metadata!E666,"a"),EXACT(Metadata!E666,"b")))</f>
        <v>0</v>
      </c>
      <c r="U666" t="b">
        <f>OR(AND(IF(Metadata!F666="",FALSE,TRUE),OR(EXACT(Metadata!F666,"missing: not collected"),EXACT(Metadata!F666,"missing: not provided"))),AND(IF(Metadata!F666="",FALSE,TRUE),OR(EXACT(Metadata!F666,"lo"),EXACT(Metadata!F666,"med"),EXACT(Metadata!F666,"hi"))))</f>
        <v>0</v>
      </c>
    </row>
    <row r="667" spans="1:21" x14ac:dyDescent="0.2">
      <c r="A667" s="4" t="str">
        <f ca="1">IF(B667=" "," ",HYPERLINK(CONCATENATE("#metadata!",ADDRESS(INDEX($L$2:$L$1001,MATCH(ROWS($J$2:J667),$J$2:$J$1001,0),0),1)),INDEX($O$2:$O$1001,MATCH(ROWS($J$2:J667),$J$2:$J$1001,0),0)))</f>
        <v xml:space="preserve"> </v>
      </c>
      <c r="B667" s="3" t="str">
        <f ca="1">IF(OR(INDEX($K$2:$K$1001,MATCH(ROWS($J$2:J667),$J$2:$J$1001,0),1)&gt;=100000,INDEX($Q$1005:$U$1005,1,MATCH(COLUMNS($Q$1006:Q1006),$Q$1006:$U$1006,0))&gt;=100000), " ",IF(INDEX($Q$2:$U$1001,MATCH(ROWS($J$2:J667),$J$2:$J$1001,0),MATCH(COLUMNS($Q$1006:Q1006),$Q$1006:$U$1006,0)), HYPERLINK("#",""), HYPERLINK(CONCATENATE("#Metadata!", ADDRESS(INDEX($L$2:$L$1001,MATCH(ROWS($J$2:J667),$J$2:$J$1001,0),0), INDEX($Q$1004:$U$1004,1,MATCH(COLUMNS($Q$1006:Q1006),$Q$1006:$U$1006,0)))),"Fix")))</f>
        <v xml:space="preserve"> </v>
      </c>
      <c r="C667" s="3" t="str">
        <f ca="1">IF(OR(INDEX($K$2:$K$1001,MATCH(ROWS($J$2:J667),$J$2:$J$1001,0),1)&gt;=100000,INDEX($Q$1005:$U$1005,1,MATCH(COLUMNS($Q$1006:R1006),$Q$1006:$U$1006,0))&gt;=100000), " ",IF(INDEX($Q$2:$U$1001,MATCH(ROWS($J$2:J667),$J$2:$J$1001,0),MATCH(COLUMNS($Q$1006:R1006),$Q$1006:$U$1006,0)), HYPERLINK("#",""), HYPERLINK(CONCATENATE("#Metadata!", ADDRESS(INDEX($L$2:$L$1001,MATCH(ROWS($J$2:J667),$J$2:$J$1001,0),0), INDEX($Q$1004:$U$1004,1,MATCH(COLUMNS($Q$1006:R1006),$Q$1006:$U$1006,0)))),"Fix")))</f>
        <v xml:space="preserve"> </v>
      </c>
      <c r="D667" s="3" t="str">
        <f ca="1">IF(OR(INDEX($K$2:$K$1001,MATCH(ROWS($J$2:J667),$J$2:$J$1001,0),1)&gt;=100000,INDEX($Q$1005:$U$1005,1,MATCH(COLUMNS($Q$1006:S1006),$Q$1006:$U$1006,0))&gt;=100000), " ",IF(INDEX($Q$2:$U$1001,MATCH(ROWS($J$2:J667),$J$2:$J$1001,0),MATCH(COLUMNS($Q$1006:S1006),$Q$1006:$U$1006,0)), HYPERLINK("#",""), HYPERLINK(CONCATENATE("#Metadata!", ADDRESS(INDEX($L$2:$L$1001,MATCH(ROWS($J$2:J667),$J$2:$J$1001,0),0), INDEX($Q$1004:$U$1004,1,MATCH(COLUMNS($Q$1006:S1006),$Q$1006:$U$1006,0)))),"Fix")))</f>
        <v xml:space="preserve"> </v>
      </c>
      <c r="E667" s="3" t="str">
        <f ca="1">IF(OR(INDEX($K$2:$K$1001,MATCH(ROWS($J$2:J667),$J$2:$J$1001,0),1)&gt;=100000,INDEX($Q$1005:$U$1005,1,MATCH(COLUMNS($Q$1006:T1006),$Q$1006:$U$1006,0))&gt;=100000), " ",IF(INDEX($Q$2:$U$1001,MATCH(ROWS($J$2:J667),$J$2:$J$1001,0),MATCH(COLUMNS($Q$1006:T1006),$Q$1006:$U$1006,0)), HYPERLINK("#",""), HYPERLINK(CONCATENATE("#Metadata!", ADDRESS(INDEX($L$2:$L$1001,MATCH(ROWS($J$2:J667),$J$2:$J$1001,0),0), INDEX($Q$1004:$U$1004,1,MATCH(COLUMNS($Q$1006:T1006),$Q$1006:$U$1006,0)))),"Fix")))</f>
        <v xml:space="preserve"> </v>
      </c>
      <c r="F667" s="3" t="str">
        <f ca="1">IF(OR(INDEX($K$2:$K$1001,MATCH(ROWS($J$2:J667),$J$2:$J$1001,0),1)&gt;=100000,INDEX($Q$1005:$U$1005,1,MATCH(COLUMNS($Q$1006:U1006),$Q$1006:$U$1006,0))&gt;=100000), " ",IF(INDEX($Q$2:$U$1001,MATCH(ROWS($J$2:J667),$J$2:$J$1001,0),MATCH(COLUMNS($Q$1006:U1006),$Q$1006:$U$1006,0)), HYPERLINK("#",""), HYPERLINK(CONCATENATE("#Metadata!", ADDRESS(INDEX($L$2:$L$1001,MATCH(ROWS($J$2:J667),$J$2:$J$1001,0),0), INDEX($Q$1004:$U$1004,1,MATCH(COLUMNS($Q$1006:U1006),$Q$1006:$U$1006,0)))),"Fix")))</f>
        <v xml:space="preserve"> </v>
      </c>
      <c r="J667">
        <f ca="1"/>
        <v>666</v>
      </c>
      <c r="K667">
        <v>100667</v>
      </c>
      <c r="L667">
        <v>667</v>
      </c>
      <c r="M667" t="b">
        <f t="shared" si="10"/>
        <v>1</v>
      </c>
      <c r="N667" t="b">
        <f>COUNTBLANK(Metadata!B667:F667)=COLUMNS(Metadata!B667:F667)</f>
        <v>1</v>
      </c>
      <c r="O667" t="str">
        <v/>
      </c>
      <c r="Q667" t="b">
        <f ca="1"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R667" t="b">
        <f>IF(Metadata!C667="",FALSE,TRUE)</f>
        <v>0</v>
      </c>
      <c r="S667" t="b">
        <f>OR(AND(IF(Metadata!D667="",FALSE,TRUE),EXACT(Metadata!D667,"missing: not collected")),AND(IF(Metadata!D667="",FALSE,TRUE),OR(EXACT(Metadata!D667,"t"),EXACT(Metadata!D667,"f"))))</f>
        <v>0</v>
      </c>
      <c r="T667" t="b">
        <f>AND(IF(Metadata!E667="",FALSE,TRUE),OR(EXACT(Metadata!E667,"a"),EXACT(Metadata!E667,"b")))</f>
        <v>0</v>
      </c>
      <c r="U667" t="b">
        <f>OR(AND(IF(Metadata!F667="",FALSE,TRUE),OR(EXACT(Metadata!F667,"missing: not collected"),EXACT(Metadata!F667,"missing: not provided"))),AND(IF(Metadata!F667="",FALSE,TRUE),OR(EXACT(Metadata!F667,"lo"),EXACT(Metadata!F667,"med"),EXACT(Metadata!F667,"hi"))))</f>
        <v>0</v>
      </c>
    </row>
    <row r="668" spans="1:21" x14ac:dyDescent="0.2">
      <c r="A668" s="4" t="str">
        <f ca="1">IF(B668=" "," ",HYPERLINK(CONCATENATE("#metadata!",ADDRESS(INDEX($L$2:$L$1001,MATCH(ROWS($J$2:J668),$J$2:$J$1001,0),0),1)),INDEX($O$2:$O$1001,MATCH(ROWS($J$2:J668),$J$2:$J$1001,0),0)))</f>
        <v xml:space="preserve"> </v>
      </c>
      <c r="B668" s="3" t="str">
        <f ca="1">IF(OR(INDEX($K$2:$K$1001,MATCH(ROWS($J$2:J668),$J$2:$J$1001,0),1)&gt;=100000,INDEX($Q$1005:$U$1005,1,MATCH(COLUMNS($Q$1006:Q1006),$Q$1006:$U$1006,0))&gt;=100000), " ",IF(INDEX($Q$2:$U$1001,MATCH(ROWS($J$2:J668),$J$2:$J$1001,0),MATCH(COLUMNS($Q$1006:Q1006),$Q$1006:$U$1006,0)), HYPERLINK("#",""), HYPERLINK(CONCATENATE("#Metadata!", ADDRESS(INDEX($L$2:$L$1001,MATCH(ROWS($J$2:J668),$J$2:$J$1001,0),0), INDEX($Q$1004:$U$1004,1,MATCH(COLUMNS($Q$1006:Q1006),$Q$1006:$U$1006,0)))),"Fix")))</f>
        <v xml:space="preserve"> </v>
      </c>
      <c r="C668" s="3" t="str">
        <f ca="1">IF(OR(INDEX($K$2:$K$1001,MATCH(ROWS($J$2:J668),$J$2:$J$1001,0),1)&gt;=100000,INDEX($Q$1005:$U$1005,1,MATCH(COLUMNS($Q$1006:R1006),$Q$1006:$U$1006,0))&gt;=100000), " ",IF(INDEX($Q$2:$U$1001,MATCH(ROWS($J$2:J668),$J$2:$J$1001,0),MATCH(COLUMNS($Q$1006:R1006),$Q$1006:$U$1006,0)), HYPERLINK("#",""), HYPERLINK(CONCATENATE("#Metadata!", ADDRESS(INDEX($L$2:$L$1001,MATCH(ROWS($J$2:J668),$J$2:$J$1001,0),0), INDEX($Q$1004:$U$1004,1,MATCH(COLUMNS($Q$1006:R1006),$Q$1006:$U$1006,0)))),"Fix")))</f>
        <v xml:space="preserve"> </v>
      </c>
      <c r="D668" s="3" t="str">
        <f ca="1">IF(OR(INDEX($K$2:$K$1001,MATCH(ROWS($J$2:J668),$J$2:$J$1001,0),1)&gt;=100000,INDEX($Q$1005:$U$1005,1,MATCH(COLUMNS($Q$1006:S1006),$Q$1006:$U$1006,0))&gt;=100000), " ",IF(INDEX($Q$2:$U$1001,MATCH(ROWS($J$2:J668),$J$2:$J$1001,0),MATCH(COLUMNS($Q$1006:S1006),$Q$1006:$U$1006,0)), HYPERLINK("#",""), HYPERLINK(CONCATENATE("#Metadata!", ADDRESS(INDEX($L$2:$L$1001,MATCH(ROWS($J$2:J668),$J$2:$J$1001,0),0), INDEX($Q$1004:$U$1004,1,MATCH(COLUMNS($Q$1006:S1006),$Q$1006:$U$1006,0)))),"Fix")))</f>
        <v xml:space="preserve"> </v>
      </c>
      <c r="E668" s="3" t="str">
        <f ca="1">IF(OR(INDEX($K$2:$K$1001,MATCH(ROWS($J$2:J668),$J$2:$J$1001,0),1)&gt;=100000,INDEX($Q$1005:$U$1005,1,MATCH(COLUMNS($Q$1006:T1006),$Q$1006:$U$1006,0))&gt;=100000), " ",IF(INDEX($Q$2:$U$1001,MATCH(ROWS($J$2:J668),$J$2:$J$1001,0),MATCH(COLUMNS($Q$1006:T1006),$Q$1006:$U$1006,0)), HYPERLINK("#",""), HYPERLINK(CONCATENATE("#Metadata!", ADDRESS(INDEX($L$2:$L$1001,MATCH(ROWS($J$2:J668),$J$2:$J$1001,0),0), INDEX($Q$1004:$U$1004,1,MATCH(COLUMNS($Q$1006:T1006),$Q$1006:$U$1006,0)))),"Fix")))</f>
        <v xml:space="preserve"> </v>
      </c>
      <c r="F668" s="3" t="str">
        <f ca="1">IF(OR(INDEX($K$2:$K$1001,MATCH(ROWS($J$2:J668),$J$2:$J$1001,0),1)&gt;=100000,INDEX($Q$1005:$U$1005,1,MATCH(COLUMNS($Q$1006:U1006),$Q$1006:$U$1006,0))&gt;=100000), " ",IF(INDEX($Q$2:$U$1001,MATCH(ROWS($J$2:J668),$J$2:$J$1001,0),MATCH(COLUMNS($Q$1006:U1006),$Q$1006:$U$1006,0)), HYPERLINK("#",""), HYPERLINK(CONCATENATE("#Metadata!", ADDRESS(INDEX($L$2:$L$1001,MATCH(ROWS($J$2:J668),$J$2:$J$1001,0),0), INDEX($Q$1004:$U$1004,1,MATCH(COLUMNS($Q$1006:U1006),$Q$1006:$U$1006,0)))),"Fix")))</f>
        <v xml:space="preserve"> </v>
      </c>
      <c r="J668">
        <f ca="1"/>
        <v>667</v>
      </c>
      <c r="K668">
        <v>100668</v>
      </c>
      <c r="L668">
        <v>668</v>
      </c>
      <c r="M668" t="b">
        <f t="shared" si="10"/>
        <v>1</v>
      </c>
      <c r="N668" t="b">
        <f>COUNTBLANK(Metadata!B668:F668)=COLUMNS(Metadata!B668:F668)</f>
        <v>1</v>
      </c>
      <c r="O668" t="str">
        <v/>
      </c>
      <c r="Q668" t="b">
        <f ca="1"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R668" t="b">
        <f>IF(Metadata!C668="",FALSE,TRUE)</f>
        <v>0</v>
      </c>
      <c r="S668" t="b">
        <f>OR(AND(IF(Metadata!D668="",FALSE,TRUE),EXACT(Metadata!D668,"missing: not collected")),AND(IF(Metadata!D668="",FALSE,TRUE),OR(EXACT(Metadata!D668,"t"),EXACT(Metadata!D668,"f"))))</f>
        <v>0</v>
      </c>
      <c r="T668" t="b">
        <f>AND(IF(Metadata!E668="",FALSE,TRUE),OR(EXACT(Metadata!E668,"a"),EXACT(Metadata!E668,"b")))</f>
        <v>0</v>
      </c>
      <c r="U668" t="b">
        <f>OR(AND(IF(Metadata!F668="",FALSE,TRUE),OR(EXACT(Metadata!F668,"missing: not collected"),EXACT(Metadata!F668,"missing: not provided"))),AND(IF(Metadata!F668="",FALSE,TRUE),OR(EXACT(Metadata!F668,"lo"),EXACT(Metadata!F668,"med"),EXACT(Metadata!F668,"hi"))))</f>
        <v>0</v>
      </c>
    </row>
    <row r="669" spans="1:21" x14ac:dyDescent="0.2">
      <c r="A669" s="4" t="str">
        <f ca="1">IF(B669=" "," ",HYPERLINK(CONCATENATE("#metadata!",ADDRESS(INDEX($L$2:$L$1001,MATCH(ROWS($J$2:J669),$J$2:$J$1001,0),0),1)),INDEX($O$2:$O$1001,MATCH(ROWS($J$2:J669),$J$2:$J$1001,0),0)))</f>
        <v xml:space="preserve"> </v>
      </c>
      <c r="B669" s="3" t="str">
        <f ca="1">IF(OR(INDEX($K$2:$K$1001,MATCH(ROWS($J$2:J669),$J$2:$J$1001,0),1)&gt;=100000,INDEX($Q$1005:$U$1005,1,MATCH(COLUMNS($Q$1006:Q1006),$Q$1006:$U$1006,0))&gt;=100000), " ",IF(INDEX($Q$2:$U$1001,MATCH(ROWS($J$2:J669),$J$2:$J$1001,0),MATCH(COLUMNS($Q$1006:Q1006),$Q$1006:$U$1006,0)), HYPERLINK("#",""), HYPERLINK(CONCATENATE("#Metadata!", ADDRESS(INDEX($L$2:$L$1001,MATCH(ROWS($J$2:J669),$J$2:$J$1001,0),0), INDEX($Q$1004:$U$1004,1,MATCH(COLUMNS($Q$1006:Q1006),$Q$1006:$U$1006,0)))),"Fix")))</f>
        <v xml:space="preserve"> </v>
      </c>
      <c r="C669" s="3" t="str">
        <f ca="1">IF(OR(INDEX($K$2:$K$1001,MATCH(ROWS($J$2:J669),$J$2:$J$1001,0),1)&gt;=100000,INDEX($Q$1005:$U$1005,1,MATCH(COLUMNS($Q$1006:R1006),$Q$1006:$U$1006,0))&gt;=100000), " ",IF(INDEX($Q$2:$U$1001,MATCH(ROWS($J$2:J669),$J$2:$J$1001,0),MATCH(COLUMNS($Q$1006:R1006),$Q$1006:$U$1006,0)), HYPERLINK("#",""), HYPERLINK(CONCATENATE("#Metadata!", ADDRESS(INDEX($L$2:$L$1001,MATCH(ROWS($J$2:J669),$J$2:$J$1001,0),0), INDEX($Q$1004:$U$1004,1,MATCH(COLUMNS($Q$1006:R1006),$Q$1006:$U$1006,0)))),"Fix")))</f>
        <v xml:space="preserve"> </v>
      </c>
      <c r="D669" s="3" t="str">
        <f ca="1">IF(OR(INDEX($K$2:$K$1001,MATCH(ROWS($J$2:J669),$J$2:$J$1001,0),1)&gt;=100000,INDEX($Q$1005:$U$1005,1,MATCH(COLUMNS($Q$1006:S1006),$Q$1006:$U$1006,0))&gt;=100000), " ",IF(INDEX($Q$2:$U$1001,MATCH(ROWS($J$2:J669),$J$2:$J$1001,0),MATCH(COLUMNS($Q$1006:S1006),$Q$1006:$U$1006,0)), HYPERLINK("#",""), HYPERLINK(CONCATENATE("#Metadata!", ADDRESS(INDEX($L$2:$L$1001,MATCH(ROWS($J$2:J669),$J$2:$J$1001,0),0), INDEX($Q$1004:$U$1004,1,MATCH(COLUMNS($Q$1006:S1006),$Q$1006:$U$1006,0)))),"Fix")))</f>
        <v xml:space="preserve"> </v>
      </c>
      <c r="E669" s="3" t="str">
        <f ca="1">IF(OR(INDEX($K$2:$K$1001,MATCH(ROWS($J$2:J669),$J$2:$J$1001,0),1)&gt;=100000,INDEX($Q$1005:$U$1005,1,MATCH(COLUMNS($Q$1006:T1006),$Q$1006:$U$1006,0))&gt;=100000), " ",IF(INDEX($Q$2:$U$1001,MATCH(ROWS($J$2:J669),$J$2:$J$1001,0),MATCH(COLUMNS($Q$1006:T1006),$Q$1006:$U$1006,0)), HYPERLINK("#",""), HYPERLINK(CONCATENATE("#Metadata!", ADDRESS(INDEX($L$2:$L$1001,MATCH(ROWS($J$2:J669),$J$2:$J$1001,0),0), INDEX($Q$1004:$U$1004,1,MATCH(COLUMNS($Q$1006:T1006),$Q$1006:$U$1006,0)))),"Fix")))</f>
        <v xml:space="preserve"> </v>
      </c>
      <c r="F669" s="3" t="str">
        <f ca="1">IF(OR(INDEX($K$2:$K$1001,MATCH(ROWS($J$2:J669),$J$2:$J$1001,0),1)&gt;=100000,INDEX($Q$1005:$U$1005,1,MATCH(COLUMNS($Q$1006:U1006),$Q$1006:$U$1006,0))&gt;=100000), " ",IF(INDEX($Q$2:$U$1001,MATCH(ROWS($J$2:J669),$J$2:$J$1001,0),MATCH(COLUMNS($Q$1006:U1006),$Q$1006:$U$1006,0)), HYPERLINK("#",""), HYPERLINK(CONCATENATE("#Metadata!", ADDRESS(INDEX($L$2:$L$1001,MATCH(ROWS($J$2:J669),$J$2:$J$1001,0),0), INDEX($Q$1004:$U$1004,1,MATCH(COLUMNS($Q$1006:U1006),$Q$1006:$U$1006,0)))),"Fix")))</f>
        <v xml:space="preserve"> </v>
      </c>
      <c r="J669">
        <f ca="1"/>
        <v>668</v>
      </c>
      <c r="K669">
        <v>100669</v>
      </c>
      <c r="L669">
        <v>669</v>
      </c>
      <c r="M669" t="b">
        <f t="shared" si="10"/>
        <v>1</v>
      </c>
      <c r="N669" t="b">
        <f>COUNTBLANK(Metadata!B669:F669)=COLUMNS(Metadata!B669:F669)</f>
        <v>1</v>
      </c>
      <c r="O669" t="str">
        <v/>
      </c>
      <c r="Q669" t="b">
        <f ca="1"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R669" t="b">
        <f>IF(Metadata!C669="",FALSE,TRUE)</f>
        <v>0</v>
      </c>
      <c r="S669" t="b">
        <f>OR(AND(IF(Metadata!D669="",FALSE,TRUE),EXACT(Metadata!D669,"missing: not collected")),AND(IF(Metadata!D669="",FALSE,TRUE),OR(EXACT(Metadata!D669,"t"),EXACT(Metadata!D669,"f"))))</f>
        <v>0</v>
      </c>
      <c r="T669" t="b">
        <f>AND(IF(Metadata!E669="",FALSE,TRUE),OR(EXACT(Metadata!E669,"a"),EXACT(Metadata!E669,"b")))</f>
        <v>0</v>
      </c>
      <c r="U669" t="b">
        <f>OR(AND(IF(Metadata!F669="",FALSE,TRUE),OR(EXACT(Metadata!F669,"missing: not collected"),EXACT(Metadata!F669,"missing: not provided"))),AND(IF(Metadata!F669="",FALSE,TRUE),OR(EXACT(Metadata!F669,"lo"),EXACT(Metadata!F669,"med"),EXACT(Metadata!F669,"hi"))))</f>
        <v>0</v>
      </c>
    </row>
    <row r="670" spans="1:21" x14ac:dyDescent="0.2">
      <c r="A670" s="4" t="str">
        <f ca="1">IF(B670=" "," ",HYPERLINK(CONCATENATE("#metadata!",ADDRESS(INDEX($L$2:$L$1001,MATCH(ROWS($J$2:J670),$J$2:$J$1001,0),0),1)),INDEX($O$2:$O$1001,MATCH(ROWS($J$2:J670),$J$2:$J$1001,0),0)))</f>
        <v xml:space="preserve"> </v>
      </c>
      <c r="B670" s="3" t="str">
        <f ca="1">IF(OR(INDEX($K$2:$K$1001,MATCH(ROWS($J$2:J670),$J$2:$J$1001,0),1)&gt;=100000,INDEX($Q$1005:$U$1005,1,MATCH(COLUMNS($Q$1006:Q1006),$Q$1006:$U$1006,0))&gt;=100000), " ",IF(INDEX($Q$2:$U$1001,MATCH(ROWS($J$2:J670),$J$2:$J$1001,0),MATCH(COLUMNS($Q$1006:Q1006),$Q$1006:$U$1006,0)), HYPERLINK("#",""), HYPERLINK(CONCATENATE("#Metadata!", ADDRESS(INDEX($L$2:$L$1001,MATCH(ROWS($J$2:J670),$J$2:$J$1001,0),0), INDEX($Q$1004:$U$1004,1,MATCH(COLUMNS($Q$1006:Q1006),$Q$1006:$U$1006,0)))),"Fix")))</f>
        <v xml:space="preserve"> </v>
      </c>
      <c r="C670" s="3" t="str">
        <f ca="1">IF(OR(INDEX($K$2:$K$1001,MATCH(ROWS($J$2:J670),$J$2:$J$1001,0),1)&gt;=100000,INDEX($Q$1005:$U$1005,1,MATCH(COLUMNS($Q$1006:R1006),$Q$1006:$U$1006,0))&gt;=100000), " ",IF(INDEX($Q$2:$U$1001,MATCH(ROWS($J$2:J670),$J$2:$J$1001,0),MATCH(COLUMNS($Q$1006:R1006),$Q$1006:$U$1006,0)), HYPERLINK("#",""), HYPERLINK(CONCATENATE("#Metadata!", ADDRESS(INDEX($L$2:$L$1001,MATCH(ROWS($J$2:J670),$J$2:$J$1001,0),0), INDEX($Q$1004:$U$1004,1,MATCH(COLUMNS($Q$1006:R1006),$Q$1006:$U$1006,0)))),"Fix")))</f>
        <v xml:space="preserve"> </v>
      </c>
      <c r="D670" s="3" t="str">
        <f ca="1">IF(OR(INDEX($K$2:$K$1001,MATCH(ROWS($J$2:J670),$J$2:$J$1001,0),1)&gt;=100000,INDEX($Q$1005:$U$1005,1,MATCH(COLUMNS($Q$1006:S1006),$Q$1006:$U$1006,0))&gt;=100000), " ",IF(INDEX($Q$2:$U$1001,MATCH(ROWS($J$2:J670),$J$2:$J$1001,0),MATCH(COLUMNS($Q$1006:S1006),$Q$1006:$U$1006,0)), HYPERLINK("#",""), HYPERLINK(CONCATENATE("#Metadata!", ADDRESS(INDEX($L$2:$L$1001,MATCH(ROWS($J$2:J670),$J$2:$J$1001,0),0), INDEX($Q$1004:$U$1004,1,MATCH(COLUMNS($Q$1006:S1006),$Q$1006:$U$1006,0)))),"Fix")))</f>
        <v xml:space="preserve"> </v>
      </c>
      <c r="E670" s="3" t="str">
        <f ca="1">IF(OR(INDEX($K$2:$K$1001,MATCH(ROWS($J$2:J670),$J$2:$J$1001,0),1)&gt;=100000,INDEX($Q$1005:$U$1005,1,MATCH(COLUMNS($Q$1006:T1006),$Q$1006:$U$1006,0))&gt;=100000), " ",IF(INDEX($Q$2:$U$1001,MATCH(ROWS($J$2:J670),$J$2:$J$1001,0),MATCH(COLUMNS($Q$1006:T1006),$Q$1006:$U$1006,0)), HYPERLINK("#",""), HYPERLINK(CONCATENATE("#Metadata!", ADDRESS(INDEX($L$2:$L$1001,MATCH(ROWS($J$2:J670),$J$2:$J$1001,0),0), INDEX($Q$1004:$U$1004,1,MATCH(COLUMNS($Q$1006:T1006),$Q$1006:$U$1006,0)))),"Fix")))</f>
        <v xml:space="preserve"> </v>
      </c>
      <c r="F670" s="3" t="str">
        <f ca="1">IF(OR(INDEX($K$2:$K$1001,MATCH(ROWS($J$2:J670),$J$2:$J$1001,0),1)&gt;=100000,INDEX($Q$1005:$U$1005,1,MATCH(COLUMNS($Q$1006:U1006),$Q$1006:$U$1006,0))&gt;=100000), " ",IF(INDEX($Q$2:$U$1001,MATCH(ROWS($J$2:J670),$J$2:$J$1001,0),MATCH(COLUMNS($Q$1006:U1006),$Q$1006:$U$1006,0)), HYPERLINK("#",""), HYPERLINK(CONCATENATE("#Metadata!", ADDRESS(INDEX($L$2:$L$1001,MATCH(ROWS($J$2:J670),$J$2:$J$1001,0),0), INDEX($Q$1004:$U$1004,1,MATCH(COLUMNS($Q$1006:U1006),$Q$1006:$U$1006,0)))),"Fix")))</f>
        <v xml:space="preserve"> </v>
      </c>
      <c r="J670">
        <f ca="1"/>
        <v>669</v>
      </c>
      <c r="K670">
        <v>100670</v>
      </c>
      <c r="L670">
        <v>670</v>
      </c>
      <c r="M670" t="b">
        <f t="shared" si="10"/>
        <v>1</v>
      </c>
      <c r="N670" t="b">
        <f>COUNTBLANK(Metadata!B670:F670)=COLUMNS(Metadata!B670:F670)</f>
        <v>1</v>
      </c>
      <c r="O670" t="str">
        <v/>
      </c>
      <c r="Q670" t="b">
        <f ca="1"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R670" t="b">
        <f>IF(Metadata!C670="",FALSE,TRUE)</f>
        <v>0</v>
      </c>
      <c r="S670" t="b">
        <f>OR(AND(IF(Metadata!D670="",FALSE,TRUE),EXACT(Metadata!D670,"missing: not collected")),AND(IF(Metadata!D670="",FALSE,TRUE),OR(EXACT(Metadata!D670,"t"),EXACT(Metadata!D670,"f"))))</f>
        <v>0</v>
      </c>
      <c r="T670" t="b">
        <f>AND(IF(Metadata!E670="",FALSE,TRUE),OR(EXACT(Metadata!E670,"a"),EXACT(Metadata!E670,"b")))</f>
        <v>0</v>
      </c>
      <c r="U670" t="b">
        <f>OR(AND(IF(Metadata!F670="",FALSE,TRUE),OR(EXACT(Metadata!F670,"missing: not collected"),EXACT(Metadata!F670,"missing: not provided"))),AND(IF(Metadata!F670="",FALSE,TRUE),OR(EXACT(Metadata!F670,"lo"),EXACT(Metadata!F670,"med"),EXACT(Metadata!F670,"hi"))))</f>
        <v>0</v>
      </c>
    </row>
    <row r="671" spans="1:21" x14ac:dyDescent="0.2">
      <c r="A671" s="4" t="str">
        <f ca="1">IF(B671=" "," ",HYPERLINK(CONCATENATE("#metadata!",ADDRESS(INDEX($L$2:$L$1001,MATCH(ROWS($J$2:J671),$J$2:$J$1001,0),0),1)),INDEX($O$2:$O$1001,MATCH(ROWS($J$2:J671),$J$2:$J$1001,0),0)))</f>
        <v xml:space="preserve"> </v>
      </c>
      <c r="B671" s="3" t="str">
        <f ca="1">IF(OR(INDEX($K$2:$K$1001,MATCH(ROWS($J$2:J671),$J$2:$J$1001,0),1)&gt;=100000,INDEX($Q$1005:$U$1005,1,MATCH(COLUMNS($Q$1006:Q1006),$Q$1006:$U$1006,0))&gt;=100000), " ",IF(INDEX($Q$2:$U$1001,MATCH(ROWS($J$2:J671),$J$2:$J$1001,0),MATCH(COLUMNS($Q$1006:Q1006),$Q$1006:$U$1006,0)), HYPERLINK("#",""), HYPERLINK(CONCATENATE("#Metadata!", ADDRESS(INDEX($L$2:$L$1001,MATCH(ROWS($J$2:J671),$J$2:$J$1001,0),0), INDEX($Q$1004:$U$1004,1,MATCH(COLUMNS($Q$1006:Q1006),$Q$1006:$U$1006,0)))),"Fix")))</f>
        <v xml:space="preserve"> </v>
      </c>
      <c r="C671" s="3" t="str">
        <f ca="1">IF(OR(INDEX($K$2:$K$1001,MATCH(ROWS($J$2:J671),$J$2:$J$1001,0),1)&gt;=100000,INDEX($Q$1005:$U$1005,1,MATCH(COLUMNS($Q$1006:R1006),$Q$1006:$U$1006,0))&gt;=100000), " ",IF(INDEX($Q$2:$U$1001,MATCH(ROWS($J$2:J671),$J$2:$J$1001,0),MATCH(COLUMNS($Q$1006:R1006),$Q$1006:$U$1006,0)), HYPERLINK("#",""), HYPERLINK(CONCATENATE("#Metadata!", ADDRESS(INDEX($L$2:$L$1001,MATCH(ROWS($J$2:J671),$J$2:$J$1001,0),0), INDEX($Q$1004:$U$1004,1,MATCH(COLUMNS($Q$1006:R1006),$Q$1006:$U$1006,0)))),"Fix")))</f>
        <v xml:space="preserve"> </v>
      </c>
      <c r="D671" s="3" t="str">
        <f ca="1">IF(OR(INDEX($K$2:$K$1001,MATCH(ROWS($J$2:J671),$J$2:$J$1001,0),1)&gt;=100000,INDEX($Q$1005:$U$1005,1,MATCH(COLUMNS($Q$1006:S1006),$Q$1006:$U$1006,0))&gt;=100000), " ",IF(INDEX($Q$2:$U$1001,MATCH(ROWS($J$2:J671),$J$2:$J$1001,0),MATCH(COLUMNS($Q$1006:S1006),$Q$1006:$U$1006,0)), HYPERLINK("#",""), HYPERLINK(CONCATENATE("#Metadata!", ADDRESS(INDEX($L$2:$L$1001,MATCH(ROWS($J$2:J671),$J$2:$J$1001,0),0), INDEX($Q$1004:$U$1004,1,MATCH(COLUMNS($Q$1006:S1006),$Q$1006:$U$1006,0)))),"Fix")))</f>
        <v xml:space="preserve"> </v>
      </c>
      <c r="E671" s="3" t="str">
        <f ca="1">IF(OR(INDEX($K$2:$K$1001,MATCH(ROWS($J$2:J671),$J$2:$J$1001,0),1)&gt;=100000,INDEX($Q$1005:$U$1005,1,MATCH(COLUMNS($Q$1006:T1006),$Q$1006:$U$1006,0))&gt;=100000), " ",IF(INDEX($Q$2:$U$1001,MATCH(ROWS($J$2:J671),$J$2:$J$1001,0),MATCH(COLUMNS($Q$1006:T1006),$Q$1006:$U$1006,0)), HYPERLINK("#",""), HYPERLINK(CONCATENATE("#Metadata!", ADDRESS(INDEX($L$2:$L$1001,MATCH(ROWS($J$2:J671),$J$2:$J$1001,0),0), INDEX($Q$1004:$U$1004,1,MATCH(COLUMNS($Q$1006:T1006),$Q$1006:$U$1006,0)))),"Fix")))</f>
        <v xml:space="preserve"> </v>
      </c>
      <c r="F671" s="3" t="str">
        <f ca="1">IF(OR(INDEX($K$2:$K$1001,MATCH(ROWS($J$2:J671),$J$2:$J$1001,0),1)&gt;=100000,INDEX($Q$1005:$U$1005,1,MATCH(COLUMNS($Q$1006:U1006),$Q$1006:$U$1006,0))&gt;=100000), " ",IF(INDEX($Q$2:$U$1001,MATCH(ROWS($J$2:J671),$J$2:$J$1001,0),MATCH(COLUMNS($Q$1006:U1006),$Q$1006:$U$1006,0)), HYPERLINK("#",""), HYPERLINK(CONCATENATE("#Metadata!", ADDRESS(INDEX($L$2:$L$1001,MATCH(ROWS($J$2:J671),$J$2:$J$1001,0),0), INDEX($Q$1004:$U$1004,1,MATCH(COLUMNS($Q$1006:U1006),$Q$1006:$U$1006,0)))),"Fix")))</f>
        <v xml:space="preserve"> </v>
      </c>
      <c r="J671">
        <f ca="1"/>
        <v>670</v>
      </c>
      <c r="K671">
        <v>100671</v>
      </c>
      <c r="L671">
        <v>671</v>
      </c>
      <c r="M671" t="b">
        <f t="shared" si="10"/>
        <v>1</v>
      </c>
      <c r="N671" t="b">
        <f>COUNTBLANK(Metadata!B671:F671)=COLUMNS(Metadata!B671:F671)</f>
        <v>1</v>
      </c>
      <c r="O671" t="str">
        <v/>
      </c>
      <c r="Q671" t="b">
        <f ca="1"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R671" t="b">
        <f>IF(Metadata!C671="",FALSE,TRUE)</f>
        <v>0</v>
      </c>
      <c r="S671" t="b">
        <f>OR(AND(IF(Metadata!D671="",FALSE,TRUE),EXACT(Metadata!D671,"missing: not collected")),AND(IF(Metadata!D671="",FALSE,TRUE),OR(EXACT(Metadata!D671,"t"),EXACT(Metadata!D671,"f"))))</f>
        <v>0</v>
      </c>
      <c r="T671" t="b">
        <f>AND(IF(Metadata!E671="",FALSE,TRUE),OR(EXACT(Metadata!E671,"a"),EXACT(Metadata!E671,"b")))</f>
        <v>0</v>
      </c>
      <c r="U671" t="b">
        <f>OR(AND(IF(Metadata!F671="",FALSE,TRUE),OR(EXACT(Metadata!F671,"missing: not collected"),EXACT(Metadata!F671,"missing: not provided"))),AND(IF(Metadata!F671="",FALSE,TRUE),OR(EXACT(Metadata!F671,"lo"),EXACT(Metadata!F671,"med"),EXACT(Metadata!F671,"hi"))))</f>
        <v>0</v>
      </c>
    </row>
    <row r="672" spans="1:21" x14ac:dyDescent="0.2">
      <c r="A672" s="4" t="str">
        <f ca="1">IF(B672=" "," ",HYPERLINK(CONCATENATE("#metadata!",ADDRESS(INDEX($L$2:$L$1001,MATCH(ROWS($J$2:J672),$J$2:$J$1001,0),0),1)),INDEX($O$2:$O$1001,MATCH(ROWS($J$2:J672),$J$2:$J$1001,0),0)))</f>
        <v xml:space="preserve"> </v>
      </c>
      <c r="B672" s="3" t="str">
        <f ca="1">IF(OR(INDEX($K$2:$K$1001,MATCH(ROWS($J$2:J672),$J$2:$J$1001,0),1)&gt;=100000,INDEX($Q$1005:$U$1005,1,MATCH(COLUMNS($Q$1006:Q1006),$Q$1006:$U$1006,0))&gt;=100000), " ",IF(INDEX($Q$2:$U$1001,MATCH(ROWS($J$2:J672),$J$2:$J$1001,0),MATCH(COLUMNS($Q$1006:Q1006),$Q$1006:$U$1006,0)), HYPERLINK("#",""), HYPERLINK(CONCATENATE("#Metadata!", ADDRESS(INDEX($L$2:$L$1001,MATCH(ROWS($J$2:J672),$J$2:$J$1001,0),0), INDEX($Q$1004:$U$1004,1,MATCH(COLUMNS($Q$1006:Q1006),$Q$1006:$U$1006,0)))),"Fix")))</f>
        <v xml:space="preserve"> </v>
      </c>
      <c r="C672" s="3" t="str">
        <f ca="1">IF(OR(INDEX($K$2:$K$1001,MATCH(ROWS($J$2:J672),$J$2:$J$1001,0),1)&gt;=100000,INDEX($Q$1005:$U$1005,1,MATCH(COLUMNS($Q$1006:R1006),$Q$1006:$U$1006,0))&gt;=100000), " ",IF(INDEX($Q$2:$U$1001,MATCH(ROWS($J$2:J672),$J$2:$J$1001,0),MATCH(COLUMNS($Q$1006:R1006),$Q$1006:$U$1006,0)), HYPERLINK("#",""), HYPERLINK(CONCATENATE("#Metadata!", ADDRESS(INDEX($L$2:$L$1001,MATCH(ROWS($J$2:J672),$J$2:$J$1001,0),0), INDEX($Q$1004:$U$1004,1,MATCH(COLUMNS($Q$1006:R1006),$Q$1006:$U$1006,0)))),"Fix")))</f>
        <v xml:space="preserve"> </v>
      </c>
      <c r="D672" s="3" t="str">
        <f ca="1">IF(OR(INDEX($K$2:$K$1001,MATCH(ROWS($J$2:J672),$J$2:$J$1001,0),1)&gt;=100000,INDEX($Q$1005:$U$1005,1,MATCH(COLUMNS($Q$1006:S1006),$Q$1006:$U$1006,0))&gt;=100000), " ",IF(INDEX($Q$2:$U$1001,MATCH(ROWS($J$2:J672),$J$2:$J$1001,0),MATCH(COLUMNS($Q$1006:S1006),$Q$1006:$U$1006,0)), HYPERLINK("#",""), HYPERLINK(CONCATENATE("#Metadata!", ADDRESS(INDEX($L$2:$L$1001,MATCH(ROWS($J$2:J672),$J$2:$J$1001,0),0), INDEX($Q$1004:$U$1004,1,MATCH(COLUMNS($Q$1006:S1006),$Q$1006:$U$1006,0)))),"Fix")))</f>
        <v xml:space="preserve"> </v>
      </c>
      <c r="E672" s="3" t="str">
        <f ca="1">IF(OR(INDEX($K$2:$K$1001,MATCH(ROWS($J$2:J672),$J$2:$J$1001,0),1)&gt;=100000,INDEX($Q$1005:$U$1005,1,MATCH(COLUMNS($Q$1006:T1006),$Q$1006:$U$1006,0))&gt;=100000), " ",IF(INDEX($Q$2:$U$1001,MATCH(ROWS($J$2:J672),$J$2:$J$1001,0),MATCH(COLUMNS($Q$1006:T1006),$Q$1006:$U$1006,0)), HYPERLINK("#",""), HYPERLINK(CONCATENATE("#Metadata!", ADDRESS(INDEX($L$2:$L$1001,MATCH(ROWS($J$2:J672),$J$2:$J$1001,0),0), INDEX($Q$1004:$U$1004,1,MATCH(COLUMNS($Q$1006:T1006),$Q$1006:$U$1006,0)))),"Fix")))</f>
        <v xml:space="preserve"> </v>
      </c>
      <c r="F672" s="3" t="str">
        <f ca="1">IF(OR(INDEX($K$2:$K$1001,MATCH(ROWS($J$2:J672),$J$2:$J$1001,0),1)&gt;=100000,INDEX($Q$1005:$U$1005,1,MATCH(COLUMNS($Q$1006:U1006),$Q$1006:$U$1006,0))&gt;=100000), " ",IF(INDEX($Q$2:$U$1001,MATCH(ROWS($J$2:J672),$J$2:$J$1001,0),MATCH(COLUMNS($Q$1006:U1006),$Q$1006:$U$1006,0)), HYPERLINK("#",""), HYPERLINK(CONCATENATE("#Metadata!", ADDRESS(INDEX($L$2:$L$1001,MATCH(ROWS($J$2:J672),$J$2:$J$1001,0),0), INDEX($Q$1004:$U$1004,1,MATCH(COLUMNS($Q$1006:U1006),$Q$1006:$U$1006,0)))),"Fix")))</f>
        <v xml:space="preserve"> </v>
      </c>
      <c r="J672">
        <f ca="1"/>
        <v>671</v>
      </c>
      <c r="K672">
        <v>100672</v>
      </c>
      <c r="L672">
        <v>672</v>
      </c>
      <c r="M672" t="b">
        <f t="shared" si="10"/>
        <v>1</v>
      </c>
      <c r="N672" t="b">
        <f>COUNTBLANK(Metadata!B672:F672)=COLUMNS(Metadata!B672:F672)</f>
        <v>1</v>
      </c>
      <c r="O672" t="str">
        <v/>
      </c>
      <c r="Q672" t="b">
        <f ca="1"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R672" t="b">
        <f>IF(Metadata!C672="",FALSE,TRUE)</f>
        <v>0</v>
      </c>
      <c r="S672" t="b">
        <f>OR(AND(IF(Metadata!D672="",FALSE,TRUE),EXACT(Metadata!D672,"missing: not collected")),AND(IF(Metadata!D672="",FALSE,TRUE),OR(EXACT(Metadata!D672,"t"),EXACT(Metadata!D672,"f"))))</f>
        <v>0</v>
      </c>
      <c r="T672" t="b">
        <f>AND(IF(Metadata!E672="",FALSE,TRUE),OR(EXACT(Metadata!E672,"a"),EXACT(Metadata!E672,"b")))</f>
        <v>0</v>
      </c>
      <c r="U672" t="b">
        <f>OR(AND(IF(Metadata!F672="",FALSE,TRUE),OR(EXACT(Metadata!F672,"missing: not collected"),EXACT(Metadata!F672,"missing: not provided"))),AND(IF(Metadata!F672="",FALSE,TRUE),OR(EXACT(Metadata!F672,"lo"),EXACT(Metadata!F672,"med"),EXACT(Metadata!F672,"hi"))))</f>
        <v>0</v>
      </c>
    </row>
    <row r="673" spans="1:21" x14ac:dyDescent="0.2">
      <c r="A673" s="4" t="str">
        <f ca="1">IF(B673=" "," ",HYPERLINK(CONCATENATE("#metadata!",ADDRESS(INDEX($L$2:$L$1001,MATCH(ROWS($J$2:J673),$J$2:$J$1001,0),0),1)),INDEX($O$2:$O$1001,MATCH(ROWS($J$2:J673),$J$2:$J$1001,0),0)))</f>
        <v xml:space="preserve"> </v>
      </c>
      <c r="B673" s="3" t="str">
        <f ca="1">IF(OR(INDEX($K$2:$K$1001,MATCH(ROWS($J$2:J673),$J$2:$J$1001,0),1)&gt;=100000,INDEX($Q$1005:$U$1005,1,MATCH(COLUMNS($Q$1006:Q1006),$Q$1006:$U$1006,0))&gt;=100000), " ",IF(INDEX($Q$2:$U$1001,MATCH(ROWS($J$2:J673),$J$2:$J$1001,0),MATCH(COLUMNS($Q$1006:Q1006),$Q$1006:$U$1006,0)), HYPERLINK("#",""), HYPERLINK(CONCATENATE("#Metadata!", ADDRESS(INDEX($L$2:$L$1001,MATCH(ROWS($J$2:J673),$J$2:$J$1001,0),0), INDEX($Q$1004:$U$1004,1,MATCH(COLUMNS($Q$1006:Q1006),$Q$1006:$U$1006,0)))),"Fix")))</f>
        <v xml:space="preserve"> </v>
      </c>
      <c r="C673" s="3" t="str">
        <f ca="1">IF(OR(INDEX($K$2:$K$1001,MATCH(ROWS($J$2:J673),$J$2:$J$1001,0),1)&gt;=100000,INDEX($Q$1005:$U$1005,1,MATCH(COLUMNS($Q$1006:R1006),$Q$1006:$U$1006,0))&gt;=100000), " ",IF(INDEX($Q$2:$U$1001,MATCH(ROWS($J$2:J673),$J$2:$J$1001,0),MATCH(COLUMNS($Q$1006:R1006),$Q$1006:$U$1006,0)), HYPERLINK("#",""), HYPERLINK(CONCATENATE("#Metadata!", ADDRESS(INDEX($L$2:$L$1001,MATCH(ROWS($J$2:J673),$J$2:$J$1001,0),0), INDEX($Q$1004:$U$1004,1,MATCH(COLUMNS($Q$1006:R1006),$Q$1006:$U$1006,0)))),"Fix")))</f>
        <v xml:space="preserve"> </v>
      </c>
      <c r="D673" s="3" t="str">
        <f ca="1">IF(OR(INDEX($K$2:$K$1001,MATCH(ROWS($J$2:J673),$J$2:$J$1001,0),1)&gt;=100000,INDEX($Q$1005:$U$1005,1,MATCH(COLUMNS($Q$1006:S1006),$Q$1006:$U$1006,0))&gt;=100000), " ",IF(INDEX($Q$2:$U$1001,MATCH(ROWS($J$2:J673),$J$2:$J$1001,0),MATCH(COLUMNS($Q$1006:S1006),$Q$1006:$U$1006,0)), HYPERLINK("#",""), HYPERLINK(CONCATENATE("#Metadata!", ADDRESS(INDEX($L$2:$L$1001,MATCH(ROWS($J$2:J673),$J$2:$J$1001,0),0), INDEX($Q$1004:$U$1004,1,MATCH(COLUMNS($Q$1006:S1006),$Q$1006:$U$1006,0)))),"Fix")))</f>
        <v xml:space="preserve"> </v>
      </c>
      <c r="E673" s="3" t="str">
        <f ca="1">IF(OR(INDEX($K$2:$K$1001,MATCH(ROWS($J$2:J673),$J$2:$J$1001,0),1)&gt;=100000,INDEX($Q$1005:$U$1005,1,MATCH(COLUMNS($Q$1006:T1006),$Q$1006:$U$1006,0))&gt;=100000), " ",IF(INDEX($Q$2:$U$1001,MATCH(ROWS($J$2:J673),$J$2:$J$1001,0),MATCH(COLUMNS($Q$1006:T1006),$Q$1006:$U$1006,0)), HYPERLINK("#",""), HYPERLINK(CONCATENATE("#Metadata!", ADDRESS(INDEX($L$2:$L$1001,MATCH(ROWS($J$2:J673),$J$2:$J$1001,0),0), INDEX($Q$1004:$U$1004,1,MATCH(COLUMNS($Q$1006:T1006),$Q$1006:$U$1006,0)))),"Fix")))</f>
        <v xml:space="preserve"> </v>
      </c>
      <c r="F673" s="3" t="str">
        <f ca="1">IF(OR(INDEX($K$2:$K$1001,MATCH(ROWS($J$2:J673),$J$2:$J$1001,0),1)&gt;=100000,INDEX($Q$1005:$U$1005,1,MATCH(COLUMNS($Q$1006:U1006),$Q$1006:$U$1006,0))&gt;=100000), " ",IF(INDEX($Q$2:$U$1001,MATCH(ROWS($J$2:J673),$J$2:$J$1001,0),MATCH(COLUMNS($Q$1006:U1006),$Q$1006:$U$1006,0)), HYPERLINK("#",""), HYPERLINK(CONCATENATE("#Metadata!", ADDRESS(INDEX($L$2:$L$1001,MATCH(ROWS($J$2:J673),$J$2:$J$1001,0),0), INDEX($Q$1004:$U$1004,1,MATCH(COLUMNS($Q$1006:U1006),$Q$1006:$U$1006,0)))),"Fix")))</f>
        <v xml:space="preserve"> </v>
      </c>
      <c r="J673">
        <f ca="1"/>
        <v>672</v>
      </c>
      <c r="K673">
        <v>100673</v>
      </c>
      <c r="L673">
        <v>673</v>
      </c>
      <c r="M673" t="b">
        <f t="shared" si="10"/>
        <v>1</v>
      </c>
      <c r="N673" t="b">
        <f>COUNTBLANK(Metadata!B673:F673)=COLUMNS(Metadata!B673:F673)</f>
        <v>1</v>
      </c>
      <c r="O673" t="str">
        <v/>
      </c>
      <c r="Q673" t="b">
        <f ca="1"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R673" t="b">
        <f>IF(Metadata!C673="",FALSE,TRUE)</f>
        <v>0</v>
      </c>
      <c r="S673" t="b">
        <f>OR(AND(IF(Metadata!D673="",FALSE,TRUE),EXACT(Metadata!D673,"missing: not collected")),AND(IF(Metadata!D673="",FALSE,TRUE),OR(EXACT(Metadata!D673,"t"),EXACT(Metadata!D673,"f"))))</f>
        <v>0</v>
      </c>
      <c r="T673" t="b">
        <f>AND(IF(Metadata!E673="",FALSE,TRUE),OR(EXACT(Metadata!E673,"a"),EXACT(Metadata!E673,"b")))</f>
        <v>0</v>
      </c>
      <c r="U673" t="b">
        <f>OR(AND(IF(Metadata!F673="",FALSE,TRUE),OR(EXACT(Metadata!F673,"missing: not collected"),EXACT(Metadata!F673,"missing: not provided"))),AND(IF(Metadata!F673="",FALSE,TRUE),OR(EXACT(Metadata!F673,"lo"),EXACT(Metadata!F673,"med"),EXACT(Metadata!F673,"hi"))))</f>
        <v>0</v>
      </c>
    </row>
    <row r="674" spans="1:21" x14ac:dyDescent="0.2">
      <c r="A674" s="4" t="str">
        <f ca="1">IF(B674=" "," ",HYPERLINK(CONCATENATE("#metadata!",ADDRESS(INDEX($L$2:$L$1001,MATCH(ROWS($J$2:J674),$J$2:$J$1001,0),0),1)),INDEX($O$2:$O$1001,MATCH(ROWS($J$2:J674),$J$2:$J$1001,0),0)))</f>
        <v xml:space="preserve"> </v>
      </c>
      <c r="B674" s="3" t="str">
        <f ca="1">IF(OR(INDEX($K$2:$K$1001,MATCH(ROWS($J$2:J674),$J$2:$J$1001,0),1)&gt;=100000,INDEX($Q$1005:$U$1005,1,MATCH(COLUMNS($Q$1006:Q1006),$Q$1006:$U$1006,0))&gt;=100000), " ",IF(INDEX($Q$2:$U$1001,MATCH(ROWS($J$2:J674),$J$2:$J$1001,0),MATCH(COLUMNS($Q$1006:Q1006),$Q$1006:$U$1006,0)), HYPERLINK("#",""), HYPERLINK(CONCATENATE("#Metadata!", ADDRESS(INDEX($L$2:$L$1001,MATCH(ROWS($J$2:J674),$J$2:$J$1001,0),0), INDEX($Q$1004:$U$1004,1,MATCH(COLUMNS($Q$1006:Q1006),$Q$1006:$U$1006,0)))),"Fix")))</f>
        <v xml:space="preserve"> </v>
      </c>
      <c r="C674" s="3" t="str">
        <f ca="1">IF(OR(INDEX($K$2:$K$1001,MATCH(ROWS($J$2:J674),$J$2:$J$1001,0),1)&gt;=100000,INDEX($Q$1005:$U$1005,1,MATCH(COLUMNS($Q$1006:R1006),$Q$1006:$U$1006,0))&gt;=100000), " ",IF(INDEX($Q$2:$U$1001,MATCH(ROWS($J$2:J674),$J$2:$J$1001,0),MATCH(COLUMNS($Q$1006:R1006),$Q$1006:$U$1006,0)), HYPERLINK("#",""), HYPERLINK(CONCATENATE("#Metadata!", ADDRESS(INDEX($L$2:$L$1001,MATCH(ROWS($J$2:J674),$J$2:$J$1001,0),0), INDEX($Q$1004:$U$1004,1,MATCH(COLUMNS($Q$1006:R1006),$Q$1006:$U$1006,0)))),"Fix")))</f>
        <v xml:space="preserve"> </v>
      </c>
      <c r="D674" s="3" t="str">
        <f ca="1">IF(OR(INDEX($K$2:$K$1001,MATCH(ROWS($J$2:J674),$J$2:$J$1001,0),1)&gt;=100000,INDEX($Q$1005:$U$1005,1,MATCH(COLUMNS($Q$1006:S1006),$Q$1006:$U$1006,0))&gt;=100000), " ",IF(INDEX($Q$2:$U$1001,MATCH(ROWS($J$2:J674),$J$2:$J$1001,0),MATCH(COLUMNS($Q$1006:S1006),$Q$1006:$U$1006,0)), HYPERLINK("#",""), HYPERLINK(CONCATENATE("#Metadata!", ADDRESS(INDEX($L$2:$L$1001,MATCH(ROWS($J$2:J674),$J$2:$J$1001,0),0), INDEX($Q$1004:$U$1004,1,MATCH(COLUMNS($Q$1006:S1006),$Q$1006:$U$1006,0)))),"Fix")))</f>
        <v xml:space="preserve"> </v>
      </c>
      <c r="E674" s="3" t="str">
        <f ca="1">IF(OR(INDEX($K$2:$K$1001,MATCH(ROWS($J$2:J674),$J$2:$J$1001,0),1)&gt;=100000,INDEX($Q$1005:$U$1005,1,MATCH(COLUMNS($Q$1006:T1006),$Q$1006:$U$1006,0))&gt;=100000), " ",IF(INDEX($Q$2:$U$1001,MATCH(ROWS($J$2:J674),$J$2:$J$1001,0),MATCH(COLUMNS($Q$1006:T1006),$Q$1006:$U$1006,0)), HYPERLINK("#",""), HYPERLINK(CONCATENATE("#Metadata!", ADDRESS(INDEX($L$2:$L$1001,MATCH(ROWS($J$2:J674),$J$2:$J$1001,0),0), INDEX($Q$1004:$U$1004,1,MATCH(COLUMNS($Q$1006:T1006),$Q$1006:$U$1006,0)))),"Fix")))</f>
        <v xml:space="preserve"> </v>
      </c>
      <c r="F674" s="3" t="str">
        <f ca="1">IF(OR(INDEX($K$2:$K$1001,MATCH(ROWS($J$2:J674),$J$2:$J$1001,0),1)&gt;=100000,INDEX($Q$1005:$U$1005,1,MATCH(COLUMNS($Q$1006:U1006),$Q$1006:$U$1006,0))&gt;=100000), " ",IF(INDEX($Q$2:$U$1001,MATCH(ROWS($J$2:J674),$J$2:$J$1001,0),MATCH(COLUMNS($Q$1006:U1006),$Q$1006:$U$1006,0)), HYPERLINK("#",""), HYPERLINK(CONCATENATE("#Metadata!", ADDRESS(INDEX($L$2:$L$1001,MATCH(ROWS($J$2:J674),$J$2:$J$1001,0),0), INDEX($Q$1004:$U$1004,1,MATCH(COLUMNS($Q$1006:U1006),$Q$1006:$U$1006,0)))),"Fix")))</f>
        <v xml:space="preserve"> </v>
      </c>
      <c r="J674">
        <f ca="1"/>
        <v>673</v>
      </c>
      <c r="K674">
        <v>100674</v>
      </c>
      <c r="L674">
        <v>674</v>
      </c>
      <c r="M674" t="b">
        <f t="shared" si="10"/>
        <v>1</v>
      </c>
      <c r="N674" t="b">
        <f>COUNTBLANK(Metadata!B674:F674)=COLUMNS(Metadata!B674:F674)</f>
        <v>1</v>
      </c>
      <c r="O674" t="str">
        <v/>
      </c>
      <c r="Q674" t="b">
        <f ca="1"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R674" t="b">
        <f>IF(Metadata!C674="",FALSE,TRUE)</f>
        <v>0</v>
      </c>
      <c r="S674" t="b">
        <f>OR(AND(IF(Metadata!D674="",FALSE,TRUE),EXACT(Metadata!D674,"missing: not collected")),AND(IF(Metadata!D674="",FALSE,TRUE),OR(EXACT(Metadata!D674,"t"),EXACT(Metadata!D674,"f"))))</f>
        <v>0</v>
      </c>
      <c r="T674" t="b">
        <f>AND(IF(Metadata!E674="",FALSE,TRUE),OR(EXACT(Metadata!E674,"a"),EXACT(Metadata!E674,"b")))</f>
        <v>0</v>
      </c>
      <c r="U674" t="b">
        <f>OR(AND(IF(Metadata!F674="",FALSE,TRUE),OR(EXACT(Metadata!F674,"missing: not collected"),EXACT(Metadata!F674,"missing: not provided"))),AND(IF(Metadata!F674="",FALSE,TRUE),OR(EXACT(Metadata!F674,"lo"),EXACT(Metadata!F674,"med"),EXACT(Metadata!F674,"hi"))))</f>
        <v>0</v>
      </c>
    </row>
    <row r="675" spans="1:21" x14ac:dyDescent="0.2">
      <c r="A675" s="4" t="str">
        <f ca="1">IF(B675=" "," ",HYPERLINK(CONCATENATE("#metadata!",ADDRESS(INDEX($L$2:$L$1001,MATCH(ROWS($J$2:J675),$J$2:$J$1001,0),0),1)),INDEX($O$2:$O$1001,MATCH(ROWS($J$2:J675),$J$2:$J$1001,0),0)))</f>
        <v xml:space="preserve"> </v>
      </c>
      <c r="B675" s="3" t="str">
        <f ca="1">IF(OR(INDEX($K$2:$K$1001,MATCH(ROWS($J$2:J675),$J$2:$J$1001,0),1)&gt;=100000,INDEX($Q$1005:$U$1005,1,MATCH(COLUMNS($Q$1006:Q1006),$Q$1006:$U$1006,0))&gt;=100000), " ",IF(INDEX($Q$2:$U$1001,MATCH(ROWS($J$2:J675),$J$2:$J$1001,0),MATCH(COLUMNS($Q$1006:Q1006),$Q$1006:$U$1006,0)), HYPERLINK("#",""), HYPERLINK(CONCATENATE("#Metadata!", ADDRESS(INDEX($L$2:$L$1001,MATCH(ROWS($J$2:J675),$J$2:$J$1001,0),0), INDEX($Q$1004:$U$1004,1,MATCH(COLUMNS($Q$1006:Q1006),$Q$1006:$U$1006,0)))),"Fix")))</f>
        <v xml:space="preserve"> </v>
      </c>
      <c r="C675" s="3" t="str">
        <f ca="1">IF(OR(INDEX($K$2:$K$1001,MATCH(ROWS($J$2:J675),$J$2:$J$1001,0),1)&gt;=100000,INDEX($Q$1005:$U$1005,1,MATCH(COLUMNS($Q$1006:R1006),$Q$1006:$U$1006,0))&gt;=100000), " ",IF(INDEX($Q$2:$U$1001,MATCH(ROWS($J$2:J675),$J$2:$J$1001,0),MATCH(COLUMNS($Q$1006:R1006),$Q$1006:$U$1006,0)), HYPERLINK("#",""), HYPERLINK(CONCATENATE("#Metadata!", ADDRESS(INDEX($L$2:$L$1001,MATCH(ROWS($J$2:J675),$J$2:$J$1001,0),0), INDEX($Q$1004:$U$1004,1,MATCH(COLUMNS($Q$1006:R1006),$Q$1006:$U$1006,0)))),"Fix")))</f>
        <v xml:space="preserve"> </v>
      </c>
      <c r="D675" s="3" t="str">
        <f ca="1">IF(OR(INDEX($K$2:$K$1001,MATCH(ROWS($J$2:J675),$J$2:$J$1001,0),1)&gt;=100000,INDEX($Q$1005:$U$1005,1,MATCH(COLUMNS($Q$1006:S1006),$Q$1006:$U$1006,0))&gt;=100000), " ",IF(INDEX($Q$2:$U$1001,MATCH(ROWS($J$2:J675),$J$2:$J$1001,0),MATCH(COLUMNS($Q$1006:S1006),$Q$1006:$U$1006,0)), HYPERLINK("#",""), HYPERLINK(CONCATENATE("#Metadata!", ADDRESS(INDEX($L$2:$L$1001,MATCH(ROWS($J$2:J675),$J$2:$J$1001,0),0), INDEX($Q$1004:$U$1004,1,MATCH(COLUMNS($Q$1006:S1006),$Q$1006:$U$1006,0)))),"Fix")))</f>
        <v xml:space="preserve"> </v>
      </c>
      <c r="E675" s="3" t="str">
        <f ca="1">IF(OR(INDEX($K$2:$K$1001,MATCH(ROWS($J$2:J675),$J$2:$J$1001,0),1)&gt;=100000,INDEX($Q$1005:$U$1005,1,MATCH(COLUMNS($Q$1006:T1006),$Q$1006:$U$1006,0))&gt;=100000), " ",IF(INDEX($Q$2:$U$1001,MATCH(ROWS($J$2:J675),$J$2:$J$1001,0),MATCH(COLUMNS($Q$1006:T1006),$Q$1006:$U$1006,0)), HYPERLINK("#",""), HYPERLINK(CONCATENATE("#Metadata!", ADDRESS(INDEX($L$2:$L$1001,MATCH(ROWS($J$2:J675),$J$2:$J$1001,0),0), INDEX($Q$1004:$U$1004,1,MATCH(COLUMNS($Q$1006:T1006),$Q$1006:$U$1006,0)))),"Fix")))</f>
        <v xml:space="preserve"> </v>
      </c>
      <c r="F675" s="3" t="str">
        <f ca="1">IF(OR(INDEX($K$2:$K$1001,MATCH(ROWS($J$2:J675),$J$2:$J$1001,0),1)&gt;=100000,INDEX($Q$1005:$U$1005,1,MATCH(COLUMNS($Q$1006:U1006),$Q$1006:$U$1006,0))&gt;=100000), " ",IF(INDEX($Q$2:$U$1001,MATCH(ROWS($J$2:J675),$J$2:$J$1001,0),MATCH(COLUMNS($Q$1006:U1006),$Q$1006:$U$1006,0)), HYPERLINK("#",""), HYPERLINK(CONCATENATE("#Metadata!", ADDRESS(INDEX($L$2:$L$1001,MATCH(ROWS($J$2:J675),$J$2:$J$1001,0),0), INDEX($Q$1004:$U$1004,1,MATCH(COLUMNS($Q$1006:U1006),$Q$1006:$U$1006,0)))),"Fix")))</f>
        <v xml:space="preserve"> </v>
      </c>
      <c r="J675">
        <f ca="1"/>
        <v>674</v>
      </c>
      <c r="K675">
        <v>100675</v>
      </c>
      <c r="L675">
        <v>675</v>
      </c>
      <c r="M675" t="b">
        <f t="shared" si="10"/>
        <v>1</v>
      </c>
      <c r="N675" t="b">
        <f>COUNTBLANK(Metadata!B675:F675)=COLUMNS(Metadata!B675:F675)</f>
        <v>1</v>
      </c>
      <c r="O675" t="str">
        <v/>
      </c>
      <c r="Q675" t="b">
        <f ca="1"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R675" t="b">
        <f>IF(Metadata!C675="",FALSE,TRUE)</f>
        <v>0</v>
      </c>
      <c r="S675" t="b">
        <f>OR(AND(IF(Metadata!D675="",FALSE,TRUE),EXACT(Metadata!D675,"missing: not collected")),AND(IF(Metadata!D675="",FALSE,TRUE),OR(EXACT(Metadata!D675,"t"),EXACT(Metadata!D675,"f"))))</f>
        <v>0</v>
      </c>
      <c r="T675" t="b">
        <f>AND(IF(Metadata!E675="",FALSE,TRUE),OR(EXACT(Metadata!E675,"a"),EXACT(Metadata!E675,"b")))</f>
        <v>0</v>
      </c>
      <c r="U675" t="b">
        <f>OR(AND(IF(Metadata!F675="",FALSE,TRUE),OR(EXACT(Metadata!F675,"missing: not collected"),EXACT(Metadata!F675,"missing: not provided"))),AND(IF(Metadata!F675="",FALSE,TRUE),OR(EXACT(Metadata!F675,"lo"),EXACT(Metadata!F675,"med"),EXACT(Metadata!F675,"hi"))))</f>
        <v>0</v>
      </c>
    </row>
    <row r="676" spans="1:21" x14ac:dyDescent="0.2">
      <c r="A676" s="4" t="str">
        <f ca="1">IF(B676=" "," ",HYPERLINK(CONCATENATE("#metadata!",ADDRESS(INDEX($L$2:$L$1001,MATCH(ROWS($J$2:J676),$J$2:$J$1001,0),0),1)),INDEX($O$2:$O$1001,MATCH(ROWS($J$2:J676),$J$2:$J$1001,0),0)))</f>
        <v xml:space="preserve"> </v>
      </c>
      <c r="B676" s="3" t="str">
        <f ca="1">IF(OR(INDEX($K$2:$K$1001,MATCH(ROWS($J$2:J676),$J$2:$J$1001,0),1)&gt;=100000,INDEX($Q$1005:$U$1005,1,MATCH(COLUMNS($Q$1006:Q1006),$Q$1006:$U$1006,0))&gt;=100000), " ",IF(INDEX($Q$2:$U$1001,MATCH(ROWS($J$2:J676),$J$2:$J$1001,0),MATCH(COLUMNS($Q$1006:Q1006),$Q$1006:$U$1006,0)), HYPERLINK("#",""), HYPERLINK(CONCATENATE("#Metadata!", ADDRESS(INDEX($L$2:$L$1001,MATCH(ROWS($J$2:J676),$J$2:$J$1001,0),0), INDEX($Q$1004:$U$1004,1,MATCH(COLUMNS($Q$1006:Q1006),$Q$1006:$U$1006,0)))),"Fix")))</f>
        <v xml:space="preserve"> </v>
      </c>
      <c r="C676" s="3" t="str">
        <f ca="1">IF(OR(INDEX($K$2:$K$1001,MATCH(ROWS($J$2:J676),$J$2:$J$1001,0),1)&gt;=100000,INDEX($Q$1005:$U$1005,1,MATCH(COLUMNS($Q$1006:R1006),$Q$1006:$U$1006,0))&gt;=100000), " ",IF(INDEX($Q$2:$U$1001,MATCH(ROWS($J$2:J676),$J$2:$J$1001,0),MATCH(COLUMNS($Q$1006:R1006),$Q$1006:$U$1006,0)), HYPERLINK("#",""), HYPERLINK(CONCATENATE("#Metadata!", ADDRESS(INDEX($L$2:$L$1001,MATCH(ROWS($J$2:J676),$J$2:$J$1001,0),0), INDEX($Q$1004:$U$1004,1,MATCH(COLUMNS($Q$1006:R1006),$Q$1006:$U$1006,0)))),"Fix")))</f>
        <v xml:space="preserve"> </v>
      </c>
      <c r="D676" s="3" t="str">
        <f ca="1">IF(OR(INDEX($K$2:$K$1001,MATCH(ROWS($J$2:J676),$J$2:$J$1001,0),1)&gt;=100000,INDEX($Q$1005:$U$1005,1,MATCH(COLUMNS($Q$1006:S1006),$Q$1006:$U$1006,0))&gt;=100000), " ",IF(INDEX($Q$2:$U$1001,MATCH(ROWS($J$2:J676),$J$2:$J$1001,0),MATCH(COLUMNS($Q$1006:S1006),$Q$1006:$U$1006,0)), HYPERLINK("#",""), HYPERLINK(CONCATENATE("#Metadata!", ADDRESS(INDEX($L$2:$L$1001,MATCH(ROWS($J$2:J676),$J$2:$J$1001,0),0), INDEX($Q$1004:$U$1004,1,MATCH(COLUMNS($Q$1006:S1006),$Q$1006:$U$1006,0)))),"Fix")))</f>
        <v xml:space="preserve"> </v>
      </c>
      <c r="E676" s="3" t="str">
        <f ca="1">IF(OR(INDEX($K$2:$K$1001,MATCH(ROWS($J$2:J676),$J$2:$J$1001,0),1)&gt;=100000,INDEX($Q$1005:$U$1005,1,MATCH(COLUMNS($Q$1006:T1006),$Q$1006:$U$1006,0))&gt;=100000), " ",IF(INDEX($Q$2:$U$1001,MATCH(ROWS($J$2:J676),$J$2:$J$1001,0),MATCH(COLUMNS($Q$1006:T1006),$Q$1006:$U$1006,0)), HYPERLINK("#",""), HYPERLINK(CONCATENATE("#Metadata!", ADDRESS(INDEX($L$2:$L$1001,MATCH(ROWS($J$2:J676),$J$2:$J$1001,0),0), INDEX($Q$1004:$U$1004,1,MATCH(COLUMNS($Q$1006:T1006),$Q$1006:$U$1006,0)))),"Fix")))</f>
        <v xml:space="preserve"> </v>
      </c>
      <c r="F676" s="3" t="str">
        <f ca="1">IF(OR(INDEX($K$2:$K$1001,MATCH(ROWS($J$2:J676),$J$2:$J$1001,0),1)&gt;=100000,INDEX($Q$1005:$U$1005,1,MATCH(COLUMNS($Q$1006:U1006),$Q$1006:$U$1006,0))&gt;=100000), " ",IF(INDEX($Q$2:$U$1001,MATCH(ROWS($J$2:J676),$J$2:$J$1001,0),MATCH(COLUMNS($Q$1006:U1006),$Q$1006:$U$1006,0)), HYPERLINK("#",""), HYPERLINK(CONCATENATE("#Metadata!", ADDRESS(INDEX($L$2:$L$1001,MATCH(ROWS($J$2:J676),$J$2:$J$1001,0),0), INDEX($Q$1004:$U$1004,1,MATCH(COLUMNS($Q$1006:U1006),$Q$1006:$U$1006,0)))),"Fix")))</f>
        <v xml:space="preserve"> </v>
      </c>
      <c r="J676">
        <f ca="1"/>
        <v>675</v>
      </c>
      <c r="K676">
        <v>100676</v>
      </c>
      <c r="L676">
        <v>676</v>
      </c>
      <c r="M676" t="b">
        <f t="shared" si="10"/>
        <v>1</v>
      </c>
      <c r="N676" t="b">
        <f>COUNTBLANK(Metadata!B676:F676)=COLUMNS(Metadata!B676:F676)</f>
        <v>1</v>
      </c>
      <c r="O676" t="str">
        <v/>
      </c>
      <c r="Q676" t="b">
        <f ca="1"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R676" t="b">
        <f>IF(Metadata!C676="",FALSE,TRUE)</f>
        <v>0</v>
      </c>
      <c r="S676" t="b">
        <f>OR(AND(IF(Metadata!D676="",FALSE,TRUE),EXACT(Metadata!D676,"missing: not collected")),AND(IF(Metadata!D676="",FALSE,TRUE),OR(EXACT(Metadata!D676,"t"),EXACT(Metadata!D676,"f"))))</f>
        <v>0</v>
      </c>
      <c r="T676" t="b">
        <f>AND(IF(Metadata!E676="",FALSE,TRUE),OR(EXACT(Metadata!E676,"a"),EXACT(Metadata!E676,"b")))</f>
        <v>0</v>
      </c>
      <c r="U676" t="b">
        <f>OR(AND(IF(Metadata!F676="",FALSE,TRUE),OR(EXACT(Metadata!F676,"missing: not collected"),EXACT(Metadata!F676,"missing: not provided"))),AND(IF(Metadata!F676="",FALSE,TRUE),OR(EXACT(Metadata!F676,"lo"),EXACT(Metadata!F676,"med"),EXACT(Metadata!F676,"hi"))))</f>
        <v>0</v>
      </c>
    </row>
    <row r="677" spans="1:21" x14ac:dyDescent="0.2">
      <c r="A677" s="4" t="str">
        <f ca="1">IF(B677=" "," ",HYPERLINK(CONCATENATE("#metadata!",ADDRESS(INDEX($L$2:$L$1001,MATCH(ROWS($J$2:J677),$J$2:$J$1001,0),0),1)),INDEX($O$2:$O$1001,MATCH(ROWS($J$2:J677),$J$2:$J$1001,0),0)))</f>
        <v xml:space="preserve"> </v>
      </c>
      <c r="B677" s="3" t="str">
        <f ca="1">IF(OR(INDEX($K$2:$K$1001,MATCH(ROWS($J$2:J677),$J$2:$J$1001,0),1)&gt;=100000,INDEX($Q$1005:$U$1005,1,MATCH(COLUMNS($Q$1006:Q1006),$Q$1006:$U$1006,0))&gt;=100000), " ",IF(INDEX($Q$2:$U$1001,MATCH(ROWS($J$2:J677),$J$2:$J$1001,0),MATCH(COLUMNS($Q$1006:Q1006),$Q$1006:$U$1006,0)), HYPERLINK("#",""), HYPERLINK(CONCATENATE("#Metadata!", ADDRESS(INDEX($L$2:$L$1001,MATCH(ROWS($J$2:J677),$J$2:$J$1001,0),0), INDEX($Q$1004:$U$1004,1,MATCH(COLUMNS($Q$1006:Q1006),$Q$1006:$U$1006,0)))),"Fix")))</f>
        <v xml:space="preserve"> </v>
      </c>
      <c r="C677" s="3" t="str">
        <f ca="1">IF(OR(INDEX($K$2:$K$1001,MATCH(ROWS($J$2:J677),$J$2:$J$1001,0),1)&gt;=100000,INDEX($Q$1005:$U$1005,1,MATCH(COLUMNS($Q$1006:R1006),$Q$1006:$U$1006,0))&gt;=100000), " ",IF(INDEX($Q$2:$U$1001,MATCH(ROWS($J$2:J677),$J$2:$J$1001,0),MATCH(COLUMNS($Q$1006:R1006),$Q$1006:$U$1006,0)), HYPERLINK("#",""), HYPERLINK(CONCATENATE("#Metadata!", ADDRESS(INDEX($L$2:$L$1001,MATCH(ROWS($J$2:J677),$J$2:$J$1001,0),0), INDEX($Q$1004:$U$1004,1,MATCH(COLUMNS($Q$1006:R1006),$Q$1006:$U$1006,0)))),"Fix")))</f>
        <v xml:space="preserve"> </v>
      </c>
      <c r="D677" s="3" t="str">
        <f ca="1">IF(OR(INDEX($K$2:$K$1001,MATCH(ROWS($J$2:J677),$J$2:$J$1001,0),1)&gt;=100000,INDEX($Q$1005:$U$1005,1,MATCH(COLUMNS($Q$1006:S1006),$Q$1006:$U$1006,0))&gt;=100000), " ",IF(INDEX($Q$2:$U$1001,MATCH(ROWS($J$2:J677),$J$2:$J$1001,0),MATCH(COLUMNS($Q$1006:S1006),$Q$1006:$U$1006,0)), HYPERLINK("#",""), HYPERLINK(CONCATENATE("#Metadata!", ADDRESS(INDEX($L$2:$L$1001,MATCH(ROWS($J$2:J677),$J$2:$J$1001,0),0), INDEX($Q$1004:$U$1004,1,MATCH(COLUMNS($Q$1006:S1006),$Q$1006:$U$1006,0)))),"Fix")))</f>
        <v xml:space="preserve"> </v>
      </c>
      <c r="E677" s="3" t="str">
        <f ca="1">IF(OR(INDEX($K$2:$K$1001,MATCH(ROWS($J$2:J677),$J$2:$J$1001,0),1)&gt;=100000,INDEX($Q$1005:$U$1005,1,MATCH(COLUMNS($Q$1006:T1006),$Q$1006:$U$1006,0))&gt;=100000), " ",IF(INDEX($Q$2:$U$1001,MATCH(ROWS($J$2:J677),$J$2:$J$1001,0),MATCH(COLUMNS($Q$1006:T1006),$Q$1006:$U$1006,0)), HYPERLINK("#",""), HYPERLINK(CONCATENATE("#Metadata!", ADDRESS(INDEX($L$2:$L$1001,MATCH(ROWS($J$2:J677),$J$2:$J$1001,0),0), INDEX($Q$1004:$U$1004,1,MATCH(COLUMNS($Q$1006:T1006),$Q$1006:$U$1006,0)))),"Fix")))</f>
        <v xml:space="preserve"> </v>
      </c>
      <c r="F677" s="3" t="str">
        <f ca="1">IF(OR(INDEX($K$2:$K$1001,MATCH(ROWS($J$2:J677),$J$2:$J$1001,0),1)&gt;=100000,INDEX($Q$1005:$U$1005,1,MATCH(COLUMNS($Q$1006:U1006),$Q$1006:$U$1006,0))&gt;=100000), " ",IF(INDEX($Q$2:$U$1001,MATCH(ROWS($J$2:J677),$J$2:$J$1001,0),MATCH(COLUMNS($Q$1006:U1006),$Q$1006:$U$1006,0)), HYPERLINK("#",""), HYPERLINK(CONCATENATE("#Metadata!", ADDRESS(INDEX($L$2:$L$1001,MATCH(ROWS($J$2:J677),$J$2:$J$1001,0),0), INDEX($Q$1004:$U$1004,1,MATCH(COLUMNS($Q$1006:U1006),$Q$1006:$U$1006,0)))),"Fix")))</f>
        <v xml:space="preserve"> </v>
      </c>
      <c r="J677">
        <f ca="1"/>
        <v>676</v>
      </c>
      <c r="K677">
        <v>100677</v>
      </c>
      <c r="L677">
        <v>677</v>
      </c>
      <c r="M677" t="b">
        <f t="shared" si="10"/>
        <v>1</v>
      </c>
      <c r="N677" t="b">
        <f>COUNTBLANK(Metadata!B677:F677)=COLUMNS(Metadata!B677:F677)</f>
        <v>1</v>
      </c>
      <c r="O677" t="str">
        <v/>
      </c>
      <c r="Q677" t="b">
        <f ca="1"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R677" t="b">
        <f>IF(Metadata!C677="",FALSE,TRUE)</f>
        <v>0</v>
      </c>
      <c r="S677" t="b">
        <f>OR(AND(IF(Metadata!D677="",FALSE,TRUE),EXACT(Metadata!D677,"missing: not collected")),AND(IF(Metadata!D677="",FALSE,TRUE),OR(EXACT(Metadata!D677,"t"),EXACT(Metadata!D677,"f"))))</f>
        <v>0</v>
      </c>
      <c r="T677" t="b">
        <f>AND(IF(Metadata!E677="",FALSE,TRUE),OR(EXACT(Metadata!E677,"a"),EXACT(Metadata!E677,"b")))</f>
        <v>0</v>
      </c>
      <c r="U677" t="b">
        <f>OR(AND(IF(Metadata!F677="",FALSE,TRUE),OR(EXACT(Metadata!F677,"missing: not collected"),EXACT(Metadata!F677,"missing: not provided"))),AND(IF(Metadata!F677="",FALSE,TRUE),OR(EXACT(Metadata!F677,"lo"),EXACT(Metadata!F677,"med"),EXACT(Metadata!F677,"hi"))))</f>
        <v>0</v>
      </c>
    </row>
    <row r="678" spans="1:21" x14ac:dyDescent="0.2">
      <c r="A678" s="4" t="str">
        <f ca="1">IF(B678=" "," ",HYPERLINK(CONCATENATE("#metadata!",ADDRESS(INDEX($L$2:$L$1001,MATCH(ROWS($J$2:J678),$J$2:$J$1001,0),0),1)),INDEX($O$2:$O$1001,MATCH(ROWS($J$2:J678),$J$2:$J$1001,0),0)))</f>
        <v xml:space="preserve"> </v>
      </c>
      <c r="B678" s="3" t="str">
        <f ca="1">IF(OR(INDEX($K$2:$K$1001,MATCH(ROWS($J$2:J678),$J$2:$J$1001,0),1)&gt;=100000,INDEX($Q$1005:$U$1005,1,MATCH(COLUMNS($Q$1006:Q1006),$Q$1006:$U$1006,0))&gt;=100000), " ",IF(INDEX($Q$2:$U$1001,MATCH(ROWS($J$2:J678),$J$2:$J$1001,0),MATCH(COLUMNS($Q$1006:Q1006),$Q$1006:$U$1006,0)), HYPERLINK("#",""), HYPERLINK(CONCATENATE("#Metadata!", ADDRESS(INDEX($L$2:$L$1001,MATCH(ROWS($J$2:J678),$J$2:$J$1001,0),0), INDEX($Q$1004:$U$1004,1,MATCH(COLUMNS($Q$1006:Q1006),$Q$1006:$U$1006,0)))),"Fix")))</f>
        <v xml:space="preserve"> </v>
      </c>
      <c r="C678" s="3" t="str">
        <f ca="1">IF(OR(INDEX($K$2:$K$1001,MATCH(ROWS($J$2:J678),$J$2:$J$1001,0),1)&gt;=100000,INDEX($Q$1005:$U$1005,1,MATCH(COLUMNS($Q$1006:R1006),$Q$1006:$U$1006,0))&gt;=100000), " ",IF(INDEX($Q$2:$U$1001,MATCH(ROWS($J$2:J678),$J$2:$J$1001,0),MATCH(COLUMNS($Q$1006:R1006),$Q$1006:$U$1006,0)), HYPERLINK("#",""), HYPERLINK(CONCATENATE("#Metadata!", ADDRESS(INDEX($L$2:$L$1001,MATCH(ROWS($J$2:J678),$J$2:$J$1001,0),0), INDEX($Q$1004:$U$1004,1,MATCH(COLUMNS($Q$1006:R1006),$Q$1006:$U$1006,0)))),"Fix")))</f>
        <v xml:space="preserve"> </v>
      </c>
      <c r="D678" s="3" t="str">
        <f ca="1">IF(OR(INDEX($K$2:$K$1001,MATCH(ROWS($J$2:J678),$J$2:$J$1001,0),1)&gt;=100000,INDEX($Q$1005:$U$1005,1,MATCH(COLUMNS($Q$1006:S1006),$Q$1006:$U$1006,0))&gt;=100000), " ",IF(INDEX($Q$2:$U$1001,MATCH(ROWS($J$2:J678),$J$2:$J$1001,0),MATCH(COLUMNS($Q$1006:S1006),$Q$1006:$U$1006,0)), HYPERLINK("#",""), HYPERLINK(CONCATENATE("#Metadata!", ADDRESS(INDEX($L$2:$L$1001,MATCH(ROWS($J$2:J678),$J$2:$J$1001,0),0), INDEX($Q$1004:$U$1004,1,MATCH(COLUMNS($Q$1006:S1006),$Q$1006:$U$1006,0)))),"Fix")))</f>
        <v xml:space="preserve"> </v>
      </c>
      <c r="E678" s="3" t="str">
        <f ca="1">IF(OR(INDEX($K$2:$K$1001,MATCH(ROWS($J$2:J678),$J$2:$J$1001,0),1)&gt;=100000,INDEX($Q$1005:$U$1005,1,MATCH(COLUMNS($Q$1006:T1006),$Q$1006:$U$1006,0))&gt;=100000), " ",IF(INDEX($Q$2:$U$1001,MATCH(ROWS($J$2:J678),$J$2:$J$1001,0),MATCH(COLUMNS($Q$1006:T1006),$Q$1006:$U$1006,0)), HYPERLINK("#",""), HYPERLINK(CONCATENATE("#Metadata!", ADDRESS(INDEX($L$2:$L$1001,MATCH(ROWS($J$2:J678),$J$2:$J$1001,0),0), INDEX($Q$1004:$U$1004,1,MATCH(COLUMNS($Q$1006:T1006),$Q$1006:$U$1006,0)))),"Fix")))</f>
        <v xml:space="preserve"> </v>
      </c>
      <c r="F678" s="3" t="str">
        <f ca="1">IF(OR(INDEX($K$2:$K$1001,MATCH(ROWS($J$2:J678),$J$2:$J$1001,0),1)&gt;=100000,INDEX($Q$1005:$U$1005,1,MATCH(COLUMNS($Q$1006:U1006),$Q$1006:$U$1006,0))&gt;=100000), " ",IF(INDEX($Q$2:$U$1001,MATCH(ROWS($J$2:J678),$J$2:$J$1001,0),MATCH(COLUMNS($Q$1006:U1006),$Q$1006:$U$1006,0)), HYPERLINK("#",""), HYPERLINK(CONCATENATE("#Metadata!", ADDRESS(INDEX($L$2:$L$1001,MATCH(ROWS($J$2:J678),$J$2:$J$1001,0),0), INDEX($Q$1004:$U$1004,1,MATCH(COLUMNS($Q$1006:U1006),$Q$1006:$U$1006,0)))),"Fix")))</f>
        <v xml:space="preserve"> </v>
      </c>
      <c r="J678">
        <f ca="1"/>
        <v>677</v>
      </c>
      <c r="K678">
        <v>100678</v>
      </c>
      <c r="L678">
        <v>678</v>
      </c>
      <c r="M678" t="b">
        <f t="shared" si="10"/>
        <v>1</v>
      </c>
      <c r="N678" t="b">
        <f>COUNTBLANK(Metadata!B678:F678)=COLUMNS(Metadata!B678:F678)</f>
        <v>1</v>
      </c>
      <c r="O678" t="str">
        <v/>
      </c>
      <c r="Q678" t="b">
        <f ca="1"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R678" t="b">
        <f>IF(Metadata!C678="",FALSE,TRUE)</f>
        <v>0</v>
      </c>
      <c r="S678" t="b">
        <f>OR(AND(IF(Metadata!D678="",FALSE,TRUE),EXACT(Metadata!D678,"missing: not collected")),AND(IF(Metadata!D678="",FALSE,TRUE),OR(EXACT(Metadata!D678,"t"),EXACT(Metadata!D678,"f"))))</f>
        <v>0</v>
      </c>
      <c r="T678" t="b">
        <f>AND(IF(Metadata!E678="",FALSE,TRUE),OR(EXACT(Metadata!E678,"a"),EXACT(Metadata!E678,"b")))</f>
        <v>0</v>
      </c>
      <c r="U678" t="b">
        <f>OR(AND(IF(Metadata!F678="",FALSE,TRUE),OR(EXACT(Metadata!F678,"missing: not collected"),EXACT(Metadata!F678,"missing: not provided"))),AND(IF(Metadata!F678="",FALSE,TRUE),OR(EXACT(Metadata!F678,"lo"),EXACT(Metadata!F678,"med"),EXACT(Metadata!F678,"hi"))))</f>
        <v>0</v>
      </c>
    </row>
    <row r="679" spans="1:21" x14ac:dyDescent="0.2">
      <c r="A679" s="4" t="str">
        <f ca="1">IF(B679=" "," ",HYPERLINK(CONCATENATE("#metadata!",ADDRESS(INDEX($L$2:$L$1001,MATCH(ROWS($J$2:J679),$J$2:$J$1001,0),0),1)),INDEX($O$2:$O$1001,MATCH(ROWS($J$2:J679),$J$2:$J$1001,0),0)))</f>
        <v xml:space="preserve"> </v>
      </c>
      <c r="B679" s="3" t="str">
        <f ca="1">IF(OR(INDEX($K$2:$K$1001,MATCH(ROWS($J$2:J679),$J$2:$J$1001,0),1)&gt;=100000,INDEX($Q$1005:$U$1005,1,MATCH(COLUMNS($Q$1006:Q1006),$Q$1006:$U$1006,0))&gt;=100000), " ",IF(INDEX($Q$2:$U$1001,MATCH(ROWS($J$2:J679),$J$2:$J$1001,0),MATCH(COLUMNS($Q$1006:Q1006),$Q$1006:$U$1006,0)), HYPERLINK("#",""), HYPERLINK(CONCATENATE("#Metadata!", ADDRESS(INDEX($L$2:$L$1001,MATCH(ROWS($J$2:J679),$J$2:$J$1001,0),0), INDEX($Q$1004:$U$1004,1,MATCH(COLUMNS($Q$1006:Q1006),$Q$1006:$U$1006,0)))),"Fix")))</f>
        <v xml:space="preserve"> </v>
      </c>
      <c r="C679" s="3" t="str">
        <f ca="1">IF(OR(INDEX($K$2:$K$1001,MATCH(ROWS($J$2:J679),$J$2:$J$1001,0),1)&gt;=100000,INDEX($Q$1005:$U$1005,1,MATCH(COLUMNS($Q$1006:R1006),$Q$1006:$U$1006,0))&gt;=100000), " ",IF(INDEX($Q$2:$U$1001,MATCH(ROWS($J$2:J679),$J$2:$J$1001,0),MATCH(COLUMNS($Q$1006:R1006),$Q$1006:$U$1006,0)), HYPERLINK("#",""), HYPERLINK(CONCATENATE("#Metadata!", ADDRESS(INDEX($L$2:$L$1001,MATCH(ROWS($J$2:J679),$J$2:$J$1001,0),0), INDEX($Q$1004:$U$1004,1,MATCH(COLUMNS($Q$1006:R1006),$Q$1006:$U$1006,0)))),"Fix")))</f>
        <v xml:space="preserve"> </v>
      </c>
      <c r="D679" s="3" t="str">
        <f ca="1">IF(OR(INDEX($K$2:$K$1001,MATCH(ROWS($J$2:J679),$J$2:$J$1001,0),1)&gt;=100000,INDEX($Q$1005:$U$1005,1,MATCH(COLUMNS($Q$1006:S1006),$Q$1006:$U$1006,0))&gt;=100000), " ",IF(INDEX($Q$2:$U$1001,MATCH(ROWS($J$2:J679),$J$2:$J$1001,0),MATCH(COLUMNS($Q$1006:S1006),$Q$1006:$U$1006,0)), HYPERLINK("#",""), HYPERLINK(CONCATENATE("#Metadata!", ADDRESS(INDEX($L$2:$L$1001,MATCH(ROWS($J$2:J679),$J$2:$J$1001,0),0), INDEX($Q$1004:$U$1004,1,MATCH(COLUMNS($Q$1006:S1006),$Q$1006:$U$1006,0)))),"Fix")))</f>
        <v xml:space="preserve"> </v>
      </c>
      <c r="E679" s="3" t="str">
        <f ca="1">IF(OR(INDEX($K$2:$K$1001,MATCH(ROWS($J$2:J679),$J$2:$J$1001,0),1)&gt;=100000,INDEX($Q$1005:$U$1005,1,MATCH(COLUMNS($Q$1006:T1006),$Q$1006:$U$1006,0))&gt;=100000), " ",IF(INDEX($Q$2:$U$1001,MATCH(ROWS($J$2:J679),$J$2:$J$1001,0),MATCH(COLUMNS($Q$1006:T1006),$Q$1006:$U$1006,0)), HYPERLINK("#",""), HYPERLINK(CONCATENATE("#Metadata!", ADDRESS(INDEX($L$2:$L$1001,MATCH(ROWS($J$2:J679),$J$2:$J$1001,0),0), INDEX($Q$1004:$U$1004,1,MATCH(COLUMNS($Q$1006:T1006),$Q$1006:$U$1006,0)))),"Fix")))</f>
        <v xml:space="preserve"> </v>
      </c>
      <c r="F679" s="3" t="str">
        <f ca="1">IF(OR(INDEX($K$2:$K$1001,MATCH(ROWS($J$2:J679),$J$2:$J$1001,0),1)&gt;=100000,INDEX($Q$1005:$U$1005,1,MATCH(COLUMNS($Q$1006:U1006),$Q$1006:$U$1006,0))&gt;=100000), " ",IF(INDEX($Q$2:$U$1001,MATCH(ROWS($J$2:J679),$J$2:$J$1001,0),MATCH(COLUMNS($Q$1006:U1006),$Q$1006:$U$1006,0)), HYPERLINK("#",""), HYPERLINK(CONCATENATE("#Metadata!", ADDRESS(INDEX($L$2:$L$1001,MATCH(ROWS($J$2:J679),$J$2:$J$1001,0),0), INDEX($Q$1004:$U$1004,1,MATCH(COLUMNS($Q$1006:U1006),$Q$1006:$U$1006,0)))),"Fix")))</f>
        <v xml:space="preserve"> </v>
      </c>
      <c r="J679">
        <f ca="1"/>
        <v>678</v>
      </c>
      <c r="K679">
        <v>100679</v>
      </c>
      <c r="L679">
        <v>679</v>
      </c>
      <c r="M679" t="b">
        <f t="shared" si="10"/>
        <v>1</v>
      </c>
      <c r="N679" t="b">
        <f>COUNTBLANK(Metadata!B679:F679)=COLUMNS(Metadata!B679:F679)</f>
        <v>1</v>
      </c>
      <c r="O679" t="str">
        <v/>
      </c>
      <c r="Q679" t="b">
        <f ca="1"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R679" t="b">
        <f>IF(Metadata!C679="",FALSE,TRUE)</f>
        <v>0</v>
      </c>
      <c r="S679" t="b">
        <f>OR(AND(IF(Metadata!D679="",FALSE,TRUE),EXACT(Metadata!D679,"missing: not collected")),AND(IF(Metadata!D679="",FALSE,TRUE),OR(EXACT(Metadata!D679,"t"),EXACT(Metadata!D679,"f"))))</f>
        <v>0</v>
      </c>
      <c r="T679" t="b">
        <f>AND(IF(Metadata!E679="",FALSE,TRUE),OR(EXACT(Metadata!E679,"a"),EXACT(Metadata!E679,"b")))</f>
        <v>0</v>
      </c>
      <c r="U679" t="b">
        <f>OR(AND(IF(Metadata!F679="",FALSE,TRUE),OR(EXACT(Metadata!F679,"missing: not collected"),EXACT(Metadata!F679,"missing: not provided"))),AND(IF(Metadata!F679="",FALSE,TRUE),OR(EXACT(Metadata!F679,"lo"),EXACT(Metadata!F679,"med"),EXACT(Metadata!F679,"hi"))))</f>
        <v>0</v>
      </c>
    </row>
    <row r="680" spans="1:21" x14ac:dyDescent="0.2">
      <c r="A680" s="4" t="str">
        <f ca="1">IF(B680=" "," ",HYPERLINK(CONCATENATE("#metadata!",ADDRESS(INDEX($L$2:$L$1001,MATCH(ROWS($J$2:J680),$J$2:$J$1001,0),0),1)),INDEX($O$2:$O$1001,MATCH(ROWS($J$2:J680),$J$2:$J$1001,0),0)))</f>
        <v xml:space="preserve"> </v>
      </c>
      <c r="B680" s="3" t="str">
        <f ca="1">IF(OR(INDEX($K$2:$K$1001,MATCH(ROWS($J$2:J680),$J$2:$J$1001,0),1)&gt;=100000,INDEX($Q$1005:$U$1005,1,MATCH(COLUMNS($Q$1006:Q1006),$Q$1006:$U$1006,0))&gt;=100000), " ",IF(INDEX($Q$2:$U$1001,MATCH(ROWS($J$2:J680),$J$2:$J$1001,0),MATCH(COLUMNS($Q$1006:Q1006),$Q$1006:$U$1006,0)), HYPERLINK("#",""), HYPERLINK(CONCATENATE("#Metadata!", ADDRESS(INDEX($L$2:$L$1001,MATCH(ROWS($J$2:J680),$J$2:$J$1001,0),0), INDEX($Q$1004:$U$1004,1,MATCH(COLUMNS($Q$1006:Q1006),$Q$1006:$U$1006,0)))),"Fix")))</f>
        <v xml:space="preserve"> </v>
      </c>
      <c r="C680" s="3" t="str">
        <f ca="1">IF(OR(INDEX($K$2:$K$1001,MATCH(ROWS($J$2:J680),$J$2:$J$1001,0),1)&gt;=100000,INDEX($Q$1005:$U$1005,1,MATCH(COLUMNS($Q$1006:R1006),$Q$1006:$U$1006,0))&gt;=100000), " ",IF(INDEX($Q$2:$U$1001,MATCH(ROWS($J$2:J680),$J$2:$J$1001,0),MATCH(COLUMNS($Q$1006:R1006),$Q$1006:$U$1006,0)), HYPERLINK("#",""), HYPERLINK(CONCATENATE("#Metadata!", ADDRESS(INDEX($L$2:$L$1001,MATCH(ROWS($J$2:J680),$J$2:$J$1001,0),0), INDEX($Q$1004:$U$1004,1,MATCH(COLUMNS($Q$1006:R1006),$Q$1006:$U$1006,0)))),"Fix")))</f>
        <v xml:space="preserve"> </v>
      </c>
      <c r="D680" s="3" t="str">
        <f ca="1">IF(OR(INDEX($K$2:$K$1001,MATCH(ROWS($J$2:J680),$J$2:$J$1001,0),1)&gt;=100000,INDEX($Q$1005:$U$1005,1,MATCH(COLUMNS($Q$1006:S1006),$Q$1006:$U$1006,0))&gt;=100000), " ",IF(INDEX($Q$2:$U$1001,MATCH(ROWS($J$2:J680),$J$2:$J$1001,0),MATCH(COLUMNS($Q$1006:S1006),$Q$1006:$U$1006,0)), HYPERLINK("#",""), HYPERLINK(CONCATENATE("#Metadata!", ADDRESS(INDEX($L$2:$L$1001,MATCH(ROWS($J$2:J680),$J$2:$J$1001,0),0), INDEX($Q$1004:$U$1004,1,MATCH(COLUMNS($Q$1006:S1006),$Q$1006:$U$1006,0)))),"Fix")))</f>
        <v xml:space="preserve"> </v>
      </c>
      <c r="E680" s="3" t="str">
        <f ca="1">IF(OR(INDEX($K$2:$K$1001,MATCH(ROWS($J$2:J680),$J$2:$J$1001,0),1)&gt;=100000,INDEX($Q$1005:$U$1005,1,MATCH(COLUMNS($Q$1006:T1006),$Q$1006:$U$1006,0))&gt;=100000), " ",IF(INDEX($Q$2:$U$1001,MATCH(ROWS($J$2:J680),$J$2:$J$1001,0),MATCH(COLUMNS($Q$1006:T1006),$Q$1006:$U$1006,0)), HYPERLINK("#",""), HYPERLINK(CONCATENATE("#Metadata!", ADDRESS(INDEX($L$2:$L$1001,MATCH(ROWS($J$2:J680),$J$2:$J$1001,0),0), INDEX($Q$1004:$U$1004,1,MATCH(COLUMNS($Q$1006:T1006),$Q$1006:$U$1006,0)))),"Fix")))</f>
        <v xml:space="preserve"> </v>
      </c>
      <c r="F680" s="3" t="str">
        <f ca="1">IF(OR(INDEX($K$2:$K$1001,MATCH(ROWS($J$2:J680),$J$2:$J$1001,0),1)&gt;=100000,INDEX($Q$1005:$U$1005,1,MATCH(COLUMNS($Q$1006:U1006),$Q$1006:$U$1006,0))&gt;=100000), " ",IF(INDEX($Q$2:$U$1001,MATCH(ROWS($J$2:J680),$J$2:$J$1001,0),MATCH(COLUMNS($Q$1006:U1006),$Q$1006:$U$1006,0)), HYPERLINK("#",""), HYPERLINK(CONCATENATE("#Metadata!", ADDRESS(INDEX($L$2:$L$1001,MATCH(ROWS($J$2:J680),$J$2:$J$1001,0),0), INDEX($Q$1004:$U$1004,1,MATCH(COLUMNS($Q$1006:U1006),$Q$1006:$U$1006,0)))),"Fix")))</f>
        <v xml:space="preserve"> </v>
      </c>
      <c r="J680">
        <f ca="1"/>
        <v>679</v>
      </c>
      <c r="K680">
        <v>100680</v>
      </c>
      <c r="L680">
        <v>680</v>
      </c>
      <c r="M680" t="b">
        <f t="shared" si="10"/>
        <v>1</v>
      </c>
      <c r="N680" t="b">
        <f>COUNTBLANK(Metadata!B680:F680)=COLUMNS(Metadata!B680:F680)</f>
        <v>1</v>
      </c>
      <c r="O680" t="str">
        <v/>
      </c>
      <c r="Q680" t="b">
        <f ca="1"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R680" t="b">
        <f>IF(Metadata!C680="",FALSE,TRUE)</f>
        <v>0</v>
      </c>
      <c r="S680" t="b">
        <f>OR(AND(IF(Metadata!D680="",FALSE,TRUE),EXACT(Metadata!D680,"missing: not collected")),AND(IF(Metadata!D680="",FALSE,TRUE),OR(EXACT(Metadata!D680,"t"),EXACT(Metadata!D680,"f"))))</f>
        <v>0</v>
      </c>
      <c r="T680" t="b">
        <f>AND(IF(Metadata!E680="",FALSE,TRUE),OR(EXACT(Metadata!E680,"a"),EXACT(Metadata!E680,"b")))</f>
        <v>0</v>
      </c>
      <c r="U680" t="b">
        <f>OR(AND(IF(Metadata!F680="",FALSE,TRUE),OR(EXACT(Metadata!F680,"missing: not collected"),EXACT(Metadata!F680,"missing: not provided"))),AND(IF(Metadata!F680="",FALSE,TRUE),OR(EXACT(Metadata!F680,"lo"),EXACT(Metadata!F680,"med"),EXACT(Metadata!F680,"hi"))))</f>
        <v>0</v>
      </c>
    </row>
    <row r="681" spans="1:21" x14ac:dyDescent="0.2">
      <c r="A681" s="4" t="str">
        <f ca="1">IF(B681=" "," ",HYPERLINK(CONCATENATE("#metadata!",ADDRESS(INDEX($L$2:$L$1001,MATCH(ROWS($J$2:J681),$J$2:$J$1001,0),0),1)),INDEX($O$2:$O$1001,MATCH(ROWS($J$2:J681),$J$2:$J$1001,0),0)))</f>
        <v xml:space="preserve"> </v>
      </c>
      <c r="B681" s="3" t="str">
        <f ca="1">IF(OR(INDEX($K$2:$K$1001,MATCH(ROWS($J$2:J681),$J$2:$J$1001,0),1)&gt;=100000,INDEX($Q$1005:$U$1005,1,MATCH(COLUMNS($Q$1006:Q1006),$Q$1006:$U$1006,0))&gt;=100000), " ",IF(INDEX($Q$2:$U$1001,MATCH(ROWS($J$2:J681),$J$2:$J$1001,0),MATCH(COLUMNS($Q$1006:Q1006),$Q$1006:$U$1006,0)), HYPERLINK("#",""), HYPERLINK(CONCATENATE("#Metadata!", ADDRESS(INDEX($L$2:$L$1001,MATCH(ROWS($J$2:J681),$J$2:$J$1001,0),0), INDEX($Q$1004:$U$1004,1,MATCH(COLUMNS($Q$1006:Q1006),$Q$1006:$U$1006,0)))),"Fix")))</f>
        <v xml:space="preserve"> </v>
      </c>
      <c r="C681" s="3" t="str">
        <f ca="1">IF(OR(INDEX($K$2:$K$1001,MATCH(ROWS($J$2:J681),$J$2:$J$1001,0),1)&gt;=100000,INDEX($Q$1005:$U$1005,1,MATCH(COLUMNS($Q$1006:R1006),$Q$1006:$U$1006,0))&gt;=100000), " ",IF(INDEX($Q$2:$U$1001,MATCH(ROWS($J$2:J681),$J$2:$J$1001,0),MATCH(COLUMNS($Q$1006:R1006),$Q$1006:$U$1006,0)), HYPERLINK("#",""), HYPERLINK(CONCATENATE("#Metadata!", ADDRESS(INDEX($L$2:$L$1001,MATCH(ROWS($J$2:J681),$J$2:$J$1001,0),0), INDEX($Q$1004:$U$1004,1,MATCH(COLUMNS($Q$1006:R1006),$Q$1006:$U$1006,0)))),"Fix")))</f>
        <v xml:space="preserve"> </v>
      </c>
      <c r="D681" s="3" t="str">
        <f ca="1">IF(OR(INDEX($K$2:$K$1001,MATCH(ROWS($J$2:J681),$J$2:$J$1001,0),1)&gt;=100000,INDEX($Q$1005:$U$1005,1,MATCH(COLUMNS($Q$1006:S1006),$Q$1006:$U$1006,0))&gt;=100000), " ",IF(INDEX($Q$2:$U$1001,MATCH(ROWS($J$2:J681),$J$2:$J$1001,0),MATCH(COLUMNS($Q$1006:S1006),$Q$1006:$U$1006,0)), HYPERLINK("#",""), HYPERLINK(CONCATENATE("#Metadata!", ADDRESS(INDEX($L$2:$L$1001,MATCH(ROWS($J$2:J681),$J$2:$J$1001,0),0), INDEX($Q$1004:$U$1004,1,MATCH(COLUMNS($Q$1006:S1006),$Q$1006:$U$1006,0)))),"Fix")))</f>
        <v xml:space="preserve"> </v>
      </c>
      <c r="E681" s="3" t="str">
        <f ca="1">IF(OR(INDEX($K$2:$K$1001,MATCH(ROWS($J$2:J681),$J$2:$J$1001,0),1)&gt;=100000,INDEX($Q$1005:$U$1005,1,MATCH(COLUMNS($Q$1006:T1006),$Q$1006:$U$1006,0))&gt;=100000), " ",IF(INDEX($Q$2:$U$1001,MATCH(ROWS($J$2:J681),$J$2:$J$1001,0),MATCH(COLUMNS($Q$1006:T1006),$Q$1006:$U$1006,0)), HYPERLINK("#",""), HYPERLINK(CONCATENATE("#Metadata!", ADDRESS(INDEX($L$2:$L$1001,MATCH(ROWS($J$2:J681),$J$2:$J$1001,0),0), INDEX($Q$1004:$U$1004,1,MATCH(COLUMNS($Q$1006:T1006),$Q$1006:$U$1006,0)))),"Fix")))</f>
        <v xml:space="preserve"> </v>
      </c>
      <c r="F681" s="3" t="str">
        <f ca="1">IF(OR(INDEX($K$2:$K$1001,MATCH(ROWS($J$2:J681),$J$2:$J$1001,0),1)&gt;=100000,INDEX($Q$1005:$U$1005,1,MATCH(COLUMNS($Q$1006:U1006),$Q$1006:$U$1006,0))&gt;=100000), " ",IF(INDEX($Q$2:$U$1001,MATCH(ROWS($J$2:J681),$J$2:$J$1001,0),MATCH(COLUMNS($Q$1006:U1006),$Q$1006:$U$1006,0)), HYPERLINK("#",""), HYPERLINK(CONCATENATE("#Metadata!", ADDRESS(INDEX($L$2:$L$1001,MATCH(ROWS($J$2:J681),$J$2:$J$1001,0),0), INDEX($Q$1004:$U$1004,1,MATCH(COLUMNS($Q$1006:U1006),$Q$1006:$U$1006,0)))),"Fix")))</f>
        <v xml:space="preserve"> </v>
      </c>
      <c r="J681">
        <f ca="1"/>
        <v>680</v>
      </c>
      <c r="K681">
        <v>100681</v>
      </c>
      <c r="L681">
        <v>681</v>
      </c>
      <c r="M681" t="b">
        <f t="shared" si="10"/>
        <v>1</v>
      </c>
      <c r="N681" t="b">
        <f>COUNTBLANK(Metadata!B681:F681)=COLUMNS(Metadata!B681:F681)</f>
        <v>1</v>
      </c>
      <c r="O681" t="str">
        <v/>
      </c>
      <c r="Q681" t="b">
        <f ca="1"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R681" t="b">
        <f>IF(Metadata!C681="",FALSE,TRUE)</f>
        <v>0</v>
      </c>
      <c r="S681" t="b">
        <f>OR(AND(IF(Metadata!D681="",FALSE,TRUE),EXACT(Metadata!D681,"missing: not collected")),AND(IF(Metadata!D681="",FALSE,TRUE),OR(EXACT(Metadata!D681,"t"),EXACT(Metadata!D681,"f"))))</f>
        <v>0</v>
      </c>
      <c r="T681" t="b">
        <f>AND(IF(Metadata!E681="",FALSE,TRUE),OR(EXACT(Metadata!E681,"a"),EXACT(Metadata!E681,"b")))</f>
        <v>0</v>
      </c>
      <c r="U681" t="b">
        <f>OR(AND(IF(Metadata!F681="",FALSE,TRUE),OR(EXACT(Metadata!F681,"missing: not collected"),EXACT(Metadata!F681,"missing: not provided"))),AND(IF(Metadata!F681="",FALSE,TRUE),OR(EXACT(Metadata!F681,"lo"),EXACT(Metadata!F681,"med"),EXACT(Metadata!F681,"hi"))))</f>
        <v>0</v>
      </c>
    </row>
    <row r="682" spans="1:21" x14ac:dyDescent="0.2">
      <c r="A682" s="4" t="str">
        <f ca="1">IF(B682=" "," ",HYPERLINK(CONCATENATE("#metadata!",ADDRESS(INDEX($L$2:$L$1001,MATCH(ROWS($J$2:J682),$J$2:$J$1001,0),0),1)),INDEX($O$2:$O$1001,MATCH(ROWS($J$2:J682),$J$2:$J$1001,0),0)))</f>
        <v xml:space="preserve"> </v>
      </c>
      <c r="B682" s="3" t="str">
        <f ca="1">IF(OR(INDEX($K$2:$K$1001,MATCH(ROWS($J$2:J682),$J$2:$J$1001,0),1)&gt;=100000,INDEX($Q$1005:$U$1005,1,MATCH(COLUMNS($Q$1006:Q1006),$Q$1006:$U$1006,0))&gt;=100000), " ",IF(INDEX($Q$2:$U$1001,MATCH(ROWS($J$2:J682),$J$2:$J$1001,0),MATCH(COLUMNS($Q$1006:Q1006),$Q$1006:$U$1006,0)), HYPERLINK("#",""), HYPERLINK(CONCATENATE("#Metadata!", ADDRESS(INDEX($L$2:$L$1001,MATCH(ROWS($J$2:J682),$J$2:$J$1001,0),0), INDEX($Q$1004:$U$1004,1,MATCH(COLUMNS($Q$1006:Q1006),$Q$1006:$U$1006,0)))),"Fix")))</f>
        <v xml:space="preserve"> </v>
      </c>
      <c r="C682" s="3" t="str">
        <f ca="1">IF(OR(INDEX($K$2:$K$1001,MATCH(ROWS($J$2:J682),$J$2:$J$1001,0),1)&gt;=100000,INDEX($Q$1005:$U$1005,1,MATCH(COLUMNS($Q$1006:R1006),$Q$1006:$U$1006,0))&gt;=100000), " ",IF(INDEX($Q$2:$U$1001,MATCH(ROWS($J$2:J682),$J$2:$J$1001,0),MATCH(COLUMNS($Q$1006:R1006),$Q$1006:$U$1006,0)), HYPERLINK("#",""), HYPERLINK(CONCATENATE("#Metadata!", ADDRESS(INDEX($L$2:$L$1001,MATCH(ROWS($J$2:J682),$J$2:$J$1001,0),0), INDEX($Q$1004:$U$1004,1,MATCH(COLUMNS($Q$1006:R1006),$Q$1006:$U$1006,0)))),"Fix")))</f>
        <v xml:space="preserve"> </v>
      </c>
      <c r="D682" s="3" t="str">
        <f ca="1">IF(OR(INDEX($K$2:$K$1001,MATCH(ROWS($J$2:J682),$J$2:$J$1001,0),1)&gt;=100000,INDEX($Q$1005:$U$1005,1,MATCH(COLUMNS($Q$1006:S1006),$Q$1006:$U$1006,0))&gt;=100000), " ",IF(INDEX($Q$2:$U$1001,MATCH(ROWS($J$2:J682),$J$2:$J$1001,0),MATCH(COLUMNS($Q$1006:S1006),$Q$1006:$U$1006,0)), HYPERLINK("#",""), HYPERLINK(CONCATENATE("#Metadata!", ADDRESS(INDEX($L$2:$L$1001,MATCH(ROWS($J$2:J682),$J$2:$J$1001,0),0), INDEX($Q$1004:$U$1004,1,MATCH(COLUMNS($Q$1006:S1006),$Q$1006:$U$1006,0)))),"Fix")))</f>
        <v xml:space="preserve"> </v>
      </c>
      <c r="E682" s="3" t="str">
        <f ca="1">IF(OR(INDEX($K$2:$K$1001,MATCH(ROWS($J$2:J682),$J$2:$J$1001,0),1)&gt;=100000,INDEX($Q$1005:$U$1005,1,MATCH(COLUMNS($Q$1006:T1006),$Q$1006:$U$1006,0))&gt;=100000), " ",IF(INDEX($Q$2:$U$1001,MATCH(ROWS($J$2:J682),$J$2:$J$1001,0),MATCH(COLUMNS($Q$1006:T1006),$Q$1006:$U$1006,0)), HYPERLINK("#",""), HYPERLINK(CONCATENATE("#Metadata!", ADDRESS(INDEX($L$2:$L$1001,MATCH(ROWS($J$2:J682),$J$2:$J$1001,0),0), INDEX($Q$1004:$U$1004,1,MATCH(COLUMNS($Q$1006:T1006),$Q$1006:$U$1006,0)))),"Fix")))</f>
        <v xml:space="preserve"> </v>
      </c>
      <c r="F682" s="3" t="str">
        <f ca="1">IF(OR(INDEX($K$2:$K$1001,MATCH(ROWS($J$2:J682),$J$2:$J$1001,0),1)&gt;=100000,INDEX($Q$1005:$U$1005,1,MATCH(COLUMNS($Q$1006:U1006),$Q$1006:$U$1006,0))&gt;=100000), " ",IF(INDEX($Q$2:$U$1001,MATCH(ROWS($J$2:J682),$J$2:$J$1001,0),MATCH(COLUMNS($Q$1006:U1006),$Q$1006:$U$1006,0)), HYPERLINK("#",""), HYPERLINK(CONCATENATE("#Metadata!", ADDRESS(INDEX($L$2:$L$1001,MATCH(ROWS($J$2:J682),$J$2:$J$1001,0),0), INDEX($Q$1004:$U$1004,1,MATCH(COLUMNS($Q$1006:U1006),$Q$1006:$U$1006,0)))),"Fix")))</f>
        <v xml:space="preserve"> </v>
      </c>
      <c r="J682">
        <f ca="1"/>
        <v>681</v>
      </c>
      <c r="K682">
        <v>100682</v>
      </c>
      <c r="L682">
        <v>682</v>
      </c>
      <c r="M682" t="b">
        <f t="shared" si="10"/>
        <v>1</v>
      </c>
      <c r="N682" t="b">
        <f>COUNTBLANK(Metadata!B682:F682)=COLUMNS(Metadata!B682:F682)</f>
        <v>1</v>
      </c>
      <c r="O682" t="str">
        <v/>
      </c>
      <c r="Q682" t="b">
        <f ca="1"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R682" t="b">
        <f>IF(Metadata!C682="",FALSE,TRUE)</f>
        <v>0</v>
      </c>
      <c r="S682" t="b">
        <f>OR(AND(IF(Metadata!D682="",FALSE,TRUE),EXACT(Metadata!D682,"missing: not collected")),AND(IF(Metadata!D682="",FALSE,TRUE),OR(EXACT(Metadata!D682,"t"),EXACT(Metadata!D682,"f"))))</f>
        <v>0</v>
      </c>
      <c r="T682" t="b">
        <f>AND(IF(Metadata!E682="",FALSE,TRUE),OR(EXACT(Metadata!E682,"a"),EXACT(Metadata!E682,"b")))</f>
        <v>0</v>
      </c>
      <c r="U682" t="b">
        <f>OR(AND(IF(Metadata!F682="",FALSE,TRUE),OR(EXACT(Metadata!F682,"missing: not collected"),EXACT(Metadata!F682,"missing: not provided"))),AND(IF(Metadata!F682="",FALSE,TRUE),OR(EXACT(Metadata!F682,"lo"),EXACT(Metadata!F682,"med"),EXACT(Metadata!F682,"hi"))))</f>
        <v>0</v>
      </c>
    </row>
    <row r="683" spans="1:21" x14ac:dyDescent="0.2">
      <c r="A683" s="4" t="str">
        <f ca="1">IF(B683=" "," ",HYPERLINK(CONCATENATE("#metadata!",ADDRESS(INDEX($L$2:$L$1001,MATCH(ROWS($J$2:J683),$J$2:$J$1001,0),0),1)),INDEX($O$2:$O$1001,MATCH(ROWS($J$2:J683),$J$2:$J$1001,0),0)))</f>
        <v xml:space="preserve"> </v>
      </c>
      <c r="B683" s="3" t="str">
        <f ca="1">IF(OR(INDEX($K$2:$K$1001,MATCH(ROWS($J$2:J683),$J$2:$J$1001,0),1)&gt;=100000,INDEX($Q$1005:$U$1005,1,MATCH(COLUMNS($Q$1006:Q1006),$Q$1006:$U$1006,0))&gt;=100000), " ",IF(INDEX($Q$2:$U$1001,MATCH(ROWS($J$2:J683),$J$2:$J$1001,0),MATCH(COLUMNS($Q$1006:Q1006),$Q$1006:$U$1006,0)), HYPERLINK("#",""), HYPERLINK(CONCATENATE("#Metadata!", ADDRESS(INDEX($L$2:$L$1001,MATCH(ROWS($J$2:J683),$J$2:$J$1001,0),0), INDEX($Q$1004:$U$1004,1,MATCH(COLUMNS($Q$1006:Q1006),$Q$1006:$U$1006,0)))),"Fix")))</f>
        <v xml:space="preserve"> </v>
      </c>
      <c r="C683" s="3" t="str">
        <f ca="1">IF(OR(INDEX($K$2:$K$1001,MATCH(ROWS($J$2:J683),$J$2:$J$1001,0),1)&gt;=100000,INDEX($Q$1005:$U$1005,1,MATCH(COLUMNS($Q$1006:R1006),$Q$1006:$U$1006,0))&gt;=100000), " ",IF(INDEX($Q$2:$U$1001,MATCH(ROWS($J$2:J683),$J$2:$J$1001,0),MATCH(COLUMNS($Q$1006:R1006),$Q$1006:$U$1006,0)), HYPERLINK("#",""), HYPERLINK(CONCATENATE("#Metadata!", ADDRESS(INDEX($L$2:$L$1001,MATCH(ROWS($J$2:J683),$J$2:$J$1001,0),0), INDEX($Q$1004:$U$1004,1,MATCH(COLUMNS($Q$1006:R1006),$Q$1006:$U$1006,0)))),"Fix")))</f>
        <v xml:space="preserve"> </v>
      </c>
      <c r="D683" s="3" t="str">
        <f ca="1">IF(OR(INDEX($K$2:$K$1001,MATCH(ROWS($J$2:J683),$J$2:$J$1001,0),1)&gt;=100000,INDEX($Q$1005:$U$1005,1,MATCH(COLUMNS($Q$1006:S1006),$Q$1006:$U$1006,0))&gt;=100000), " ",IF(INDEX($Q$2:$U$1001,MATCH(ROWS($J$2:J683),$J$2:$J$1001,0),MATCH(COLUMNS($Q$1006:S1006),$Q$1006:$U$1006,0)), HYPERLINK("#",""), HYPERLINK(CONCATENATE("#Metadata!", ADDRESS(INDEX($L$2:$L$1001,MATCH(ROWS($J$2:J683),$J$2:$J$1001,0),0), INDEX($Q$1004:$U$1004,1,MATCH(COLUMNS($Q$1006:S1006),$Q$1006:$U$1006,0)))),"Fix")))</f>
        <v xml:space="preserve"> </v>
      </c>
      <c r="E683" s="3" t="str">
        <f ca="1">IF(OR(INDEX($K$2:$K$1001,MATCH(ROWS($J$2:J683),$J$2:$J$1001,0),1)&gt;=100000,INDEX($Q$1005:$U$1005,1,MATCH(COLUMNS($Q$1006:T1006),$Q$1006:$U$1006,0))&gt;=100000), " ",IF(INDEX($Q$2:$U$1001,MATCH(ROWS($J$2:J683),$J$2:$J$1001,0),MATCH(COLUMNS($Q$1006:T1006),$Q$1006:$U$1006,0)), HYPERLINK("#",""), HYPERLINK(CONCATENATE("#Metadata!", ADDRESS(INDEX($L$2:$L$1001,MATCH(ROWS($J$2:J683),$J$2:$J$1001,0),0), INDEX($Q$1004:$U$1004,1,MATCH(COLUMNS($Q$1006:T1006),$Q$1006:$U$1006,0)))),"Fix")))</f>
        <v xml:space="preserve"> </v>
      </c>
      <c r="F683" s="3" t="str">
        <f ca="1">IF(OR(INDEX($K$2:$K$1001,MATCH(ROWS($J$2:J683),$J$2:$J$1001,0),1)&gt;=100000,INDEX($Q$1005:$U$1005,1,MATCH(COLUMNS($Q$1006:U1006),$Q$1006:$U$1006,0))&gt;=100000), " ",IF(INDEX($Q$2:$U$1001,MATCH(ROWS($J$2:J683),$J$2:$J$1001,0),MATCH(COLUMNS($Q$1006:U1006),$Q$1006:$U$1006,0)), HYPERLINK("#",""), HYPERLINK(CONCATENATE("#Metadata!", ADDRESS(INDEX($L$2:$L$1001,MATCH(ROWS($J$2:J683),$J$2:$J$1001,0),0), INDEX($Q$1004:$U$1004,1,MATCH(COLUMNS($Q$1006:U1006),$Q$1006:$U$1006,0)))),"Fix")))</f>
        <v xml:space="preserve"> </v>
      </c>
      <c r="J683">
        <f ca="1"/>
        <v>682</v>
      </c>
      <c r="K683">
        <v>100683</v>
      </c>
      <c r="L683">
        <v>683</v>
      </c>
      <c r="M683" t="b">
        <f t="shared" si="10"/>
        <v>1</v>
      </c>
      <c r="N683" t="b">
        <f>COUNTBLANK(Metadata!B683:F683)=COLUMNS(Metadata!B683:F683)</f>
        <v>1</v>
      </c>
      <c r="O683" t="str">
        <v/>
      </c>
      <c r="Q683" t="b">
        <f ca="1"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R683" t="b">
        <f>IF(Metadata!C683="",FALSE,TRUE)</f>
        <v>0</v>
      </c>
      <c r="S683" t="b">
        <f>OR(AND(IF(Metadata!D683="",FALSE,TRUE),EXACT(Metadata!D683,"missing: not collected")),AND(IF(Metadata!D683="",FALSE,TRUE),OR(EXACT(Metadata!D683,"t"),EXACT(Metadata!D683,"f"))))</f>
        <v>0</v>
      </c>
      <c r="T683" t="b">
        <f>AND(IF(Metadata!E683="",FALSE,TRUE),OR(EXACT(Metadata!E683,"a"),EXACT(Metadata!E683,"b")))</f>
        <v>0</v>
      </c>
      <c r="U683" t="b">
        <f>OR(AND(IF(Metadata!F683="",FALSE,TRUE),OR(EXACT(Metadata!F683,"missing: not collected"),EXACT(Metadata!F683,"missing: not provided"))),AND(IF(Metadata!F683="",FALSE,TRUE),OR(EXACT(Metadata!F683,"lo"),EXACT(Metadata!F683,"med"),EXACT(Metadata!F683,"hi"))))</f>
        <v>0</v>
      </c>
    </row>
    <row r="684" spans="1:21" x14ac:dyDescent="0.2">
      <c r="A684" s="4" t="str">
        <f ca="1">IF(B684=" "," ",HYPERLINK(CONCATENATE("#metadata!",ADDRESS(INDEX($L$2:$L$1001,MATCH(ROWS($J$2:J684),$J$2:$J$1001,0),0),1)),INDEX($O$2:$O$1001,MATCH(ROWS($J$2:J684),$J$2:$J$1001,0),0)))</f>
        <v xml:space="preserve"> </v>
      </c>
      <c r="B684" s="3" t="str">
        <f ca="1">IF(OR(INDEX($K$2:$K$1001,MATCH(ROWS($J$2:J684),$J$2:$J$1001,0),1)&gt;=100000,INDEX($Q$1005:$U$1005,1,MATCH(COLUMNS($Q$1006:Q1006),$Q$1006:$U$1006,0))&gt;=100000), " ",IF(INDEX($Q$2:$U$1001,MATCH(ROWS($J$2:J684),$J$2:$J$1001,0),MATCH(COLUMNS($Q$1006:Q1006),$Q$1006:$U$1006,0)), HYPERLINK("#",""), HYPERLINK(CONCATENATE("#Metadata!", ADDRESS(INDEX($L$2:$L$1001,MATCH(ROWS($J$2:J684),$J$2:$J$1001,0),0), INDEX($Q$1004:$U$1004,1,MATCH(COLUMNS($Q$1006:Q1006),$Q$1006:$U$1006,0)))),"Fix")))</f>
        <v xml:space="preserve"> </v>
      </c>
      <c r="C684" s="3" t="str">
        <f ca="1">IF(OR(INDEX($K$2:$K$1001,MATCH(ROWS($J$2:J684),$J$2:$J$1001,0),1)&gt;=100000,INDEX($Q$1005:$U$1005,1,MATCH(COLUMNS($Q$1006:R1006),$Q$1006:$U$1006,0))&gt;=100000), " ",IF(INDEX($Q$2:$U$1001,MATCH(ROWS($J$2:J684),$J$2:$J$1001,0),MATCH(COLUMNS($Q$1006:R1006),$Q$1006:$U$1006,0)), HYPERLINK("#",""), HYPERLINK(CONCATENATE("#Metadata!", ADDRESS(INDEX($L$2:$L$1001,MATCH(ROWS($J$2:J684),$J$2:$J$1001,0),0), INDEX($Q$1004:$U$1004,1,MATCH(COLUMNS($Q$1006:R1006),$Q$1006:$U$1006,0)))),"Fix")))</f>
        <v xml:space="preserve"> </v>
      </c>
      <c r="D684" s="3" t="str">
        <f ca="1">IF(OR(INDEX($K$2:$K$1001,MATCH(ROWS($J$2:J684),$J$2:$J$1001,0),1)&gt;=100000,INDEX($Q$1005:$U$1005,1,MATCH(COLUMNS($Q$1006:S1006),$Q$1006:$U$1006,0))&gt;=100000), " ",IF(INDEX($Q$2:$U$1001,MATCH(ROWS($J$2:J684),$J$2:$J$1001,0),MATCH(COLUMNS($Q$1006:S1006),$Q$1006:$U$1006,0)), HYPERLINK("#",""), HYPERLINK(CONCATENATE("#Metadata!", ADDRESS(INDEX($L$2:$L$1001,MATCH(ROWS($J$2:J684),$J$2:$J$1001,0),0), INDEX($Q$1004:$U$1004,1,MATCH(COLUMNS($Q$1006:S1006),$Q$1006:$U$1006,0)))),"Fix")))</f>
        <v xml:space="preserve"> </v>
      </c>
      <c r="E684" s="3" t="str">
        <f ca="1">IF(OR(INDEX($K$2:$K$1001,MATCH(ROWS($J$2:J684),$J$2:$J$1001,0),1)&gt;=100000,INDEX($Q$1005:$U$1005,1,MATCH(COLUMNS($Q$1006:T1006),$Q$1006:$U$1006,0))&gt;=100000), " ",IF(INDEX($Q$2:$U$1001,MATCH(ROWS($J$2:J684),$J$2:$J$1001,0),MATCH(COLUMNS($Q$1006:T1006),$Q$1006:$U$1006,0)), HYPERLINK("#",""), HYPERLINK(CONCATENATE("#Metadata!", ADDRESS(INDEX($L$2:$L$1001,MATCH(ROWS($J$2:J684),$J$2:$J$1001,0),0), INDEX($Q$1004:$U$1004,1,MATCH(COLUMNS($Q$1006:T1006),$Q$1006:$U$1006,0)))),"Fix")))</f>
        <v xml:space="preserve"> </v>
      </c>
      <c r="F684" s="3" t="str">
        <f ca="1">IF(OR(INDEX($K$2:$K$1001,MATCH(ROWS($J$2:J684),$J$2:$J$1001,0),1)&gt;=100000,INDEX($Q$1005:$U$1005,1,MATCH(COLUMNS($Q$1006:U1006),$Q$1006:$U$1006,0))&gt;=100000), " ",IF(INDEX($Q$2:$U$1001,MATCH(ROWS($J$2:J684),$J$2:$J$1001,0),MATCH(COLUMNS($Q$1006:U1006),$Q$1006:$U$1006,0)), HYPERLINK("#",""), HYPERLINK(CONCATENATE("#Metadata!", ADDRESS(INDEX($L$2:$L$1001,MATCH(ROWS($J$2:J684),$J$2:$J$1001,0),0), INDEX($Q$1004:$U$1004,1,MATCH(COLUMNS($Q$1006:U1006),$Q$1006:$U$1006,0)))),"Fix")))</f>
        <v xml:space="preserve"> </v>
      </c>
      <c r="J684">
        <f ca="1"/>
        <v>683</v>
      </c>
      <c r="K684">
        <v>100684</v>
      </c>
      <c r="L684">
        <v>684</v>
      </c>
      <c r="M684" t="b">
        <f t="shared" si="10"/>
        <v>1</v>
      </c>
      <c r="N684" t="b">
        <f>COUNTBLANK(Metadata!B684:F684)=COLUMNS(Metadata!B684:F684)</f>
        <v>1</v>
      </c>
      <c r="O684" t="str">
        <v/>
      </c>
      <c r="Q684" t="b">
        <f ca="1"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R684" t="b">
        <f>IF(Metadata!C684="",FALSE,TRUE)</f>
        <v>0</v>
      </c>
      <c r="S684" t="b">
        <f>OR(AND(IF(Metadata!D684="",FALSE,TRUE),EXACT(Metadata!D684,"missing: not collected")),AND(IF(Metadata!D684="",FALSE,TRUE),OR(EXACT(Metadata!D684,"t"),EXACT(Metadata!D684,"f"))))</f>
        <v>0</v>
      </c>
      <c r="T684" t="b">
        <f>AND(IF(Metadata!E684="",FALSE,TRUE),OR(EXACT(Metadata!E684,"a"),EXACT(Metadata!E684,"b")))</f>
        <v>0</v>
      </c>
      <c r="U684" t="b">
        <f>OR(AND(IF(Metadata!F684="",FALSE,TRUE),OR(EXACT(Metadata!F684,"missing: not collected"),EXACT(Metadata!F684,"missing: not provided"))),AND(IF(Metadata!F684="",FALSE,TRUE),OR(EXACT(Metadata!F684,"lo"),EXACT(Metadata!F684,"med"),EXACT(Metadata!F684,"hi"))))</f>
        <v>0</v>
      </c>
    </row>
    <row r="685" spans="1:21" x14ac:dyDescent="0.2">
      <c r="A685" s="4" t="str">
        <f ca="1">IF(B685=" "," ",HYPERLINK(CONCATENATE("#metadata!",ADDRESS(INDEX($L$2:$L$1001,MATCH(ROWS($J$2:J685),$J$2:$J$1001,0),0),1)),INDEX($O$2:$O$1001,MATCH(ROWS($J$2:J685),$J$2:$J$1001,0),0)))</f>
        <v xml:space="preserve"> </v>
      </c>
      <c r="B685" s="3" t="str">
        <f ca="1">IF(OR(INDEX($K$2:$K$1001,MATCH(ROWS($J$2:J685),$J$2:$J$1001,0),1)&gt;=100000,INDEX($Q$1005:$U$1005,1,MATCH(COLUMNS($Q$1006:Q1006),$Q$1006:$U$1006,0))&gt;=100000), " ",IF(INDEX($Q$2:$U$1001,MATCH(ROWS($J$2:J685),$J$2:$J$1001,0),MATCH(COLUMNS($Q$1006:Q1006),$Q$1006:$U$1006,0)), HYPERLINK("#",""), HYPERLINK(CONCATENATE("#Metadata!", ADDRESS(INDEX($L$2:$L$1001,MATCH(ROWS($J$2:J685),$J$2:$J$1001,0),0), INDEX($Q$1004:$U$1004,1,MATCH(COLUMNS($Q$1006:Q1006),$Q$1006:$U$1006,0)))),"Fix")))</f>
        <v xml:space="preserve"> </v>
      </c>
      <c r="C685" s="3" t="str">
        <f ca="1">IF(OR(INDEX($K$2:$K$1001,MATCH(ROWS($J$2:J685),$J$2:$J$1001,0),1)&gt;=100000,INDEX($Q$1005:$U$1005,1,MATCH(COLUMNS($Q$1006:R1006),$Q$1006:$U$1006,0))&gt;=100000), " ",IF(INDEX($Q$2:$U$1001,MATCH(ROWS($J$2:J685),$J$2:$J$1001,0),MATCH(COLUMNS($Q$1006:R1006),$Q$1006:$U$1006,0)), HYPERLINK("#",""), HYPERLINK(CONCATENATE("#Metadata!", ADDRESS(INDEX($L$2:$L$1001,MATCH(ROWS($J$2:J685),$J$2:$J$1001,0),0), INDEX($Q$1004:$U$1004,1,MATCH(COLUMNS($Q$1006:R1006),$Q$1006:$U$1006,0)))),"Fix")))</f>
        <v xml:space="preserve"> </v>
      </c>
      <c r="D685" s="3" t="str">
        <f ca="1">IF(OR(INDEX($K$2:$K$1001,MATCH(ROWS($J$2:J685),$J$2:$J$1001,0),1)&gt;=100000,INDEX($Q$1005:$U$1005,1,MATCH(COLUMNS($Q$1006:S1006),$Q$1006:$U$1006,0))&gt;=100000), " ",IF(INDEX($Q$2:$U$1001,MATCH(ROWS($J$2:J685),$J$2:$J$1001,0),MATCH(COLUMNS($Q$1006:S1006),$Q$1006:$U$1006,0)), HYPERLINK("#",""), HYPERLINK(CONCATENATE("#Metadata!", ADDRESS(INDEX($L$2:$L$1001,MATCH(ROWS($J$2:J685),$J$2:$J$1001,0),0), INDEX($Q$1004:$U$1004,1,MATCH(COLUMNS($Q$1006:S1006),$Q$1006:$U$1006,0)))),"Fix")))</f>
        <v xml:space="preserve"> </v>
      </c>
      <c r="E685" s="3" t="str">
        <f ca="1">IF(OR(INDEX($K$2:$K$1001,MATCH(ROWS($J$2:J685),$J$2:$J$1001,0),1)&gt;=100000,INDEX($Q$1005:$U$1005,1,MATCH(COLUMNS($Q$1006:T1006),$Q$1006:$U$1006,0))&gt;=100000), " ",IF(INDEX($Q$2:$U$1001,MATCH(ROWS($J$2:J685),$J$2:$J$1001,0),MATCH(COLUMNS($Q$1006:T1006),$Q$1006:$U$1006,0)), HYPERLINK("#",""), HYPERLINK(CONCATENATE("#Metadata!", ADDRESS(INDEX($L$2:$L$1001,MATCH(ROWS($J$2:J685),$J$2:$J$1001,0),0), INDEX($Q$1004:$U$1004,1,MATCH(COLUMNS($Q$1006:T1006),$Q$1006:$U$1006,0)))),"Fix")))</f>
        <v xml:space="preserve"> </v>
      </c>
      <c r="F685" s="3" t="str">
        <f ca="1">IF(OR(INDEX($K$2:$K$1001,MATCH(ROWS($J$2:J685),$J$2:$J$1001,0),1)&gt;=100000,INDEX($Q$1005:$U$1005,1,MATCH(COLUMNS($Q$1006:U1006),$Q$1006:$U$1006,0))&gt;=100000), " ",IF(INDEX($Q$2:$U$1001,MATCH(ROWS($J$2:J685),$J$2:$J$1001,0),MATCH(COLUMNS($Q$1006:U1006),$Q$1006:$U$1006,0)), HYPERLINK("#",""), HYPERLINK(CONCATENATE("#Metadata!", ADDRESS(INDEX($L$2:$L$1001,MATCH(ROWS($J$2:J685),$J$2:$J$1001,0),0), INDEX($Q$1004:$U$1004,1,MATCH(COLUMNS($Q$1006:U1006),$Q$1006:$U$1006,0)))),"Fix")))</f>
        <v xml:space="preserve"> </v>
      </c>
      <c r="J685">
        <f ca="1"/>
        <v>684</v>
      </c>
      <c r="K685">
        <v>100685</v>
      </c>
      <c r="L685">
        <v>685</v>
      </c>
      <c r="M685" t="b">
        <f t="shared" si="10"/>
        <v>1</v>
      </c>
      <c r="N685" t="b">
        <f>COUNTBLANK(Metadata!B685:F685)=COLUMNS(Metadata!B685:F685)</f>
        <v>1</v>
      </c>
      <c r="O685" t="str">
        <v/>
      </c>
      <c r="Q685" t="b">
        <f ca="1"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R685" t="b">
        <f>IF(Metadata!C685="",FALSE,TRUE)</f>
        <v>0</v>
      </c>
      <c r="S685" t="b">
        <f>OR(AND(IF(Metadata!D685="",FALSE,TRUE),EXACT(Metadata!D685,"missing: not collected")),AND(IF(Metadata!D685="",FALSE,TRUE),OR(EXACT(Metadata!D685,"t"),EXACT(Metadata!D685,"f"))))</f>
        <v>0</v>
      </c>
      <c r="T685" t="b">
        <f>AND(IF(Metadata!E685="",FALSE,TRUE),OR(EXACT(Metadata!E685,"a"),EXACT(Metadata!E685,"b")))</f>
        <v>0</v>
      </c>
      <c r="U685" t="b">
        <f>OR(AND(IF(Metadata!F685="",FALSE,TRUE),OR(EXACT(Metadata!F685,"missing: not collected"),EXACT(Metadata!F685,"missing: not provided"))),AND(IF(Metadata!F685="",FALSE,TRUE),OR(EXACT(Metadata!F685,"lo"),EXACT(Metadata!F685,"med"),EXACT(Metadata!F685,"hi"))))</f>
        <v>0</v>
      </c>
    </row>
    <row r="686" spans="1:21" x14ac:dyDescent="0.2">
      <c r="A686" s="4" t="str">
        <f ca="1">IF(B686=" "," ",HYPERLINK(CONCATENATE("#metadata!",ADDRESS(INDEX($L$2:$L$1001,MATCH(ROWS($J$2:J686),$J$2:$J$1001,0),0),1)),INDEX($O$2:$O$1001,MATCH(ROWS($J$2:J686),$J$2:$J$1001,0),0)))</f>
        <v xml:space="preserve"> </v>
      </c>
      <c r="B686" s="3" t="str">
        <f ca="1">IF(OR(INDEX($K$2:$K$1001,MATCH(ROWS($J$2:J686),$J$2:$J$1001,0),1)&gt;=100000,INDEX($Q$1005:$U$1005,1,MATCH(COLUMNS($Q$1006:Q1006),$Q$1006:$U$1006,0))&gt;=100000), " ",IF(INDEX($Q$2:$U$1001,MATCH(ROWS($J$2:J686),$J$2:$J$1001,0),MATCH(COLUMNS($Q$1006:Q1006),$Q$1006:$U$1006,0)), HYPERLINK("#",""), HYPERLINK(CONCATENATE("#Metadata!", ADDRESS(INDEX($L$2:$L$1001,MATCH(ROWS($J$2:J686),$J$2:$J$1001,0),0), INDEX($Q$1004:$U$1004,1,MATCH(COLUMNS($Q$1006:Q1006),$Q$1006:$U$1006,0)))),"Fix")))</f>
        <v xml:space="preserve"> </v>
      </c>
      <c r="C686" s="3" t="str">
        <f ca="1">IF(OR(INDEX($K$2:$K$1001,MATCH(ROWS($J$2:J686),$J$2:$J$1001,0),1)&gt;=100000,INDEX($Q$1005:$U$1005,1,MATCH(COLUMNS($Q$1006:R1006),$Q$1006:$U$1006,0))&gt;=100000), " ",IF(INDEX($Q$2:$U$1001,MATCH(ROWS($J$2:J686),$J$2:$J$1001,0),MATCH(COLUMNS($Q$1006:R1006),$Q$1006:$U$1006,0)), HYPERLINK("#",""), HYPERLINK(CONCATENATE("#Metadata!", ADDRESS(INDEX($L$2:$L$1001,MATCH(ROWS($J$2:J686),$J$2:$J$1001,0),0), INDEX($Q$1004:$U$1004,1,MATCH(COLUMNS($Q$1006:R1006),$Q$1006:$U$1006,0)))),"Fix")))</f>
        <v xml:space="preserve"> </v>
      </c>
      <c r="D686" s="3" t="str">
        <f ca="1">IF(OR(INDEX($K$2:$K$1001,MATCH(ROWS($J$2:J686),$J$2:$J$1001,0),1)&gt;=100000,INDEX($Q$1005:$U$1005,1,MATCH(COLUMNS($Q$1006:S1006),$Q$1006:$U$1006,0))&gt;=100000), " ",IF(INDEX($Q$2:$U$1001,MATCH(ROWS($J$2:J686),$J$2:$J$1001,0),MATCH(COLUMNS($Q$1006:S1006),$Q$1006:$U$1006,0)), HYPERLINK("#",""), HYPERLINK(CONCATENATE("#Metadata!", ADDRESS(INDEX($L$2:$L$1001,MATCH(ROWS($J$2:J686),$J$2:$J$1001,0),0), INDEX($Q$1004:$U$1004,1,MATCH(COLUMNS($Q$1006:S1006),$Q$1006:$U$1006,0)))),"Fix")))</f>
        <v xml:space="preserve"> </v>
      </c>
      <c r="E686" s="3" t="str">
        <f ca="1">IF(OR(INDEX($K$2:$K$1001,MATCH(ROWS($J$2:J686),$J$2:$J$1001,0),1)&gt;=100000,INDEX($Q$1005:$U$1005,1,MATCH(COLUMNS($Q$1006:T1006),$Q$1006:$U$1006,0))&gt;=100000), " ",IF(INDEX($Q$2:$U$1001,MATCH(ROWS($J$2:J686),$J$2:$J$1001,0),MATCH(COLUMNS($Q$1006:T1006),$Q$1006:$U$1006,0)), HYPERLINK("#",""), HYPERLINK(CONCATENATE("#Metadata!", ADDRESS(INDEX($L$2:$L$1001,MATCH(ROWS($J$2:J686),$J$2:$J$1001,0),0), INDEX($Q$1004:$U$1004,1,MATCH(COLUMNS($Q$1006:T1006),$Q$1006:$U$1006,0)))),"Fix")))</f>
        <v xml:space="preserve"> </v>
      </c>
      <c r="F686" s="3" t="str">
        <f ca="1">IF(OR(INDEX($K$2:$K$1001,MATCH(ROWS($J$2:J686),$J$2:$J$1001,0),1)&gt;=100000,INDEX($Q$1005:$U$1005,1,MATCH(COLUMNS($Q$1006:U1006),$Q$1006:$U$1006,0))&gt;=100000), " ",IF(INDEX($Q$2:$U$1001,MATCH(ROWS($J$2:J686),$J$2:$J$1001,0),MATCH(COLUMNS($Q$1006:U1006),$Q$1006:$U$1006,0)), HYPERLINK("#",""), HYPERLINK(CONCATENATE("#Metadata!", ADDRESS(INDEX($L$2:$L$1001,MATCH(ROWS($J$2:J686),$J$2:$J$1001,0),0), INDEX($Q$1004:$U$1004,1,MATCH(COLUMNS($Q$1006:U1006),$Q$1006:$U$1006,0)))),"Fix")))</f>
        <v xml:space="preserve"> </v>
      </c>
      <c r="J686">
        <f ca="1"/>
        <v>685</v>
      </c>
      <c r="K686">
        <v>100686</v>
      </c>
      <c r="L686">
        <v>686</v>
      </c>
      <c r="M686" t="b">
        <f t="shared" si="10"/>
        <v>1</v>
      </c>
      <c r="N686" t="b">
        <f>COUNTBLANK(Metadata!B686:F686)=COLUMNS(Metadata!B686:F686)</f>
        <v>1</v>
      </c>
      <c r="O686" t="str">
        <v/>
      </c>
      <c r="Q686" t="b">
        <f ca="1"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R686" t="b">
        <f>IF(Metadata!C686="",FALSE,TRUE)</f>
        <v>0</v>
      </c>
      <c r="S686" t="b">
        <f>OR(AND(IF(Metadata!D686="",FALSE,TRUE),EXACT(Metadata!D686,"missing: not collected")),AND(IF(Metadata!D686="",FALSE,TRUE),OR(EXACT(Metadata!D686,"t"),EXACT(Metadata!D686,"f"))))</f>
        <v>0</v>
      </c>
      <c r="T686" t="b">
        <f>AND(IF(Metadata!E686="",FALSE,TRUE),OR(EXACT(Metadata!E686,"a"),EXACT(Metadata!E686,"b")))</f>
        <v>0</v>
      </c>
      <c r="U686" t="b">
        <f>OR(AND(IF(Metadata!F686="",FALSE,TRUE),OR(EXACT(Metadata!F686,"missing: not collected"),EXACT(Metadata!F686,"missing: not provided"))),AND(IF(Metadata!F686="",FALSE,TRUE),OR(EXACT(Metadata!F686,"lo"),EXACT(Metadata!F686,"med"),EXACT(Metadata!F686,"hi"))))</f>
        <v>0</v>
      </c>
    </row>
    <row r="687" spans="1:21" x14ac:dyDescent="0.2">
      <c r="A687" s="4" t="str">
        <f ca="1">IF(B687=" "," ",HYPERLINK(CONCATENATE("#metadata!",ADDRESS(INDEX($L$2:$L$1001,MATCH(ROWS($J$2:J687),$J$2:$J$1001,0),0),1)),INDEX($O$2:$O$1001,MATCH(ROWS($J$2:J687),$J$2:$J$1001,0),0)))</f>
        <v xml:space="preserve"> </v>
      </c>
      <c r="B687" s="3" t="str">
        <f ca="1">IF(OR(INDEX($K$2:$K$1001,MATCH(ROWS($J$2:J687),$J$2:$J$1001,0),1)&gt;=100000,INDEX($Q$1005:$U$1005,1,MATCH(COLUMNS($Q$1006:Q1006),$Q$1006:$U$1006,0))&gt;=100000), " ",IF(INDEX($Q$2:$U$1001,MATCH(ROWS($J$2:J687),$J$2:$J$1001,0),MATCH(COLUMNS($Q$1006:Q1006),$Q$1006:$U$1006,0)), HYPERLINK("#",""), HYPERLINK(CONCATENATE("#Metadata!", ADDRESS(INDEX($L$2:$L$1001,MATCH(ROWS($J$2:J687),$J$2:$J$1001,0),0), INDEX($Q$1004:$U$1004,1,MATCH(COLUMNS($Q$1006:Q1006),$Q$1006:$U$1006,0)))),"Fix")))</f>
        <v xml:space="preserve"> </v>
      </c>
      <c r="C687" s="3" t="str">
        <f ca="1">IF(OR(INDEX($K$2:$K$1001,MATCH(ROWS($J$2:J687),$J$2:$J$1001,0),1)&gt;=100000,INDEX($Q$1005:$U$1005,1,MATCH(COLUMNS($Q$1006:R1006),$Q$1006:$U$1006,0))&gt;=100000), " ",IF(INDEX($Q$2:$U$1001,MATCH(ROWS($J$2:J687),$J$2:$J$1001,0),MATCH(COLUMNS($Q$1006:R1006),$Q$1006:$U$1006,0)), HYPERLINK("#",""), HYPERLINK(CONCATENATE("#Metadata!", ADDRESS(INDEX($L$2:$L$1001,MATCH(ROWS($J$2:J687),$J$2:$J$1001,0),0), INDEX($Q$1004:$U$1004,1,MATCH(COLUMNS($Q$1006:R1006),$Q$1006:$U$1006,0)))),"Fix")))</f>
        <v xml:space="preserve"> </v>
      </c>
      <c r="D687" s="3" t="str">
        <f ca="1">IF(OR(INDEX($K$2:$K$1001,MATCH(ROWS($J$2:J687),$J$2:$J$1001,0),1)&gt;=100000,INDEX($Q$1005:$U$1005,1,MATCH(COLUMNS($Q$1006:S1006),$Q$1006:$U$1006,0))&gt;=100000), " ",IF(INDEX($Q$2:$U$1001,MATCH(ROWS($J$2:J687),$J$2:$J$1001,0),MATCH(COLUMNS($Q$1006:S1006),$Q$1006:$U$1006,0)), HYPERLINK("#",""), HYPERLINK(CONCATENATE("#Metadata!", ADDRESS(INDEX($L$2:$L$1001,MATCH(ROWS($J$2:J687),$J$2:$J$1001,0),0), INDEX($Q$1004:$U$1004,1,MATCH(COLUMNS($Q$1006:S1006),$Q$1006:$U$1006,0)))),"Fix")))</f>
        <v xml:space="preserve"> </v>
      </c>
      <c r="E687" s="3" t="str">
        <f ca="1">IF(OR(INDEX($K$2:$K$1001,MATCH(ROWS($J$2:J687),$J$2:$J$1001,0),1)&gt;=100000,INDEX($Q$1005:$U$1005,1,MATCH(COLUMNS($Q$1006:T1006),$Q$1006:$U$1006,0))&gt;=100000), " ",IF(INDEX($Q$2:$U$1001,MATCH(ROWS($J$2:J687),$J$2:$J$1001,0),MATCH(COLUMNS($Q$1006:T1006),$Q$1006:$U$1006,0)), HYPERLINK("#",""), HYPERLINK(CONCATENATE("#Metadata!", ADDRESS(INDEX($L$2:$L$1001,MATCH(ROWS($J$2:J687),$J$2:$J$1001,0),0), INDEX($Q$1004:$U$1004,1,MATCH(COLUMNS($Q$1006:T1006),$Q$1006:$U$1006,0)))),"Fix")))</f>
        <v xml:space="preserve"> </v>
      </c>
      <c r="F687" s="3" t="str">
        <f ca="1">IF(OR(INDEX($K$2:$K$1001,MATCH(ROWS($J$2:J687),$J$2:$J$1001,0),1)&gt;=100000,INDEX($Q$1005:$U$1005,1,MATCH(COLUMNS($Q$1006:U1006),$Q$1006:$U$1006,0))&gt;=100000), " ",IF(INDEX($Q$2:$U$1001,MATCH(ROWS($J$2:J687),$J$2:$J$1001,0),MATCH(COLUMNS($Q$1006:U1006),$Q$1006:$U$1006,0)), HYPERLINK("#",""), HYPERLINK(CONCATENATE("#Metadata!", ADDRESS(INDEX($L$2:$L$1001,MATCH(ROWS($J$2:J687),$J$2:$J$1001,0),0), INDEX($Q$1004:$U$1004,1,MATCH(COLUMNS($Q$1006:U1006),$Q$1006:$U$1006,0)))),"Fix")))</f>
        <v xml:space="preserve"> </v>
      </c>
      <c r="J687">
        <f ca="1"/>
        <v>686</v>
      </c>
      <c r="K687">
        <v>100687</v>
      </c>
      <c r="L687">
        <v>687</v>
      </c>
      <c r="M687" t="b">
        <f t="shared" si="10"/>
        <v>1</v>
      </c>
      <c r="N687" t="b">
        <f>COUNTBLANK(Metadata!B687:F687)=COLUMNS(Metadata!B687:F687)</f>
        <v>1</v>
      </c>
      <c r="O687" t="str">
        <v/>
      </c>
      <c r="Q687" t="b">
        <f ca="1"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R687" t="b">
        <f>IF(Metadata!C687="",FALSE,TRUE)</f>
        <v>0</v>
      </c>
      <c r="S687" t="b">
        <f>OR(AND(IF(Metadata!D687="",FALSE,TRUE),EXACT(Metadata!D687,"missing: not collected")),AND(IF(Metadata!D687="",FALSE,TRUE),OR(EXACT(Metadata!D687,"t"),EXACT(Metadata!D687,"f"))))</f>
        <v>0</v>
      </c>
      <c r="T687" t="b">
        <f>AND(IF(Metadata!E687="",FALSE,TRUE),OR(EXACT(Metadata!E687,"a"),EXACT(Metadata!E687,"b")))</f>
        <v>0</v>
      </c>
      <c r="U687" t="b">
        <f>OR(AND(IF(Metadata!F687="",FALSE,TRUE),OR(EXACT(Metadata!F687,"missing: not collected"),EXACT(Metadata!F687,"missing: not provided"))),AND(IF(Metadata!F687="",FALSE,TRUE),OR(EXACT(Metadata!F687,"lo"),EXACT(Metadata!F687,"med"),EXACT(Metadata!F687,"hi"))))</f>
        <v>0</v>
      </c>
    </row>
    <row r="688" spans="1:21" x14ac:dyDescent="0.2">
      <c r="A688" s="4" t="str">
        <f ca="1">IF(B688=" "," ",HYPERLINK(CONCATENATE("#metadata!",ADDRESS(INDEX($L$2:$L$1001,MATCH(ROWS($J$2:J688),$J$2:$J$1001,0),0),1)),INDEX($O$2:$O$1001,MATCH(ROWS($J$2:J688),$J$2:$J$1001,0),0)))</f>
        <v xml:space="preserve"> </v>
      </c>
      <c r="B688" s="3" t="str">
        <f ca="1">IF(OR(INDEX($K$2:$K$1001,MATCH(ROWS($J$2:J688),$J$2:$J$1001,0),1)&gt;=100000,INDEX($Q$1005:$U$1005,1,MATCH(COLUMNS($Q$1006:Q1006),$Q$1006:$U$1006,0))&gt;=100000), " ",IF(INDEX($Q$2:$U$1001,MATCH(ROWS($J$2:J688),$J$2:$J$1001,0),MATCH(COLUMNS($Q$1006:Q1006),$Q$1006:$U$1006,0)), HYPERLINK("#",""), HYPERLINK(CONCATENATE("#Metadata!", ADDRESS(INDEX($L$2:$L$1001,MATCH(ROWS($J$2:J688),$J$2:$J$1001,0),0), INDEX($Q$1004:$U$1004,1,MATCH(COLUMNS($Q$1006:Q1006),$Q$1006:$U$1006,0)))),"Fix")))</f>
        <v xml:space="preserve"> </v>
      </c>
      <c r="C688" s="3" t="str">
        <f ca="1">IF(OR(INDEX($K$2:$K$1001,MATCH(ROWS($J$2:J688),$J$2:$J$1001,0),1)&gt;=100000,INDEX($Q$1005:$U$1005,1,MATCH(COLUMNS($Q$1006:R1006),$Q$1006:$U$1006,0))&gt;=100000), " ",IF(INDEX($Q$2:$U$1001,MATCH(ROWS($J$2:J688),$J$2:$J$1001,0),MATCH(COLUMNS($Q$1006:R1006),$Q$1006:$U$1006,0)), HYPERLINK("#",""), HYPERLINK(CONCATENATE("#Metadata!", ADDRESS(INDEX($L$2:$L$1001,MATCH(ROWS($J$2:J688),$J$2:$J$1001,0),0), INDEX($Q$1004:$U$1004,1,MATCH(COLUMNS($Q$1006:R1006),$Q$1006:$U$1006,0)))),"Fix")))</f>
        <v xml:space="preserve"> </v>
      </c>
      <c r="D688" s="3" t="str">
        <f ca="1">IF(OR(INDEX($K$2:$K$1001,MATCH(ROWS($J$2:J688),$J$2:$J$1001,0),1)&gt;=100000,INDEX($Q$1005:$U$1005,1,MATCH(COLUMNS($Q$1006:S1006),$Q$1006:$U$1006,0))&gt;=100000), " ",IF(INDEX($Q$2:$U$1001,MATCH(ROWS($J$2:J688),$J$2:$J$1001,0),MATCH(COLUMNS($Q$1006:S1006),$Q$1006:$U$1006,0)), HYPERLINK("#",""), HYPERLINK(CONCATENATE("#Metadata!", ADDRESS(INDEX($L$2:$L$1001,MATCH(ROWS($J$2:J688),$J$2:$J$1001,0),0), INDEX($Q$1004:$U$1004,1,MATCH(COLUMNS($Q$1006:S1006),$Q$1006:$U$1006,0)))),"Fix")))</f>
        <v xml:space="preserve"> </v>
      </c>
      <c r="E688" s="3" t="str">
        <f ca="1">IF(OR(INDEX($K$2:$K$1001,MATCH(ROWS($J$2:J688),$J$2:$J$1001,0),1)&gt;=100000,INDEX($Q$1005:$U$1005,1,MATCH(COLUMNS($Q$1006:T1006),$Q$1006:$U$1006,0))&gt;=100000), " ",IF(INDEX($Q$2:$U$1001,MATCH(ROWS($J$2:J688),$J$2:$J$1001,0),MATCH(COLUMNS($Q$1006:T1006),$Q$1006:$U$1006,0)), HYPERLINK("#",""), HYPERLINK(CONCATENATE("#Metadata!", ADDRESS(INDEX($L$2:$L$1001,MATCH(ROWS($J$2:J688),$J$2:$J$1001,0),0), INDEX($Q$1004:$U$1004,1,MATCH(COLUMNS($Q$1006:T1006),$Q$1006:$U$1006,0)))),"Fix")))</f>
        <v xml:space="preserve"> </v>
      </c>
      <c r="F688" s="3" t="str">
        <f ca="1">IF(OR(INDEX($K$2:$K$1001,MATCH(ROWS($J$2:J688),$J$2:$J$1001,0),1)&gt;=100000,INDEX($Q$1005:$U$1005,1,MATCH(COLUMNS($Q$1006:U1006),$Q$1006:$U$1006,0))&gt;=100000), " ",IF(INDEX($Q$2:$U$1001,MATCH(ROWS($J$2:J688),$J$2:$J$1001,0),MATCH(COLUMNS($Q$1006:U1006),$Q$1006:$U$1006,0)), HYPERLINK("#",""), HYPERLINK(CONCATENATE("#Metadata!", ADDRESS(INDEX($L$2:$L$1001,MATCH(ROWS($J$2:J688),$J$2:$J$1001,0),0), INDEX($Q$1004:$U$1004,1,MATCH(COLUMNS($Q$1006:U1006),$Q$1006:$U$1006,0)))),"Fix")))</f>
        <v xml:space="preserve"> </v>
      </c>
      <c r="J688">
        <f ca="1"/>
        <v>687</v>
      </c>
      <c r="K688">
        <v>100688</v>
      </c>
      <c r="L688">
        <v>688</v>
      </c>
      <c r="M688" t="b">
        <f t="shared" si="10"/>
        <v>1</v>
      </c>
      <c r="N688" t="b">
        <f>COUNTBLANK(Metadata!B688:F688)=COLUMNS(Metadata!B688:F688)</f>
        <v>1</v>
      </c>
      <c r="O688" t="str">
        <v/>
      </c>
      <c r="Q688" t="b">
        <f ca="1"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R688" t="b">
        <f>IF(Metadata!C688="",FALSE,TRUE)</f>
        <v>0</v>
      </c>
      <c r="S688" t="b">
        <f>OR(AND(IF(Metadata!D688="",FALSE,TRUE),EXACT(Metadata!D688,"missing: not collected")),AND(IF(Metadata!D688="",FALSE,TRUE),OR(EXACT(Metadata!D688,"t"),EXACT(Metadata!D688,"f"))))</f>
        <v>0</v>
      </c>
      <c r="T688" t="b">
        <f>AND(IF(Metadata!E688="",FALSE,TRUE),OR(EXACT(Metadata!E688,"a"),EXACT(Metadata!E688,"b")))</f>
        <v>0</v>
      </c>
      <c r="U688" t="b">
        <f>OR(AND(IF(Metadata!F688="",FALSE,TRUE),OR(EXACT(Metadata!F688,"missing: not collected"),EXACT(Metadata!F688,"missing: not provided"))),AND(IF(Metadata!F688="",FALSE,TRUE),OR(EXACT(Metadata!F688,"lo"),EXACT(Metadata!F688,"med"),EXACT(Metadata!F688,"hi"))))</f>
        <v>0</v>
      </c>
    </row>
    <row r="689" spans="1:21" x14ac:dyDescent="0.2">
      <c r="A689" s="4" t="str">
        <f ca="1">IF(B689=" "," ",HYPERLINK(CONCATENATE("#metadata!",ADDRESS(INDEX($L$2:$L$1001,MATCH(ROWS($J$2:J689),$J$2:$J$1001,0),0),1)),INDEX($O$2:$O$1001,MATCH(ROWS($J$2:J689),$J$2:$J$1001,0),0)))</f>
        <v xml:space="preserve"> </v>
      </c>
      <c r="B689" s="3" t="str">
        <f ca="1">IF(OR(INDEX($K$2:$K$1001,MATCH(ROWS($J$2:J689),$J$2:$J$1001,0),1)&gt;=100000,INDEX($Q$1005:$U$1005,1,MATCH(COLUMNS($Q$1006:Q1006),$Q$1006:$U$1006,0))&gt;=100000), " ",IF(INDEX($Q$2:$U$1001,MATCH(ROWS($J$2:J689),$J$2:$J$1001,0),MATCH(COLUMNS($Q$1006:Q1006),$Q$1006:$U$1006,0)), HYPERLINK("#",""), HYPERLINK(CONCATENATE("#Metadata!", ADDRESS(INDEX($L$2:$L$1001,MATCH(ROWS($J$2:J689),$J$2:$J$1001,0),0), INDEX($Q$1004:$U$1004,1,MATCH(COLUMNS($Q$1006:Q1006),$Q$1006:$U$1006,0)))),"Fix")))</f>
        <v xml:space="preserve"> </v>
      </c>
      <c r="C689" s="3" t="str">
        <f ca="1">IF(OR(INDEX($K$2:$K$1001,MATCH(ROWS($J$2:J689),$J$2:$J$1001,0),1)&gt;=100000,INDEX($Q$1005:$U$1005,1,MATCH(COLUMNS($Q$1006:R1006),$Q$1006:$U$1006,0))&gt;=100000), " ",IF(INDEX($Q$2:$U$1001,MATCH(ROWS($J$2:J689),$J$2:$J$1001,0),MATCH(COLUMNS($Q$1006:R1006),$Q$1006:$U$1006,0)), HYPERLINK("#",""), HYPERLINK(CONCATENATE("#Metadata!", ADDRESS(INDEX($L$2:$L$1001,MATCH(ROWS($J$2:J689),$J$2:$J$1001,0),0), INDEX($Q$1004:$U$1004,1,MATCH(COLUMNS($Q$1006:R1006),$Q$1006:$U$1006,0)))),"Fix")))</f>
        <v xml:space="preserve"> </v>
      </c>
      <c r="D689" s="3" t="str">
        <f ca="1">IF(OR(INDEX($K$2:$K$1001,MATCH(ROWS($J$2:J689),$J$2:$J$1001,0),1)&gt;=100000,INDEX($Q$1005:$U$1005,1,MATCH(COLUMNS($Q$1006:S1006),$Q$1006:$U$1006,0))&gt;=100000), " ",IF(INDEX($Q$2:$U$1001,MATCH(ROWS($J$2:J689),$J$2:$J$1001,0),MATCH(COLUMNS($Q$1006:S1006),$Q$1006:$U$1006,0)), HYPERLINK("#",""), HYPERLINK(CONCATENATE("#Metadata!", ADDRESS(INDEX($L$2:$L$1001,MATCH(ROWS($J$2:J689),$J$2:$J$1001,0),0), INDEX($Q$1004:$U$1004,1,MATCH(COLUMNS($Q$1006:S1006),$Q$1006:$U$1006,0)))),"Fix")))</f>
        <v xml:space="preserve"> </v>
      </c>
      <c r="E689" s="3" t="str">
        <f ca="1">IF(OR(INDEX($K$2:$K$1001,MATCH(ROWS($J$2:J689),$J$2:$J$1001,0),1)&gt;=100000,INDEX($Q$1005:$U$1005,1,MATCH(COLUMNS($Q$1006:T1006),$Q$1006:$U$1006,0))&gt;=100000), " ",IF(INDEX($Q$2:$U$1001,MATCH(ROWS($J$2:J689),$J$2:$J$1001,0),MATCH(COLUMNS($Q$1006:T1006),$Q$1006:$U$1006,0)), HYPERLINK("#",""), HYPERLINK(CONCATENATE("#Metadata!", ADDRESS(INDEX($L$2:$L$1001,MATCH(ROWS($J$2:J689),$J$2:$J$1001,0),0), INDEX($Q$1004:$U$1004,1,MATCH(COLUMNS($Q$1006:T1006),$Q$1006:$U$1006,0)))),"Fix")))</f>
        <v xml:space="preserve"> </v>
      </c>
      <c r="F689" s="3" t="str">
        <f ca="1">IF(OR(INDEX($K$2:$K$1001,MATCH(ROWS($J$2:J689),$J$2:$J$1001,0),1)&gt;=100000,INDEX($Q$1005:$U$1005,1,MATCH(COLUMNS($Q$1006:U1006),$Q$1006:$U$1006,0))&gt;=100000), " ",IF(INDEX($Q$2:$U$1001,MATCH(ROWS($J$2:J689),$J$2:$J$1001,0),MATCH(COLUMNS($Q$1006:U1006),$Q$1006:$U$1006,0)), HYPERLINK("#",""), HYPERLINK(CONCATENATE("#Metadata!", ADDRESS(INDEX($L$2:$L$1001,MATCH(ROWS($J$2:J689),$J$2:$J$1001,0),0), INDEX($Q$1004:$U$1004,1,MATCH(COLUMNS($Q$1006:U1006),$Q$1006:$U$1006,0)))),"Fix")))</f>
        <v xml:space="preserve"> </v>
      </c>
      <c r="J689">
        <f ca="1"/>
        <v>688</v>
      </c>
      <c r="K689">
        <v>100689</v>
      </c>
      <c r="L689">
        <v>689</v>
      </c>
      <c r="M689" t="b">
        <f t="shared" si="10"/>
        <v>1</v>
      </c>
      <c r="N689" t="b">
        <f>COUNTBLANK(Metadata!B689:F689)=COLUMNS(Metadata!B689:F689)</f>
        <v>1</v>
      </c>
      <c r="O689" t="str">
        <v/>
      </c>
      <c r="Q689" t="b">
        <f ca="1"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R689" t="b">
        <f>IF(Metadata!C689="",FALSE,TRUE)</f>
        <v>0</v>
      </c>
      <c r="S689" t="b">
        <f>OR(AND(IF(Metadata!D689="",FALSE,TRUE),EXACT(Metadata!D689,"missing: not collected")),AND(IF(Metadata!D689="",FALSE,TRUE),OR(EXACT(Metadata!D689,"t"),EXACT(Metadata!D689,"f"))))</f>
        <v>0</v>
      </c>
      <c r="T689" t="b">
        <f>AND(IF(Metadata!E689="",FALSE,TRUE),OR(EXACT(Metadata!E689,"a"),EXACT(Metadata!E689,"b")))</f>
        <v>0</v>
      </c>
      <c r="U689" t="b">
        <f>OR(AND(IF(Metadata!F689="",FALSE,TRUE),OR(EXACT(Metadata!F689,"missing: not collected"),EXACT(Metadata!F689,"missing: not provided"))),AND(IF(Metadata!F689="",FALSE,TRUE),OR(EXACT(Metadata!F689,"lo"),EXACT(Metadata!F689,"med"),EXACT(Metadata!F689,"hi"))))</f>
        <v>0</v>
      </c>
    </row>
    <row r="690" spans="1:21" x14ac:dyDescent="0.2">
      <c r="A690" s="4" t="str">
        <f ca="1">IF(B690=" "," ",HYPERLINK(CONCATENATE("#metadata!",ADDRESS(INDEX($L$2:$L$1001,MATCH(ROWS($J$2:J690),$J$2:$J$1001,0),0),1)),INDEX($O$2:$O$1001,MATCH(ROWS($J$2:J690),$J$2:$J$1001,0),0)))</f>
        <v xml:space="preserve"> </v>
      </c>
      <c r="B690" s="3" t="str">
        <f ca="1">IF(OR(INDEX($K$2:$K$1001,MATCH(ROWS($J$2:J690),$J$2:$J$1001,0),1)&gt;=100000,INDEX($Q$1005:$U$1005,1,MATCH(COLUMNS($Q$1006:Q1006),$Q$1006:$U$1006,0))&gt;=100000), " ",IF(INDEX($Q$2:$U$1001,MATCH(ROWS($J$2:J690),$J$2:$J$1001,0),MATCH(COLUMNS($Q$1006:Q1006),$Q$1006:$U$1006,0)), HYPERLINK("#",""), HYPERLINK(CONCATENATE("#Metadata!", ADDRESS(INDEX($L$2:$L$1001,MATCH(ROWS($J$2:J690),$J$2:$J$1001,0),0), INDEX($Q$1004:$U$1004,1,MATCH(COLUMNS($Q$1006:Q1006),$Q$1006:$U$1006,0)))),"Fix")))</f>
        <v xml:space="preserve"> </v>
      </c>
      <c r="C690" s="3" t="str">
        <f ca="1">IF(OR(INDEX($K$2:$K$1001,MATCH(ROWS($J$2:J690),$J$2:$J$1001,0),1)&gt;=100000,INDEX($Q$1005:$U$1005,1,MATCH(COLUMNS($Q$1006:R1006),$Q$1006:$U$1006,0))&gt;=100000), " ",IF(INDEX($Q$2:$U$1001,MATCH(ROWS($J$2:J690),$J$2:$J$1001,0),MATCH(COLUMNS($Q$1006:R1006),$Q$1006:$U$1006,0)), HYPERLINK("#",""), HYPERLINK(CONCATENATE("#Metadata!", ADDRESS(INDEX($L$2:$L$1001,MATCH(ROWS($J$2:J690),$J$2:$J$1001,0),0), INDEX($Q$1004:$U$1004,1,MATCH(COLUMNS($Q$1006:R1006),$Q$1006:$U$1006,0)))),"Fix")))</f>
        <v xml:space="preserve"> </v>
      </c>
      <c r="D690" s="3" t="str">
        <f ca="1">IF(OR(INDEX($K$2:$K$1001,MATCH(ROWS($J$2:J690),$J$2:$J$1001,0),1)&gt;=100000,INDEX($Q$1005:$U$1005,1,MATCH(COLUMNS($Q$1006:S1006),$Q$1006:$U$1006,0))&gt;=100000), " ",IF(INDEX($Q$2:$U$1001,MATCH(ROWS($J$2:J690),$J$2:$J$1001,0),MATCH(COLUMNS($Q$1006:S1006),$Q$1006:$U$1006,0)), HYPERLINK("#",""), HYPERLINK(CONCATENATE("#Metadata!", ADDRESS(INDEX($L$2:$L$1001,MATCH(ROWS($J$2:J690),$J$2:$J$1001,0),0), INDEX($Q$1004:$U$1004,1,MATCH(COLUMNS($Q$1006:S1006),$Q$1006:$U$1006,0)))),"Fix")))</f>
        <v xml:space="preserve"> </v>
      </c>
      <c r="E690" s="3" t="str">
        <f ca="1">IF(OR(INDEX($K$2:$K$1001,MATCH(ROWS($J$2:J690),$J$2:$J$1001,0),1)&gt;=100000,INDEX($Q$1005:$U$1005,1,MATCH(COLUMNS($Q$1006:T1006),$Q$1006:$U$1006,0))&gt;=100000), " ",IF(INDEX($Q$2:$U$1001,MATCH(ROWS($J$2:J690),$J$2:$J$1001,0),MATCH(COLUMNS($Q$1006:T1006),$Q$1006:$U$1006,0)), HYPERLINK("#",""), HYPERLINK(CONCATENATE("#Metadata!", ADDRESS(INDEX($L$2:$L$1001,MATCH(ROWS($J$2:J690),$J$2:$J$1001,0),0), INDEX($Q$1004:$U$1004,1,MATCH(COLUMNS($Q$1006:T1006),$Q$1006:$U$1006,0)))),"Fix")))</f>
        <v xml:space="preserve"> </v>
      </c>
      <c r="F690" s="3" t="str">
        <f ca="1">IF(OR(INDEX($K$2:$K$1001,MATCH(ROWS($J$2:J690),$J$2:$J$1001,0),1)&gt;=100000,INDEX($Q$1005:$U$1005,1,MATCH(COLUMNS($Q$1006:U1006),$Q$1006:$U$1006,0))&gt;=100000), " ",IF(INDEX($Q$2:$U$1001,MATCH(ROWS($J$2:J690),$J$2:$J$1001,0),MATCH(COLUMNS($Q$1006:U1006),$Q$1006:$U$1006,0)), HYPERLINK("#",""), HYPERLINK(CONCATENATE("#Metadata!", ADDRESS(INDEX($L$2:$L$1001,MATCH(ROWS($J$2:J690),$J$2:$J$1001,0),0), INDEX($Q$1004:$U$1004,1,MATCH(COLUMNS($Q$1006:U1006),$Q$1006:$U$1006,0)))),"Fix")))</f>
        <v xml:space="preserve"> </v>
      </c>
      <c r="J690">
        <f ca="1"/>
        <v>689</v>
      </c>
      <c r="K690">
        <v>100690</v>
      </c>
      <c r="L690">
        <v>690</v>
      </c>
      <c r="M690" t="b">
        <f t="shared" si="10"/>
        <v>1</v>
      </c>
      <c r="N690" t="b">
        <f>COUNTBLANK(Metadata!B690:F690)=COLUMNS(Metadata!B690:F690)</f>
        <v>1</v>
      </c>
      <c r="O690" t="str">
        <v/>
      </c>
      <c r="Q690" t="b">
        <f ca="1"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R690" t="b">
        <f>IF(Metadata!C690="",FALSE,TRUE)</f>
        <v>0</v>
      </c>
      <c r="S690" t="b">
        <f>OR(AND(IF(Metadata!D690="",FALSE,TRUE),EXACT(Metadata!D690,"missing: not collected")),AND(IF(Metadata!D690="",FALSE,TRUE),OR(EXACT(Metadata!D690,"t"),EXACT(Metadata!D690,"f"))))</f>
        <v>0</v>
      </c>
      <c r="T690" t="b">
        <f>AND(IF(Metadata!E690="",FALSE,TRUE),OR(EXACT(Metadata!E690,"a"),EXACT(Metadata!E690,"b")))</f>
        <v>0</v>
      </c>
      <c r="U690" t="b">
        <f>OR(AND(IF(Metadata!F690="",FALSE,TRUE),OR(EXACT(Metadata!F690,"missing: not collected"),EXACT(Metadata!F690,"missing: not provided"))),AND(IF(Metadata!F690="",FALSE,TRUE),OR(EXACT(Metadata!F690,"lo"),EXACT(Metadata!F690,"med"),EXACT(Metadata!F690,"hi"))))</f>
        <v>0</v>
      </c>
    </row>
    <row r="691" spans="1:21" x14ac:dyDescent="0.2">
      <c r="A691" s="4" t="str">
        <f ca="1">IF(B691=" "," ",HYPERLINK(CONCATENATE("#metadata!",ADDRESS(INDEX($L$2:$L$1001,MATCH(ROWS($J$2:J691),$J$2:$J$1001,0),0),1)),INDEX($O$2:$O$1001,MATCH(ROWS($J$2:J691),$J$2:$J$1001,0),0)))</f>
        <v xml:space="preserve"> </v>
      </c>
      <c r="B691" s="3" t="str">
        <f ca="1">IF(OR(INDEX($K$2:$K$1001,MATCH(ROWS($J$2:J691),$J$2:$J$1001,0),1)&gt;=100000,INDEX($Q$1005:$U$1005,1,MATCH(COLUMNS($Q$1006:Q1006),$Q$1006:$U$1006,0))&gt;=100000), " ",IF(INDEX($Q$2:$U$1001,MATCH(ROWS($J$2:J691),$J$2:$J$1001,0),MATCH(COLUMNS($Q$1006:Q1006),$Q$1006:$U$1006,0)), HYPERLINK("#",""), HYPERLINK(CONCATENATE("#Metadata!", ADDRESS(INDEX($L$2:$L$1001,MATCH(ROWS($J$2:J691),$J$2:$J$1001,0),0), INDEX($Q$1004:$U$1004,1,MATCH(COLUMNS($Q$1006:Q1006),$Q$1006:$U$1006,0)))),"Fix")))</f>
        <v xml:space="preserve"> </v>
      </c>
      <c r="C691" s="3" t="str">
        <f ca="1">IF(OR(INDEX($K$2:$K$1001,MATCH(ROWS($J$2:J691),$J$2:$J$1001,0),1)&gt;=100000,INDEX($Q$1005:$U$1005,1,MATCH(COLUMNS($Q$1006:R1006),$Q$1006:$U$1006,0))&gt;=100000), " ",IF(INDEX($Q$2:$U$1001,MATCH(ROWS($J$2:J691),$J$2:$J$1001,0),MATCH(COLUMNS($Q$1006:R1006),$Q$1006:$U$1006,0)), HYPERLINK("#",""), HYPERLINK(CONCATENATE("#Metadata!", ADDRESS(INDEX($L$2:$L$1001,MATCH(ROWS($J$2:J691),$J$2:$J$1001,0),0), INDEX($Q$1004:$U$1004,1,MATCH(COLUMNS($Q$1006:R1006),$Q$1006:$U$1006,0)))),"Fix")))</f>
        <v xml:space="preserve"> </v>
      </c>
      <c r="D691" s="3" t="str">
        <f ca="1">IF(OR(INDEX($K$2:$K$1001,MATCH(ROWS($J$2:J691),$J$2:$J$1001,0),1)&gt;=100000,INDEX($Q$1005:$U$1005,1,MATCH(COLUMNS($Q$1006:S1006),$Q$1006:$U$1006,0))&gt;=100000), " ",IF(INDEX($Q$2:$U$1001,MATCH(ROWS($J$2:J691),$J$2:$J$1001,0),MATCH(COLUMNS($Q$1006:S1006),$Q$1006:$U$1006,0)), HYPERLINK("#",""), HYPERLINK(CONCATENATE("#Metadata!", ADDRESS(INDEX($L$2:$L$1001,MATCH(ROWS($J$2:J691),$J$2:$J$1001,0),0), INDEX($Q$1004:$U$1004,1,MATCH(COLUMNS($Q$1006:S1006),$Q$1006:$U$1006,0)))),"Fix")))</f>
        <v xml:space="preserve"> </v>
      </c>
      <c r="E691" s="3" t="str">
        <f ca="1">IF(OR(INDEX($K$2:$K$1001,MATCH(ROWS($J$2:J691),$J$2:$J$1001,0),1)&gt;=100000,INDEX($Q$1005:$U$1005,1,MATCH(COLUMNS($Q$1006:T1006),$Q$1006:$U$1006,0))&gt;=100000), " ",IF(INDEX($Q$2:$U$1001,MATCH(ROWS($J$2:J691),$J$2:$J$1001,0),MATCH(COLUMNS($Q$1006:T1006),$Q$1006:$U$1006,0)), HYPERLINK("#",""), HYPERLINK(CONCATENATE("#Metadata!", ADDRESS(INDEX($L$2:$L$1001,MATCH(ROWS($J$2:J691),$J$2:$J$1001,0),0), INDEX($Q$1004:$U$1004,1,MATCH(COLUMNS($Q$1006:T1006),$Q$1006:$U$1006,0)))),"Fix")))</f>
        <v xml:space="preserve"> </v>
      </c>
      <c r="F691" s="3" t="str">
        <f ca="1">IF(OR(INDEX($K$2:$K$1001,MATCH(ROWS($J$2:J691),$J$2:$J$1001,0),1)&gt;=100000,INDEX($Q$1005:$U$1005,1,MATCH(COLUMNS($Q$1006:U1006),$Q$1006:$U$1006,0))&gt;=100000), " ",IF(INDEX($Q$2:$U$1001,MATCH(ROWS($J$2:J691),$J$2:$J$1001,0),MATCH(COLUMNS($Q$1006:U1006),$Q$1006:$U$1006,0)), HYPERLINK("#",""), HYPERLINK(CONCATENATE("#Metadata!", ADDRESS(INDEX($L$2:$L$1001,MATCH(ROWS($J$2:J691),$J$2:$J$1001,0),0), INDEX($Q$1004:$U$1004,1,MATCH(COLUMNS($Q$1006:U1006),$Q$1006:$U$1006,0)))),"Fix")))</f>
        <v xml:space="preserve"> </v>
      </c>
      <c r="J691">
        <f ca="1"/>
        <v>690</v>
      </c>
      <c r="K691">
        <v>100691</v>
      </c>
      <c r="L691">
        <v>691</v>
      </c>
      <c r="M691" t="b">
        <f t="shared" si="10"/>
        <v>1</v>
      </c>
      <c r="N691" t="b">
        <f>COUNTBLANK(Metadata!B691:F691)=COLUMNS(Metadata!B691:F691)</f>
        <v>1</v>
      </c>
      <c r="O691" t="str">
        <v/>
      </c>
      <c r="Q691" t="b">
        <f ca="1"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R691" t="b">
        <f>IF(Metadata!C691="",FALSE,TRUE)</f>
        <v>0</v>
      </c>
      <c r="S691" t="b">
        <f>OR(AND(IF(Metadata!D691="",FALSE,TRUE),EXACT(Metadata!D691,"missing: not collected")),AND(IF(Metadata!D691="",FALSE,TRUE),OR(EXACT(Metadata!D691,"t"),EXACT(Metadata!D691,"f"))))</f>
        <v>0</v>
      </c>
      <c r="T691" t="b">
        <f>AND(IF(Metadata!E691="",FALSE,TRUE),OR(EXACT(Metadata!E691,"a"),EXACT(Metadata!E691,"b")))</f>
        <v>0</v>
      </c>
      <c r="U691" t="b">
        <f>OR(AND(IF(Metadata!F691="",FALSE,TRUE),OR(EXACT(Metadata!F691,"missing: not collected"),EXACT(Metadata!F691,"missing: not provided"))),AND(IF(Metadata!F691="",FALSE,TRUE),OR(EXACT(Metadata!F691,"lo"),EXACT(Metadata!F691,"med"),EXACT(Metadata!F691,"hi"))))</f>
        <v>0</v>
      </c>
    </row>
    <row r="692" spans="1:21" x14ac:dyDescent="0.2">
      <c r="A692" s="4" t="str">
        <f ca="1">IF(B692=" "," ",HYPERLINK(CONCATENATE("#metadata!",ADDRESS(INDEX($L$2:$L$1001,MATCH(ROWS($J$2:J692),$J$2:$J$1001,0),0),1)),INDEX($O$2:$O$1001,MATCH(ROWS($J$2:J692),$J$2:$J$1001,0),0)))</f>
        <v xml:space="preserve"> </v>
      </c>
      <c r="B692" s="3" t="str">
        <f ca="1">IF(OR(INDEX($K$2:$K$1001,MATCH(ROWS($J$2:J692),$J$2:$J$1001,0),1)&gt;=100000,INDEX($Q$1005:$U$1005,1,MATCH(COLUMNS($Q$1006:Q1006),$Q$1006:$U$1006,0))&gt;=100000), " ",IF(INDEX($Q$2:$U$1001,MATCH(ROWS($J$2:J692),$J$2:$J$1001,0),MATCH(COLUMNS($Q$1006:Q1006),$Q$1006:$U$1006,0)), HYPERLINK("#",""), HYPERLINK(CONCATENATE("#Metadata!", ADDRESS(INDEX($L$2:$L$1001,MATCH(ROWS($J$2:J692),$J$2:$J$1001,0),0), INDEX($Q$1004:$U$1004,1,MATCH(COLUMNS($Q$1006:Q1006),$Q$1006:$U$1006,0)))),"Fix")))</f>
        <v xml:space="preserve"> </v>
      </c>
      <c r="C692" s="3" t="str">
        <f ca="1">IF(OR(INDEX($K$2:$K$1001,MATCH(ROWS($J$2:J692),$J$2:$J$1001,0),1)&gt;=100000,INDEX($Q$1005:$U$1005,1,MATCH(COLUMNS($Q$1006:R1006),$Q$1006:$U$1006,0))&gt;=100000), " ",IF(INDEX($Q$2:$U$1001,MATCH(ROWS($J$2:J692),$J$2:$J$1001,0),MATCH(COLUMNS($Q$1006:R1006),$Q$1006:$U$1006,0)), HYPERLINK("#",""), HYPERLINK(CONCATENATE("#Metadata!", ADDRESS(INDEX($L$2:$L$1001,MATCH(ROWS($J$2:J692),$J$2:$J$1001,0),0), INDEX($Q$1004:$U$1004,1,MATCH(COLUMNS($Q$1006:R1006),$Q$1006:$U$1006,0)))),"Fix")))</f>
        <v xml:space="preserve"> </v>
      </c>
      <c r="D692" s="3" t="str">
        <f ca="1">IF(OR(INDEX($K$2:$K$1001,MATCH(ROWS($J$2:J692),$J$2:$J$1001,0),1)&gt;=100000,INDEX($Q$1005:$U$1005,1,MATCH(COLUMNS($Q$1006:S1006),$Q$1006:$U$1006,0))&gt;=100000), " ",IF(INDEX($Q$2:$U$1001,MATCH(ROWS($J$2:J692),$J$2:$J$1001,0),MATCH(COLUMNS($Q$1006:S1006),$Q$1006:$U$1006,0)), HYPERLINK("#",""), HYPERLINK(CONCATENATE("#Metadata!", ADDRESS(INDEX($L$2:$L$1001,MATCH(ROWS($J$2:J692),$J$2:$J$1001,0),0), INDEX($Q$1004:$U$1004,1,MATCH(COLUMNS($Q$1006:S1006),$Q$1006:$U$1006,0)))),"Fix")))</f>
        <v xml:space="preserve"> </v>
      </c>
      <c r="E692" s="3" t="str">
        <f ca="1">IF(OR(INDEX($K$2:$K$1001,MATCH(ROWS($J$2:J692),$J$2:$J$1001,0),1)&gt;=100000,INDEX($Q$1005:$U$1005,1,MATCH(COLUMNS($Q$1006:T1006),$Q$1006:$U$1006,0))&gt;=100000), " ",IF(INDEX($Q$2:$U$1001,MATCH(ROWS($J$2:J692),$J$2:$J$1001,0),MATCH(COLUMNS($Q$1006:T1006),$Q$1006:$U$1006,0)), HYPERLINK("#",""), HYPERLINK(CONCATENATE("#Metadata!", ADDRESS(INDEX($L$2:$L$1001,MATCH(ROWS($J$2:J692),$J$2:$J$1001,0),0), INDEX($Q$1004:$U$1004,1,MATCH(COLUMNS($Q$1006:T1006),$Q$1006:$U$1006,0)))),"Fix")))</f>
        <v xml:space="preserve"> </v>
      </c>
      <c r="F692" s="3" t="str">
        <f ca="1">IF(OR(INDEX($K$2:$K$1001,MATCH(ROWS($J$2:J692),$J$2:$J$1001,0),1)&gt;=100000,INDEX($Q$1005:$U$1005,1,MATCH(COLUMNS($Q$1006:U1006),$Q$1006:$U$1006,0))&gt;=100000), " ",IF(INDEX($Q$2:$U$1001,MATCH(ROWS($J$2:J692),$J$2:$J$1001,0),MATCH(COLUMNS($Q$1006:U1006),$Q$1006:$U$1006,0)), HYPERLINK("#",""), HYPERLINK(CONCATENATE("#Metadata!", ADDRESS(INDEX($L$2:$L$1001,MATCH(ROWS($J$2:J692),$J$2:$J$1001,0),0), INDEX($Q$1004:$U$1004,1,MATCH(COLUMNS($Q$1006:U1006),$Q$1006:$U$1006,0)))),"Fix")))</f>
        <v xml:space="preserve"> </v>
      </c>
      <c r="J692">
        <f ca="1"/>
        <v>691</v>
      </c>
      <c r="K692">
        <v>100692</v>
      </c>
      <c r="L692">
        <v>692</v>
      </c>
      <c r="M692" t="b">
        <f t="shared" si="10"/>
        <v>1</v>
      </c>
      <c r="N692" t="b">
        <f>COUNTBLANK(Metadata!B692:F692)=COLUMNS(Metadata!B692:F692)</f>
        <v>1</v>
      </c>
      <c r="O692" t="str">
        <v/>
      </c>
      <c r="Q692" t="b">
        <f ca="1"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R692" t="b">
        <f>IF(Metadata!C692="",FALSE,TRUE)</f>
        <v>0</v>
      </c>
      <c r="S692" t="b">
        <f>OR(AND(IF(Metadata!D692="",FALSE,TRUE),EXACT(Metadata!D692,"missing: not collected")),AND(IF(Metadata!D692="",FALSE,TRUE),OR(EXACT(Metadata!D692,"t"),EXACT(Metadata!D692,"f"))))</f>
        <v>0</v>
      </c>
      <c r="T692" t="b">
        <f>AND(IF(Metadata!E692="",FALSE,TRUE),OR(EXACT(Metadata!E692,"a"),EXACT(Metadata!E692,"b")))</f>
        <v>0</v>
      </c>
      <c r="U692" t="b">
        <f>OR(AND(IF(Metadata!F692="",FALSE,TRUE),OR(EXACT(Metadata!F692,"missing: not collected"),EXACT(Metadata!F692,"missing: not provided"))),AND(IF(Metadata!F692="",FALSE,TRUE),OR(EXACT(Metadata!F692,"lo"),EXACT(Metadata!F692,"med"),EXACT(Metadata!F692,"hi"))))</f>
        <v>0</v>
      </c>
    </row>
    <row r="693" spans="1:21" x14ac:dyDescent="0.2">
      <c r="A693" s="4" t="str">
        <f ca="1">IF(B693=" "," ",HYPERLINK(CONCATENATE("#metadata!",ADDRESS(INDEX($L$2:$L$1001,MATCH(ROWS($J$2:J693),$J$2:$J$1001,0),0),1)),INDEX($O$2:$O$1001,MATCH(ROWS($J$2:J693),$J$2:$J$1001,0),0)))</f>
        <v xml:space="preserve"> </v>
      </c>
      <c r="B693" s="3" t="str">
        <f ca="1">IF(OR(INDEX($K$2:$K$1001,MATCH(ROWS($J$2:J693),$J$2:$J$1001,0),1)&gt;=100000,INDEX($Q$1005:$U$1005,1,MATCH(COLUMNS($Q$1006:Q1006),$Q$1006:$U$1006,0))&gt;=100000), " ",IF(INDEX($Q$2:$U$1001,MATCH(ROWS($J$2:J693),$J$2:$J$1001,0),MATCH(COLUMNS($Q$1006:Q1006),$Q$1006:$U$1006,0)), HYPERLINK("#",""), HYPERLINK(CONCATENATE("#Metadata!", ADDRESS(INDEX($L$2:$L$1001,MATCH(ROWS($J$2:J693),$J$2:$J$1001,0),0), INDEX($Q$1004:$U$1004,1,MATCH(COLUMNS($Q$1006:Q1006),$Q$1006:$U$1006,0)))),"Fix")))</f>
        <v xml:space="preserve"> </v>
      </c>
      <c r="C693" s="3" t="str">
        <f ca="1">IF(OR(INDEX($K$2:$K$1001,MATCH(ROWS($J$2:J693),$J$2:$J$1001,0),1)&gt;=100000,INDEX($Q$1005:$U$1005,1,MATCH(COLUMNS($Q$1006:R1006),$Q$1006:$U$1006,0))&gt;=100000), " ",IF(INDEX($Q$2:$U$1001,MATCH(ROWS($J$2:J693),$J$2:$J$1001,0),MATCH(COLUMNS($Q$1006:R1006),$Q$1006:$U$1006,0)), HYPERLINK("#",""), HYPERLINK(CONCATENATE("#Metadata!", ADDRESS(INDEX($L$2:$L$1001,MATCH(ROWS($J$2:J693),$J$2:$J$1001,0),0), INDEX($Q$1004:$U$1004,1,MATCH(COLUMNS($Q$1006:R1006),$Q$1006:$U$1006,0)))),"Fix")))</f>
        <v xml:space="preserve"> </v>
      </c>
      <c r="D693" s="3" t="str">
        <f ca="1">IF(OR(INDEX($K$2:$K$1001,MATCH(ROWS($J$2:J693),$J$2:$J$1001,0),1)&gt;=100000,INDEX($Q$1005:$U$1005,1,MATCH(COLUMNS($Q$1006:S1006),$Q$1006:$U$1006,0))&gt;=100000), " ",IF(INDEX($Q$2:$U$1001,MATCH(ROWS($J$2:J693),$J$2:$J$1001,0),MATCH(COLUMNS($Q$1006:S1006),$Q$1006:$U$1006,0)), HYPERLINK("#",""), HYPERLINK(CONCATENATE("#Metadata!", ADDRESS(INDEX($L$2:$L$1001,MATCH(ROWS($J$2:J693),$J$2:$J$1001,0),0), INDEX($Q$1004:$U$1004,1,MATCH(COLUMNS($Q$1006:S1006),$Q$1006:$U$1006,0)))),"Fix")))</f>
        <v xml:space="preserve"> </v>
      </c>
      <c r="E693" s="3" t="str">
        <f ca="1">IF(OR(INDEX($K$2:$K$1001,MATCH(ROWS($J$2:J693),$J$2:$J$1001,0),1)&gt;=100000,INDEX($Q$1005:$U$1005,1,MATCH(COLUMNS($Q$1006:T1006),$Q$1006:$U$1006,0))&gt;=100000), " ",IF(INDEX($Q$2:$U$1001,MATCH(ROWS($J$2:J693),$J$2:$J$1001,0),MATCH(COLUMNS($Q$1006:T1006),$Q$1006:$U$1006,0)), HYPERLINK("#",""), HYPERLINK(CONCATENATE("#Metadata!", ADDRESS(INDEX($L$2:$L$1001,MATCH(ROWS($J$2:J693),$J$2:$J$1001,0),0), INDEX($Q$1004:$U$1004,1,MATCH(COLUMNS($Q$1006:T1006),$Q$1006:$U$1006,0)))),"Fix")))</f>
        <v xml:space="preserve"> </v>
      </c>
      <c r="F693" s="3" t="str">
        <f ca="1">IF(OR(INDEX($K$2:$K$1001,MATCH(ROWS($J$2:J693),$J$2:$J$1001,0),1)&gt;=100000,INDEX($Q$1005:$U$1005,1,MATCH(COLUMNS($Q$1006:U1006),$Q$1006:$U$1006,0))&gt;=100000), " ",IF(INDEX($Q$2:$U$1001,MATCH(ROWS($J$2:J693),$J$2:$J$1001,0),MATCH(COLUMNS($Q$1006:U1006),$Q$1006:$U$1006,0)), HYPERLINK("#",""), HYPERLINK(CONCATENATE("#Metadata!", ADDRESS(INDEX($L$2:$L$1001,MATCH(ROWS($J$2:J693),$J$2:$J$1001,0),0), INDEX($Q$1004:$U$1004,1,MATCH(COLUMNS($Q$1006:U1006),$Q$1006:$U$1006,0)))),"Fix")))</f>
        <v xml:space="preserve"> </v>
      </c>
      <c r="J693">
        <f ca="1"/>
        <v>692</v>
      </c>
      <c r="K693">
        <v>100693</v>
      </c>
      <c r="L693">
        <v>693</v>
      </c>
      <c r="M693" t="b">
        <f t="shared" si="10"/>
        <v>1</v>
      </c>
      <c r="N693" t="b">
        <f>COUNTBLANK(Metadata!B693:F693)=COLUMNS(Metadata!B693:F693)</f>
        <v>1</v>
      </c>
      <c r="O693" t="str">
        <v/>
      </c>
      <c r="Q693" t="b">
        <f ca="1"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R693" t="b">
        <f>IF(Metadata!C693="",FALSE,TRUE)</f>
        <v>0</v>
      </c>
      <c r="S693" t="b">
        <f>OR(AND(IF(Metadata!D693="",FALSE,TRUE),EXACT(Metadata!D693,"missing: not collected")),AND(IF(Metadata!D693="",FALSE,TRUE),OR(EXACT(Metadata!D693,"t"),EXACT(Metadata!D693,"f"))))</f>
        <v>0</v>
      </c>
      <c r="T693" t="b">
        <f>AND(IF(Metadata!E693="",FALSE,TRUE),OR(EXACT(Metadata!E693,"a"),EXACT(Metadata!E693,"b")))</f>
        <v>0</v>
      </c>
      <c r="U693" t="b">
        <f>OR(AND(IF(Metadata!F693="",FALSE,TRUE),OR(EXACT(Metadata!F693,"missing: not collected"),EXACT(Metadata!F693,"missing: not provided"))),AND(IF(Metadata!F693="",FALSE,TRUE),OR(EXACT(Metadata!F693,"lo"),EXACT(Metadata!F693,"med"),EXACT(Metadata!F693,"hi"))))</f>
        <v>0</v>
      </c>
    </row>
    <row r="694" spans="1:21" x14ac:dyDescent="0.2">
      <c r="A694" s="4" t="str">
        <f ca="1">IF(B694=" "," ",HYPERLINK(CONCATENATE("#metadata!",ADDRESS(INDEX($L$2:$L$1001,MATCH(ROWS($J$2:J694),$J$2:$J$1001,0),0),1)),INDEX($O$2:$O$1001,MATCH(ROWS($J$2:J694),$J$2:$J$1001,0),0)))</f>
        <v xml:space="preserve"> </v>
      </c>
      <c r="B694" s="3" t="str">
        <f ca="1">IF(OR(INDEX($K$2:$K$1001,MATCH(ROWS($J$2:J694),$J$2:$J$1001,0),1)&gt;=100000,INDEX($Q$1005:$U$1005,1,MATCH(COLUMNS($Q$1006:Q1006),$Q$1006:$U$1006,0))&gt;=100000), " ",IF(INDEX($Q$2:$U$1001,MATCH(ROWS($J$2:J694),$J$2:$J$1001,0),MATCH(COLUMNS($Q$1006:Q1006),$Q$1006:$U$1006,0)), HYPERLINK("#",""), HYPERLINK(CONCATENATE("#Metadata!", ADDRESS(INDEX($L$2:$L$1001,MATCH(ROWS($J$2:J694),$J$2:$J$1001,0),0), INDEX($Q$1004:$U$1004,1,MATCH(COLUMNS($Q$1006:Q1006),$Q$1006:$U$1006,0)))),"Fix")))</f>
        <v xml:space="preserve"> </v>
      </c>
      <c r="C694" s="3" t="str">
        <f ca="1">IF(OR(INDEX($K$2:$K$1001,MATCH(ROWS($J$2:J694),$J$2:$J$1001,0),1)&gt;=100000,INDEX($Q$1005:$U$1005,1,MATCH(COLUMNS($Q$1006:R1006),$Q$1006:$U$1006,0))&gt;=100000), " ",IF(INDEX($Q$2:$U$1001,MATCH(ROWS($J$2:J694),$J$2:$J$1001,0),MATCH(COLUMNS($Q$1006:R1006),$Q$1006:$U$1006,0)), HYPERLINK("#",""), HYPERLINK(CONCATENATE("#Metadata!", ADDRESS(INDEX($L$2:$L$1001,MATCH(ROWS($J$2:J694),$J$2:$J$1001,0),0), INDEX($Q$1004:$U$1004,1,MATCH(COLUMNS($Q$1006:R1006),$Q$1006:$U$1006,0)))),"Fix")))</f>
        <v xml:space="preserve"> </v>
      </c>
      <c r="D694" s="3" t="str">
        <f ca="1">IF(OR(INDEX($K$2:$K$1001,MATCH(ROWS($J$2:J694),$J$2:$J$1001,0),1)&gt;=100000,INDEX($Q$1005:$U$1005,1,MATCH(COLUMNS($Q$1006:S1006),$Q$1006:$U$1006,0))&gt;=100000), " ",IF(INDEX($Q$2:$U$1001,MATCH(ROWS($J$2:J694),$J$2:$J$1001,0),MATCH(COLUMNS($Q$1006:S1006),$Q$1006:$U$1006,0)), HYPERLINK("#",""), HYPERLINK(CONCATENATE("#Metadata!", ADDRESS(INDEX($L$2:$L$1001,MATCH(ROWS($J$2:J694),$J$2:$J$1001,0),0), INDEX($Q$1004:$U$1004,1,MATCH(COLUMNS($Q$1006:S1006),$Q$1006:$U$1006,0)))),"Fix")))</f>
        <v xml:space="preserve"> </v>
      </c>
      <c r="E694" s="3" t="str">
        <f ca="1">IF(OR(INDEX($K$2:$K$1001,MATCH(ROWS($J$2:J694),$J$2:$J$1001,0),1)&gt;=100000,INDEX($Q$1005:$U$1005,1,MATCH(COLUMNS($Q$1006:T1006),$Q$1006:$U$1006,0))&gt;=100000), " ",IF(INDEX($Q$2:$U$1001,MATCH(ROWS($J$2:J694),$J$2:$J$1001,0),MATCH(COLUMNS($Q$1006:T1006),$Q$1006:$U$1006,0)), HYPERLINK("#",""), HYPERLINK(CONCATENATE("#Metadata!", ADDRESS(INDEX($L$2:$L$1001,MATCH(ROWS($J$2:J694),$J$2:$J$1001,0),0), INDEX($Q$1004:$U$1004,1,MATCH(COLUMNS($Q$1006:T1006),$Q$1006:$U$1006,0)))),"Fix")))</f>
        <v xml:space="preserve"> </v>
      </c>
      <c r="F694" s="3" t="str">
        <f ca="1">IF(OR(INDEX($K$2:$K$1001,MATCH(ROWS($J$2:J694),$J$2:$J$1001,0),1)&gt;=100000,INDEX($Q$1005:$U$1005,1,MATCH(COLUMNS($Q$1006:U1006),$Q$1006:$U$1006,0))&gt;=100000), " ",IF(INDEX($Q$2:$U$1001,MATCH(ROWS($J$2:J694),$J$2:$J$1001,0),MATCH(COLUMNS($Q$1006:U1006),$Q$1006:$U$1006,0)), HYPERLINK("#",""), HYPERLINK(CONCATENATE("#Metadata!", ADDRESS(INDEX($L$2:$L$1001,MATCH(ROWS($J$2:J694),$J$2:$J$1001,0),0), INDEX($Q$1004:$U$1004,1,MATCH(COLUMNS($Q$1006:U1006),$Q$1006:$U$1006,0)))),"Fix")))</f>
        <v xml:space="preserve"> </v>
      </c>
      <c r="J694">
        <f ca="1"/>
        <v>693</v>
      </c>
      <c r="K694">
        <v>100694</v>
      </c>
      <c r="L694">
        <v>694</v>
      </c>
      <c r="M694" t="b">
        <f t="shared" si="10"/>
        <v>1</v>
      </c>
      <c r="N694" t="b">
        <f>COUNTBLANK(Metadata!B694:F694)=COLUMNS(Metadata!B694:F694)</f>
        <v>1</v>
      </c>
      <c r="O694" t="str">
        <v/>
      </c>
      <c r="Q694" t="b">
        <f ca="1"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R694" t="b">
        <f>IF(Metadata!C694="",FALSE,TRUE)</f>
        <v>0</v>
      </c>
      <c r="S694" t="b">
        <f>OR(AND(IF(Metadata!D694="",FALSE,TRUE),EXACT(Metadata!D694,"missing: not collected")),AND(IF(Metadata!D694="",FALSE,TRUE),OR(EXACT(Metadata!D694,"t"),EXACT(Metadata!D694,"f"))))</f>
        <v>0</v>
      </c>
      <c r="T694" t="b">
        <f>AND(IF(Metadata!E694="",FALSE,TRUE),OR(EXACT(Metadata!E694,"a"),EXACT(Metadata!E694,"b")))</f>
        <v>0</v>
      </c>
      <c r="U694" t="b">
        <f>OR(AND(IF(Metadata!F694="",FALSE,TRUE),OR(EXACT(Metadata!F694,"missing: not collected"),EXACT(Metadata!F694,"missing: not provided"))),AND(IF(Metadata!F694="",FALSE,TRUE),OR(EXACT(Metadata!F694,"lo"),EXACT(Metadata!F694,"med"),EXACT(Metadata!F694,"hi"))))</f>
        <v>0</v>
      </c>
    </row>
    <row r="695" spans="1:21" x14ac:dyDescent="0.2">
      <c r="A695" s="4" t="str">
        <f ca="1">IF(B695=" "," ",HYPERLINK(CONCATENATE("#metadata!",ADDRESS(INDEX($L$2:$L$1001,MATCH(ROWS($J$2:J695),$J$2:$J$1001,0),0),1)),INDEX($O$2:$O$1001,MATCH(ROWS($J$2:J695),$J$2:$J$1001,0),0)))</f>
        <v xml:space="preserve"> </v>
      </c>
      <c r="B695" s="3" t="str">
        <f ca="1">IF(OR(INDEX($K$2:$K$1001,MATCH(ROWS($J$2:J695),$J$2:$J$1001,0),1)&gt;=100000,INDEX($Q$1005:$U$1005,1,MATCH(COLUMNS($Q$1006:Q1006),$Q$1006:$U$1006,0))&gt;=100000), " ",IF(INDEX($Q$2:$U$1001,MATCH(ROWS($J$2:J695),$J$2:$J$1001,0),MATCH(COLUMNS($Q$1006:Q1006),$Q$1006:$U$1006,0)), HYPERLINK("#",""), HYPERLINK(CONCATENATE("#Metadata!", ADDRESS(INDEX($L$2:$L$1001,MATCH(ROWS($J$2:J695),$J$2:$J$1001,0),0), INDEX($Q$1004:$U$1004,1,MATCH(COLUMNS($Q$1006:Q1006),$Q$1006:$U$1006,0)))),"Fix")))</f>
        <v xml:space="preserve"> </v>
      </c>
      <c r="C695" s="3" t="str">
        <f ca="1">IF(OR(INDEX($K$2:$K$1001,MATCH(ROWS($J$2:J695),$J$2:$J$1001,0),1)&gt;=100000,INDEX($Q$1005:$U$1005,1,MATCH(COLUMNS($Q$1006:R1006),$Q$1006:$U$1006,0))&gt;=100000), " ",IF(INDEX($Q$2:$U$1001,MATCH(ROWS($J$2:J695),$J$2:$J$1001,0),MATCH(COLUMNS($Q$1006:R1006),$Q$1006:$U$1006,0)), HYPERLINK("#",""), HYPERLINK(CONCATENATE("#Metadata!", ADDRESS(INDEX($L$2:$L$1001,MATCH(ROWS($J$2:J695),$J$2:$J$1001,0),0), INDEX($Q$1004:$U$1004,1,MATCH(COLUMNS($Q$1006:R1006),$Q$1006:$U$1006,0)))),"Fix")))</f>
        <v xml:space="preserve"> </v>
      </c>
      <c r="D695" s="3" t="str">
        <f ca="1">IF(OR(INDEX($K$2:$K$1001,MATCH(ROWS($J$2:J695),$J$2:$J$1001,0),1)&gt;=100000,INDEX($Q$1005:$U$1005,1,MATCH(COLUMNS($Q$1006:S1006),$Q$1006:$U$1006,0))&gt;=100000), " ",IF(INDEX($Q$2:$U$1001,MATCH(ROWS($J$2:J695),$J$2:$J$1001,0),MATCH(COLUMNS($Q$1006:S1006),$Q$1006:$U$1006,0)), HYPERLINK("#",""), HYPERLINK(CONCATENATE("#Metadata!", ADDRESS(INDEX($L$2:$L$1001,MATCH(ROWS($J$2:J695),$J$2:$J$1001,0),0), INDEX($Q$1004:$U$1004,1,MATCH(COLUMNS($Q$1006:S1006),$Q$1006:$U$1006,0)))),"Fix")))</f>
        <v xml:space="preserve"> </v>
      </c>
      <c r="E695" s="3" t="str">
        <f ca="1">IF(OR(INDEX($K$2:$K$1001,MATCH(ROWS($J$2:J695),$J$2:$J$1001,0),1)&gt;=100000,INDEX($Q$1005:$U$1005,1,MATCH(COLUMNS($Q$1006:T1006),$Q$1006:$U$1006,0))&gt;=100000), " ",IF(INDEX($Q$2:$U$1001,MATCH(ROWS($J$2:J695),$J$2:$J$1001,0),MATCH(COLUMNS($Q$1006:T1006),$Q$1006:$U$1006,0)), HYPERLINK("#",""), HYPERLINK(CONCATENATE("#Metadata!", ADDRESS(INDEX($L$2:$L$1001,MATCH(ROWS($J$2:J695),$J$2:$J$1001,0),0), INDEX($Q$1004:$U$1004,1,MATCH(COLUMNS($Q$1006:T1006),$Q$1006:$U$1006,0)))),"Fix")))</f>
        <v xml:space="preserve"> </v>
      </c>
      <c r="F695" s="3" t="str">
        <f ca="1">IF(OR(INDEX($K$2:$K$1001,MATCH(ROWS($J$2:J695),$J$2:$J$1001,0),1)&gt;=100000,INDEX($Q$1005:$U$1005,1,MATCH(COLUMNS($Q$1006:U1006),$Q$1006:$U$1006,0))&gt;=100000), " ",IF(INDEX($Q$2:$U$1001,MATCH(ROWS($J$2:J695),$J$2:$J$1001,0),MATCH(COLUMNS($Q$1006:U1006),$Q$1006:$U$1006,0)), HYPERLINK("#",""), HYPERLINK(CONCATENATE("#Metadata!", ADDRESS(INDEX($L$2:$L$1001,MATCH(ROWS($J$2:J695),$J$2:$J$1001,0),0), INDEX($Q$1004:$U$1004,1,MATCH(COLUMNS($Q$1006:U1006),$Q$1006:$U$1006,0)))),"Fix")))</f>
        <v xml:space="preserve"> </v>
      </c>
      <c r="J695">
        <f ca="1"/>
        <v>694</v>
      </c>
      <c r="K695">
        <v>100695</v>
      </c>
      <c r="L695">
        <v>695</v>
      </c>
      <c r="M695" t="b">
        <f t="shared" si="10"/>
        <v>1</v>
      </c>
      <c r="N695" t="b">
        <f>COUNTBLANK(Metadata!B695:F695)=COLUMNS(Metadata!B695:F695)</f>
        <v>1</v>
      </c>
      <c r="O695" t="str">
        <v/>
      </c>
      <c r="Q695" t="b">
        <f ca="1"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R695" t="b">
        <f>IF(Metadata!C695="",FALSE,TRUE)</f>
        <v>0</v>
      </c>
      <c r="S695" t="b">
        <f>OR(AND(IF(Metadata!D695="",FALSE,TRUE),EXACT(Metadata!D695,"missing: not collected")),AND(IF(Metadata!D695="",FALSE,TRUE),OR(EXACT(Metadata!D695,"t"),EXACT(Metadata!D695,"f"))))</f>
        <v>0</v>
      </c>
      <c r="T695" t="b">
        <f>AND(IF(Metadata!E695="",FALSE,TRUE),OR(EXACT(Metadata!E695,"a"),EXACT(Metadata!E695,"b")))</f>
        <v>0</v>
      </c>
      <c r="U695" t="b">
        <f>OR(AND(IF(Metadata!F695="",FALSE,TRUE),OR(EXACT(Metadata!F695,"missing: not collected"),EXACT(Metadata!F695,"missing: not provided"))),AND(IF(Metadata!F695="",FALSE,TRUE),OR(EXACT(Metadata!F695,"lo"),EXACT(Metadata!F695,"med"),EXACT(Metadata!F695,"hi"))))</f>
        <v>0</v>
      </c>
    </row>
    <row r="696" spans="1:21" x14ac:dyDescent="0.2">
      <c r="A696" s="4" t="str">
        <f ca="1">IF(B696=" "," ",HYPERLINK(CONCATENATE("#metadata!",ADDRESS(INDEX($L$2:$L$1001,MATCH(ROWS($J$2:J696),$J$2:$J$1001,0),0),1)),INDEX($O$2:$O$1001,MATCH(ROWS($J$2:J696),$J$2:$J$1001,0),0)))</f>
        <v xml:space="preserve"> </v>
      </c>
      <c r="B696" s="3" t="str">
        <f ca="1">IF(OR(INDEX($K$2:$K$1001,MATCH(ROWS($J$2:J696),$J$2:$J$1001,0),1)&gt;=100000,INDEX($Q$1005:$U$1005,1,MATCH(COLUMNS($Q$1006:Q1006),$Q$1006:$U$1006,0))&gt;=100000), " ",IF(INDEX($Q$2:$U$1001,MATCH(ROWS($J$2:J696),$J$2:$J$1001,0),MATCH(COLUMNS($Q$1006:Q1006),$Q$1006:$U$1006,0)), HYPERLINK("#",""), HYPERLINK(CONCATENATE("#Metadata!", ADDRESS(INDEX($L$2:$L$1001,MATCH(ROWS($J$2:J696),$J$2:$J$1001,0),0), INDEX($Q$1004:$U$1004,1,MATCH(COLUMNS($Q$1006:Q1006),$Q$1006:$U$1006,0)))),"Fix")))</f>
        <v xml:space="preserve"> </v>
      </c>
      <c r="C696" s="3" t="str">
        <f ca="1">IF(OR(INDEX($K$2:$K$1001,MATCH(ROWS($J$2:J696),$J$2:$J$1001,0),1)&gt;=100000,INDEX($Q$1005:$U$1005,1,MATCH(COLUMNS($Q$1006:R1006),$Q$1006:$U$1006,0))&gt;=100000), " ",IF(INDEX($Q$2:$U$1001,MATCH(ROWS($J$2:J696),$J$2:$J$1001,0),MATCH(COLUMNS($Q$1006:R1006),$Q$1006:$U$1006,0)), HYPERLINK("#",""), HYPERLINK(CONCATENATE("#Metadata!", ADDRESS(INDEX($L$2:$L$1001,MATCH(ROWS($J$2:J696),$J$2:$J$1001,0),0), INDEX($Q$1004:$U$1004,1,MATCH(COLUMNS($Q$1006:R1006),$Q$1006:$U$1006,0)))),"Fix")))</f>
        <v xml:space="preserve"> </v>
      </c>
      <c r="D696" s="3" t="str">
        <f ca="1">IF(OR(INDEX($K$2:$K$1001,MATCH(ROWS($J$2:J696),$J$2:$J$1001,0),1)&gt;=100000,INDEX($Q$1005:$U$1005,1,MATCH(COLUMNS($Q$1006:S1006),$Q$1006:$U$1006,0))&gt;=100000), " ",IF(INDEX($Q$2:$U$1001,MATCH(ROWS($J$2:J696),$J$2:$J$1001,0),MATCH(COLUMNS($Q$1006:S1006),$Q$1006:$U$1006,0)), HYPERLINK("#",""), HYPERLINK(CONCATENATE("#Metadata!", ADDRESS(INDEX($L$2:$L$1001,MATCH(ROWS($J$2:J696),$J$2:$J$1001,0),0), INDEX($Q$1004:$U$1004,1,MATCH(COLUMNS($Q$1006:S1006),$Q$1006:$U$1006,0)))),"Fix")))</f>
        <v xml:space="preserve"> </v>
      </c>
      <c r="E696" s="3" t="str">
        <f ca="1">IF(OR(INDEX($K$2:$K$1001,MATCH(ROWS($J$2:J696),$J$2:$J$1001,0),1)&gt;=100000,INDEX($Q$1005:$U$1005,1,MATCH(COLUMNS($Q$1006:T1006),$Q$1006:$U$1006,0))&gt;=100000), " ",IF(INDEX($Q$2:$U$1001,MATCH(ROWS($J$2:J696),$J$2:$J$1001,0),MATCH(COLUMNS($Q$1006:T1006),$Q$1006:$U$1006,0)), HYPERLINK("#",""), HYPERLINK(CONCATENATE("#Metadata!", ADDRESS(INDEX($L$2:$L$1001,MATCH(ROWS($J$2:J696),$J$2:$J$1001,0),0), INDEX($Q$1004:$U$1004,1,MATCH(COLUMNS($Q$1006:T1006),$Q$1006:$U$1006,0)))),"Fix")))</f>
        <v xml:space="preserve"> </v>
      </c>
      <c r="F696" s="3" t="str">
        <f ca="1">IF(OR(INDEX($K$2:$K$1001,MATCH(ROWS($J$2:J696),$J$2:$J$1001,0),1)&gt;=100000,INDEX($Q$1005:$U$1005,1,MATCH(COLUMNS($Q$1006:U1006),$Q$1006:$U$1006,0))&gt;=100000), " ",IF(INDEX($Q$2:$U$1001,MATCH(ROWS($J$2:J696),$J$2:$J$1001,0),MATCH(COLUMNS($Q$1006:U1006),$Q$1006:$U$1006,0)), HYPERLINK("#",""), HYPERLINK(CONCATENATE("#Metadata!", ADDRESS(INDEX($L$2:$L$1001,MATCH(ROWS($J$2:J696),$J$2:$J$1001,0),0), INDEX($Q$1004:$U$1004,1,MATCH(COLUMNS($Q$1006:U1006),$Q$1006:$U$1006,0)))),"Fix")))</f>
        <v xml:space="preserve"> </v>
      </c>
      <c r="J696">
        <f ca="1"/>
        <v>695</v>
      </c>
      <c r="K696">
        <v>100696</v>
      </c>
      <c r="L696">
        <v>696</v>
      </c>
      <c r="M696" t="b">
        <f t="shared" si="10"/>
        <v>1</v>
      </c>
      <c r="N696" t="b">
        <f>COUNTBLANK(Metadata!B696:F696)=COLUMNS(Metadata!B696:F696)</f>
        <v>1</v>
      </c>
      <c r="O696" t="str">
        <v/>
      </c>
      <c r="Q696" t="b">
        <f ca="1"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R696" t="b">
        <f>IF(Metadata!C696="",FALSE,TRUE)</f>
        <v>0</v>
      </c>
      <c r="S696" t="b">
        <f>OR(AND(IF(Metadata!D696="",FALSE,TRUE),EXACT(Metadata!D696,"missing: not collected")),AND(IF(Metadata!D696="",FALSE,TRUE),OR(EXACT(Metadata!D696,"t"),EXACT(Metadata!D696,"f"))))</f>
        <v>0</v>
      </c>
      <c r="T696" t="b">
        <f>AND(IF(Metadata!E696="",FALSE,TRUE),OR(EXACT(Metadata!E696,"a"),EXACT(Metadata!E696,"b")))</f>
        <v>0</v>
      </c>
      <c r="U696" t="b">
        <f>OR(AND(IF(Metadata!F696="",FALSE,TRUE),OR(EXACT(Metadata!F696,"missing: not collected"),EXACT(Metadata!F696,"missing: not provided"))),AND(IF(Metadata!F696="",FALSE,TRUE),OR(EXACT(Metadata!F696,"lo"),EXACT(Metadata!F696,"med"),EXACT(Metadata!F696,"hi"))))</f>
        <v>0</v>
      </c>
    </row>
    <row r="697" spans="1:21" x14ac:dyDescent="0.2">
      <c r="A697" s="4" t="str">
        <f ca="1">IF(B697=" "," ",HYPERLINK(CONCATENATE("#metadata!",ADDRESS(INDEX($L$2:$L$1001,MATCH(ROWS($J$2:J697),$J$2:$J$1001,0),0),1)),INDEX($O$2:$O$1001,MATCH(ROWS($J$2:J697),$J$2:$J$1001,0),0)))</f>
        <v xml:space="preserve"> </v>
      </c>
      <c r="B697" s="3" t="str">
        <f ca="1">IF(OR(INDEX($K$2:$K$1001,MATCH(ROWS($J$2:J697),$J$2:$J$1001,0),1)&gt;=100000,INDEX($Q$1005:$U$1005,1,MATCH(COLUMNS($Q$1006:Q1006),$Q$1006:$U$1006,0))&gt;=100000), " ",IF(INDEX($Q$2:$U$1001,MATCH(ROWS($J$2:J697),$J$2:$J$1001,0),MATCH(COLUMNS($Q$1006:Q1006),$Q$1006:$U$1006,0)), HYPERLINK("#",""), HYPERLINK(CONCATENATE("#Metadata!", ADDRESS(INDEX($L$2:$L$1001,MATCH(ROWS($J$2:J697),$J$2:$J$1001,0),0), INDEX($Q$1004:$U$1004,1,MATCH(COLUMNS($Q$1006:Q1006),$Q$1006:$U$1006,0)))),"Fix")))</f>
        <v xml:space="preserve"> </v>
      </c>
      <c r="C697" s="3" t="str">
        <f ca="1">IF(OR(INDEX($K$2:$K$1001,MATCH(ROWS($J$2:J697),$J$2:$J$1001,0),1)&gt;=100000,INDEX($Q$1005:$U$1005,1,MATCH(COLUMNS($Q$1006:R1006),$Q$1006:$U$1006,0))&gt;=100000), " ",IF(INDEX($Q$2:$U$1001,MATCH(ROWS($J$2:J697),$J$2:$J$1001,0),MATCH(COLUMNS($Q$1006:R1006),$Q$1006:$U$1006,0)), HYPERLINK("#",""), HYPERLINK(CONCATENATE("#Metadata!", ADDRESS(INDEX($L$2:$L$1001,MATCH(ROWS($J$2:J697),$J$2:$J$1001,0),0), INDEX($Q$1004:$U$1004,1,MATCH(COLUMNS($Q$1006:R1006),$Q$1006:$U$1006,0)))),"Fix")))</f>
        <v xml:space="preserve"> </v>
      </c>
      <c r="D697" s="3" t="str">
        <f ca="1">IF(OR(INDEX($K$2:$K$1001,MATCH(ROWS($J$2:J697),$J$2:$J$1001,0),1)&gt;=100000,INDEX($Q$1005:$U$1005,1,MATCH(COLUMNS($Q$1006:S1006),$Q$1006:$U$1006,0))&gt;=100000), " ",IF(INDEX($Q$2:$U$1001,MATCH(ROWS($J$2:J697),$J$2:$J$1001,0),MATCH(COLUMNS($Q$1006:S1006),$Q$1006:$U$1006,0)), HYPERLINK("#",""), HYPERLINK(CONCATENATE("#Metadata!", ADDRESS(INDEX($L$2:$L$1001,MATCH(ROWS($J$2:J697),$J$2:$J$1001,0),0), INDEX($Q$1004:$U$1004,1,MATCH(COLUMNS($Q$1006:S1006),$Q$1006:$U$1006,0)))),"Fix")))</f>
        <v xml:space="preserve"> </v>
      </c>
      <c r="E697" s="3" t="str">
        <f ca="1">IF(OR(INDEX($K$2:$K$1001,MATCH(ROWS($J$2:J697),$J$2:$J$1001,0),1)&gt;=100000,INDEX($Q$1005:$U$1005,1,MATCH(COLUMNS($Q$1006:T1006),$Q$1006:$U$1006,0))&gt;=100000), " ",IF(INDEX($Q$2:$U$1001,MATCH(ROWS($J$2:J697),$J$2:$J$1001,0),MATCH(COLUMNS($Q$1006:T1006),$Q$1006:$U$1006,0)), HYPERLINK("#",""), HYPERLINK(CONCATENATE("#Metadata!", ADDRESS(INDEX($L$2:$L$1001,MATCH(ROWS($J$2:J697),$J$2:$J$1001,0),0), INDEX($Q$1004:$U$1004,1,MATCH(COLUMNS($Q$1006:T1006),$Q$1006:$U$1006,0)))),"Fix")))</f>
        <v xml:space="preserve"> </v>
      </c>
      <c r="F697" s="3" t="str">
        <f ca="1">IF(OR(INDEX($K$2:$K$1001,MATCH(ROWS($J$2:J697),$J$2:$J$1001,0),1)&gt;=100000,INDEX($Q$1005:$U$1005,1,MATCH(COLUMNS($Q$1006:U1006),$Q$1006:$U$1006,0))&gt;=100000), " ",IF(INDEX($Q$2:$U$1001,MATCH(ROWS($J$2:J697),$J$2:$J$1001,0),MATCH(COLUMNS($Q$1006:U1006),$Q$1006:$U$1006,0)), HYPERLINK("#",""), HYPERLINK(CONCATENATE("#Metadata!", ADDRESS(INDEX($L$2:$L$1001,MATCH(ROWS($J$2:J697),$J$2:$J$1001,0),0), INDEX($Q$1004:$U$1004,1,MATCH(COLUMNS($Q$1006:U1006),$Q$1006:$U$1006,0)))),"Fix")))</f>
        <v xml:space="preserve"> </v>
      </c>
      <c r="J697">
        <f ca="1"/>
        <v>696</v>
      </c>
      <c r="K697">
        <v>100697</v>
      </c>
      <c r="L697">
        <v>697</v>
      </c>
      <c r="M697" t="b">
        <f t="shared" si="10"/>
        <v>1</v>
      </c>
      <c r="N697" t="b">
        <f>COUNTBLANK(Metadata!B697:F697)=COLUMNS(Metadata!B697:F697)</f>
        <v>1</v>
      </c>
      <c r="O697" t="str">
        <v/>
      </c>
      <c r="Q697" t="b">
        <f ca="1"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R697" t="b">
        <f>IF(Metadata!C697="",FALSE,TRUE)</f>
        <v>0</v>
      </c>
      <c r="S697" t="b">
        <f>OR(AND(IF(Metadata!D697="",FALSE,TRUE),EXACT(Metadata!D697,"missing: not collected")),AND(IF(Metadata!D697="",FALSE,TRUE),OR(EXACT(Metadata!D697,"t"),EXACT(Metadata!D697,"f"))))</f>
        <v>0</v>
      </c>
      <c r="T697" t="b">
        <f>AND(IF(Metadata!E697="",FALSE,TRUE),OR(EXACT(Metadata!E697,"a"),EXACT(Metadata!E697,"b")))</f>
        <v>0</v>
      </c>
      <c r="U697" t="b">
        <f>OR(AND(IF(Metadata!F697="",FALSE,TRUE),OR(EXACT(Metadata!F697,"missing: not collected"),EXACT(Metadata!F697,"missing: not provided"))),AND(IF(Metadata!F697="",FALSE,TRUE),OR(EXACT(Metadata!F697,"lo"),EXACT(Metadata!F697,"med"),EXACT(Metadata!F697,"hi"))))</f>
        <v>0</v>
      </c>
    </row>
    <row r="698" spans="1:21" x14ac:dyDescent="0.2">
      <c r="A698" s="4" t="str">
        <f ca="1">IF(B698=" "," ",HYPERLINK(CONCATENATE("#metadata!",ADDRESS(INDEX($L$2:$L$1001,MATCH(ROWS($J$2:J698),$J$2:$J$1001,0),0),1)),INDEX($O$2:$O$1001,MATCH(ROWS($J$2:J698),$J$2:$J$1001,0),0)))</f>
        <v xml:space="preserve"> </v>
      </c>
      <c r="B698" s="3" t="str">
        <f ca="1">IF(OR(INDEX($K$2:$K$1001,MATCH(ROWS($J$2:J698),$J$2:$J$1001,0),1)&gt;=100000,INDEX($Q$1005:$U$1005,1,MATCH(COLUMNS($Q$1006:Q1006),$Q$1006:$U$1006,0))&gt;=100000), " ",IF(INDEX($Q$2:$U$1001,MATCH(ROWS($J$2:J698),$J$2:$J$1001,0),MATCH(COLUMNS($Q$1006:Q1006),$Q$1006:$U$1006,0)), HYPERLINK("#",""), HYPERLINK(CONCATENATE("#Metadata!", ADDRESS(INDEX($L$2:$L$1001,MATCH(ROWS($J$2:J698),$J$2:$J$1001,0),0), INDEX($Q$1004:$U$1004,1,MATCH(COLUMNS($Q$1006:Q1006),$Q$1006:$U$1006,0)))),"Fix")))</f>
        <v xml:space="preserve"> </v>
      </c>
      <c r="C698" s="3" t="str">
        <f ca="1">IF(OR(INDEX($K$2:$K$1001,MATCH(ROWS($J$2:J698),$J$2:$J$1001,0),1)&gt;=100000,INDEX($Q$1005:$U$1005,1,MATCH(COLUMNS($Q$1006:R1006),$Q$1006:$U$1006,0))&gt;=100000), " ",IF(INDEX($Q$2:$U$1001,MATCH(ROWS($J$2:J698),$J$2:$J$1001,0),MATCH(COLUMNS($Q$1006:R1006),$Q$1006:$U$1006,0)), HYPERLINK("#",""), HYPERLINK(CONCATENATE("#Metadata!", ADDRESS(INDEX($L$2:$L$1001,MATCH(ROWS($J$2:J698),$J$2:$J$1001,0),0), INDEX($Q$1004:$U$1004,1,MATCH(COLUMNS($Q$1006:R1006),$Q$1006:$U$1006,0)))),"Fix")))</f>
        <v xml:space="preserve"> </v>
      </c>
      <c r="D698" s="3" t="str">
        <f ca="1">IF(OR(INDEX($K$2:$K$1001,MATCH(ROWS($J$2:J698),$J$2:$J$1001,0),1)&gt;=100000,INDEX($Q$1005:$U$1005,1,MATCH(COLUMNS($Q$1006:S1006),$Q$1006:$U$1006,0))&gt;=100000), " ",IF(INDEX($Q$2:$U$1001,MATCH(ROWS($J$2:J698),$J$2:$J$1001,0),MATCH(COLUMNS($Q$1006:S1006),$Q$1006:$U$1006,0)), HYPERLINK("#",""), HYPERLINK(CONCATENATE("#Metadata!", ADDRESS(INDEX($L$2:$L$1001,MATCH(ROWS($J$2:J698),$J$2:$J$1001,0),0), INDEX($Q$1004:$U$1004,1,MATCH(COLUMNS($Q$1006:S1006),$Q$1006:$U$1006,0)))),"Fix")))</f>
        <v xml:space="preserve"> </v>
      </c>
      <c r="E698" s="3" t="str">
        <f ca="1">IF(OR(INDEX($K$2:$K$1001,MATCH(ROWS($J$2:J698),$J$2:$J$1001,0),1)&gt;=100000,INDEX($Q$1005:$U$1005,1,MATCH(COLUMNS($Q$1006:T1006),$Q$1006:$U$1006,0))&gt;=100000), " ",IF(INDEX($Q$2:$U$1001,MATCH(ROWS($J$2:J698),$J$2:$J$1001,0),MATCH(COLUMNS($Q$1006:T1006),$Q$1006:$U$1006,0)), HYPERLINK("#",""), HYPERLINK(CONCATENATE("#Metadata!", ADDRESS(INDEX($L$2:$L$1001,MATCH(ROWS($J$2:J698),$J$2:$J$1001,0),0), INDEX($Q$1004:$U$1004,1,MATCH(COLUMNS($Q$1006:T1006),$Q$1006:$U$1006,0)))),"Fix")))</f>
        <v xml:space="preserve"> </v>
      </c>
      <c r="F698" s="3" t="str">
        <f ca="1">IF(OR(INDEX($K$2:$K$1001,MATCH(ROWS($J$2:J698),$J$2:$J$1001,0),1)&gt;=100000,INDEX($Q$1005:$U$1005,1,MATCH(COLUMNS($Q$1006:U1006),$Q$1006:$U$1006,0))&gt;=100000), " ",IF(INDEX($Q$2:$U$1001,MATCH(ROWS($J$2:J698),$J$2:$J$1001,0),MATCH(COLUMNS($Q$1006:U1006),$Q$1006:$U$1006,0)), HYPERLINK("#",""), HYPERLINK(CONCATENATE("#Metadata!", ADDRESS(INDEX($L$2:$L$1001,MATCH(ROWS($J$2:J698),$J$2:$J$1001,0),0), INDEX($Q$1004:$U$1004,1,MATCH(COLUMNS($Q$1006:U1006),$Q$1006:$U$1006,0)))),"Fix")))</f>
        <v xml:space="preserve"> </v>
      </c>
      <c r="J698">
        <f ca="1"/>
        <v>697</v>
      </c>
      <c r="K698">
        <v>100698</v>
      </c>
      <c r="L698">
        <v>698</v>
      </c>
      <c r="M698" t="b">
        <f t="shared" si="10"/>
        <v>1</v>
      </c>
      <c r="N698" t="b">
        <f>COUNTBLANK(Metadata!B698:F698)=COLUMNS(Metadata!B698:F698)</f>
        <v>1</v>
      </c>
      <c r="O698" t="str">
        <v/>
      </c>
      <c r="Q698" t="b">
        <f ca="1"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R698" t="b">
        <f>IF(Metadata!C698="",FALSE,TRUE)</f>
        <v>0</v>
      </c>
      <c r="S698" t="b">
        <f>OR(AND(IF(Metadata!D698="",FALSE,TRUE),EXACT(Metadata!D698,"missing: not collected")),AND(IF(Metadata!D698="",FALSE,TRUE),OR(EXACT(Metadata!D698,"t"),EXACT(Metadata!D698,"f"))))</f>
        <v>0</v>
      </c>
      <c r="T698" t="b">
        <f>AND(IF(Metadata!E698="",FALSE,TRUE),OR(EXACT(Metadata!E698,"a"),EXACT(Metadata!E698,"b")))</f>
        <v>0</v>
      </c>
      <c r="U698" t="b">
        <f>OR(AND(IF(Metadata!F698="",FALSE,TRUE),OR(EXACT(Metadata!F698,"missing: not collected"),EXACT(Metadata!F698,"missing: not provided"))),AND(IF(Metadata!F698="",FALSE,TRUE),OR(EXACT(Metadata!F698,"lo"),EXACT(Metadata!F698,"med"),EXACT(Metadata!F698,"hi"))))</f>
        <v>0</v>
      </c>
    </row>
    <row r="699" spans="1:21" x14ac:dyDescent="0.2">
      <c r="A699" s="4" t="str">
        <f ca="1">IF(B699=" "," ",HYPERLINK(CONCATENATE("#metadata!",ADDRESS(INDEX($L$2:$L$1001,MATCH(ROWS($J$2:J699),$J$2:$J$1001,0),0),1)),INDEX($O$2:$O$1001,MATCH(ROWS($J$2:J699),$J$2:$J$1001,0),0)))</f>
        <v xml:space="preserve"> </v>
      </c>
      <c r="B699" s="3" t="str">
        <f ca="1">IF(OR(INDEX($K$2:$K$1001,MATCH(ROWS($J$2:J699),$J$2:$J$1001,0),1)&gt;=100000,INDEX($Q$1005:$U$1005,1,MATCH(COLUMNS($Q$1006:Q1006),$Q$1006:$U$1006,0))&gt;=100000), " ",IF(INDEX($Q$2:$U$1001,MATCH(ROWS($J$2:J699),$J$2:$J$1001,0),MATCH(COLUMNS($Q$1006:Q1006),$Q$1006:$U$1006,0)), HYPERLINK("#",""), HYPERLINK(CONCATENATE("#Metadata!", ADDRESS(INDEX($L$2:$L$1001,MATCH(ROWS($J$2:J699),$J$2:$J$1001,0),0), INDEX($Q$1004:$U$1004,1,MATCH(COLUMNS($Q$1006:Q1006),$Q$1006:$U$1006,0)))),"Fix")))</f>
        <v xml:space="preserve"> </v>
      </c>
      <c r="C699" s="3" t="str">
        <f ca="1">IF(OR(INDEX($K$2:$K$1001,MATCH(ROWS($J$2:J699),$J$2:$J$1001,0),1)&gt;=100000,INDEX($Q$1005:$U$1005,1,MATCH(COLUMNS($Q$1006:R1006),$Q$1006:$U$1006,0))&gt;=100000), " ",IF(INDEX($Q$2:$U$1001,MATCH(ROWS($J$2:J699),$J$2:$J$1001,0),MATCH(COLUMNS($Q$1006:R1006),$Q$1006:$U$1006,0)), HYPERLINK("#",""), HYPERLINK(CONCATENATE("#Metadata!", ADDRESS(INDEX($L$2:$L$1001,MATCH(ROWS($J$2:J699),$J$2:$J$1001,0),0), INDEX($Q$1004:$U$1004,1,MATCH(COLUMNS($Q$1006:R1006),$Q$1006:$U$1006,0)))),"Fix")))</f>
        <v xml:space="preserve"> </v>
      </c>
      <c r="D699" s="3" t="str">
        <f ca="1">IF(OR(INDEX($K$2:$K$1001,MATCH(ROWS($J$2:J699),$J$2:$J$1001,0),1)&gt;=100000,INDEX($Q$1005:$U$1005,1,MATCH(COLUMNS($Q$1006:S1006),$Q$1006:$U$1006,0))&gt;=100000), " ",IF(INDEX($Q$2:$U$1001,MATCH(ROWS($J$2:J699),$J$2:$J$1001,0),MATCH(COLUMNS($Q$1006:S1006),$Q$1006:$U$1006,0)), HYPERLINK("#",""), HYPERLINK(CONCATENATE("#Metadata!", ADDRESS(INDEX($L$2:$L$1001,MATCH(ROWS($J$2:J699),$J$2:$J$1001,0),0), INDEX($Q$1004:$U$1004,1,MATCH(COLUMNS($Q$1006:S1006),$Q$1006:$U$1006,0)))),"Fix")))</f>
        <v xml:space="preserve"> </v>
      </c>
      <c r="E699" s="3" t="str">
        <f ca="1">IF(OR(INDEX($K$2:$K$1001,MATCH(ROWS($J$2:J699),$J$2:$J$1001,0),1)&gt;=100000,INDEX($Q$1005:$U$1005,1,MATCH(COLUMNS($Q$1006:T1006),$Q$1006:$U$1006,0))&gt;=100000), " ",IF(INDEX($Q$2:$U$1001,MATCH(ROWS($J$2:J699),$J$2:$J$1001,0),MATCH(COLUMNS($Q$1006:T1006),$Q$1006:$U$1006,0)), HYPERLINK("#",""), HYPERLINK(CONCATENATE("#Metadata!", ADDRESS(INDEX($L$2:$L$1001,MATCH(ROWS($J$2:J699),$J$2:$J$1001,0),0), INDEX($Q$1004:$U$1004,1,MATCH(COLUMNS($Q$1006:T1006),$Q$1006:$U$1006,0)))),"Fix")))</f>
        <v xml:space="preserve"> </v>
      </c>
      <c r="F699" s="3" t="str">
        <f ca="1">IF(OR(INDEX($K$2:$K$1001,MATCH(ROWS($J$2:J699),$J$2:$J$1001,0),1)&gt;=100000,INDEX($Q$1005:$U$1005,1,MATCH(COLUMNS($Q$1006:U1006),$Q$1006:$U$1006,0))&gt;=100000), " ",IF(INDEX($Q$2:$U$1001,MATCH(ROWS($J$2:J699),$J$2:$J$1001,0),MATCH(COLUMNS($Q$1006:U1006),$Q$1006:$U$1006,0)), HYPERLINK("#",""), HYPERLINK(CONCATENATE("#Metadata!", ADDRESS(INDEX($L$2:$L$1001,MATCH(ROWS($J$2:J699),$J$2:$J$1001,0),0), INDEX($Q$1004:$U$1004,1,MATCH(COLUMNS($Q$1006:U1006),$Q$1006:$U$1006,0)))),"Fix")))</f>
        <v xml:space="preserve"> </v>
      </c>
      <c r="J699">
        <f ca="1"/>
        <v>698</v>
      </c>
      <c r="K699">
        <v>100699</v>
      </c>
      <c r="L699">
        <v>699</v>
      </c>
      <c r="M699" t="b">
        <f t="shared" si="10"/>
        <v>1</v>
      </c>
      <c r="N699" t="b">
        <f>COUNTBLANK(Metadata!B699:F699)=COLUMNS(Metadata!B699:F699)</f>
        <v>1</v>
      </c>
      <c r="O699" t="str">
        <v/>
      </c>
      <c r="Q699" t="b">
        <f ca="1"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R699" t="b">
        <f>IF(Metadata!C699="",FALSE,TRUE)</f>
        <v>0</v>
      </c>
      <c r="S699" t="b">
        <f>OR(AND(IF(Metadata!D699="",FALSE,TRUE),EXACT(Metadata!D699,"missing: not collected")),AND(IF(Metadata!D699="",FALSE,TRUE),OR(EXACT(Metadata!D699,"t"),EXACT(Metadata!D699,"f"))))</f>
        <v>0</v>
      </c>
      <c r="T699" t="b">
        <f>AND(IF(Metadata!E699="",FALSE,TRUE),OR(EXACT(Metadata!E699,"a"),EXACT(Metadata!E699,"b")))</f>
        <v>0</v>
      </c>
      <c r="U699" t="b">
        <f>OR(AND(IF(Metadata!F699="",FALSE,TRUE),OR(EXACT(Metadata!F699,"missing: not collected"),EXACT(Metadata!F699,"missing: not provided"))),AND(IF(Metadata!F699="",FALSE,TRUE),OR(EXACT(Metadata!F699,"lo"),EXACT(Metadata!F699,"med"),EXACT(Metadata!F699,"hi"))))</f>
        <v>0</v>
      </c>
    </row>
    <row r="700" spans="1:21" x14ac:dyDescent="0.2">
      <c r="A700" s="4" t="str">
        <f ca="1">IF(B700=" "," ",HYPERLINK(CONCATENATE("#metadata!",ADDRESS(INDEX($L$2:$L$1001,MATCH(ROWS($J$2:J700),$J$2:$J$1001,0),0),1)),INDEX($O$2:$O$1001,MATCH(ROWS($J$2:J700),$J$2:$J$1001,0),0)))</f>
        <v xml:space="preserve"> </v>
      </c>
      <c r="B700" s="3" t="str">
        <f ca="1">IF(OR(INDEX($K$2:$K$1001,MATCH(ROWS($J$2:J700),$J$2:$J$1001,0),1)&gt;=100000,INDEX($Q$1005:$U$1005,1,MATCH(COLUMNS($Q$1006:Q1006),$Q$1006:$U$1006,0))&gt;=100000), " ",IF(INDEX($Q$2:$U$1001,MATCH(ROWS($J$2:J700),$J$2:$J$1001,0),MATCH(COLUMNS($Q$1006:Q1006),$Q$1006:$U$1006,0)), HYPERLINK("#",""), HYPERLINK(CONCATENATE("#Metadata!", ADDRESS(INDEX($L$2:$L$1001,MATCH(ROWS($J$2:J700),$J$2:$J$1001,0),0), INDEX($Q$1004:$U$1004,1,MATCH(COLUMNS($Q$1006:Q1006),$Q$1006:$U$1006,0)))),"Fix")))</f>
        <v xml:space="preserve"> </v>
      </c>
      <c r="C700" s="3" t="str">
        <f ca="1">IF(OR(INDEX($K$2:$K$1001,MATCH(ROWS($J$2:J700),$J$2:$J$1001,0),1)&gt;=100000,INDEX($Q$1005:$U$1005,1,MATCH(COLUMNS($Q$1006:R1006),$Q$1006:$U$1006,0))&gt;=100000), " ",IF(INDEX($Q$2:$U$1001,MATCH(ROWS($J$2:J700),$J$2:$J$1001,0),MATCH(COLUMNS($Q$1006:R1006),$Q$1006:$U$1006,0)), HYPERLINK("#",""), HYPERLINK(CONCATENATE("#Metadata!", ADDRESS(INDEX($L$2:$L$1001,MATCH(ROWS($J$2:J700),$J$2:$J$1001,0),0), INDEX($Q$1004:$U$1004,1,MATCH(COLUMNS($Q$1006:R1006),$Q$1006:$U$1006,0)))),"Fix")))</f>
        <v xml:space="preserve"> </v>
      </c>
      <c r="D700" s="3" t="str">
        <f ca="1">IF(OR(INDEX($K$2:$K$1001,MATCH(ROWS($J$2:J700),$J$2:$J$1001,0),1)&gt;=100000,INDEX($Q$1005:$U$1005,1,MATCH(COLUMNS($Q$1006:S1006),$Q$1006:$U$1006,0))&gt;=100000), " ",IF(INDEX($Q$2:$U$1001,MATCH(ROWS($J$2:J700),$J$2:$J$1001,0),MATCH(COLUMNS($Q$1006:S1006),$Q$1006:$U$1006,0)), HYPERLINK("#",""), HYPERLINK(CONCATENATE("#Metadata!", ADDRESS(INDEX($L$2:$L$1001,MATCH(ROWS($J$2:J700),$J$2:$J$1001,0),0), INDEX($Q$1004:$U$1004,1,MATCH(COLUMNS($Q$1006:S1006),$Q$1006:$U$1006,0)))),"Fix")))</f>
        <v xml:space="preserve"> </v>
      </c>
      <c r="E700" s="3" t="str">
        <f ca="1">IF(OR(INDEX($K$2:$K$1001,MATCH(ROWS($J$2:J700),$J$2:$J$1001,0),1)&gt;=100000,INDEX($Q$1005:$U$1005,1,MATCH(COLUMNS($Q$1006:T1006),$Q$1006:$U$1006,0))&gt;=100000), " ",IF(INDEX($Q$2:$U$1001,MATCH(ROWS($J$2:J700),$J$2:$J$1001,0),MATCH(COLUMNS($Q$1006:T1006),$Q$1006:$U$1006,0)), HYPERLINK("#",""), HYPERLINK(CONCATENATE("#Metadata!", ADDRESS(INDEX($L$2:$L$1001,MATCH(ROWS($J$2:J700),$J$2:$J$1001,0),0), INDEX($Q$1004:$U$1004,1,MATCH(COLUMNS($Q$1006:T1006),$Q$1006:$U$1006,0)))),"Fix")))</f>
        <v xml:space="preserve"> </v>
      </c>
      <c r="F700" s="3" t="str">
        <f ca="1">IF(OR(INDEX($K$2:$K$1001,MATCH(ROWS($J$2:J700),$J$2:$J$1001,0),1)&gt;=100000,INDEX($Q$1005:$U$1005,1,MATCH(COLUMNS($Q$1006:U1006),$Q$1006:$U$1006,0))&gt;=100000), " ",IF(INDEX($Q$2:$U$1001,MATCH(ROWS($J$2:J700),$J$2:$J$1001,0),MATCH(COLUMNS($Q$1006:U1006),$Q$1006:$U$1006,0)), HYPERLINK("#",""), HYPERLINK(CONCATENATE("#Metadata!", ADDRESS(INDEX($L$2:$L$1001,MATCH(ROWS($J$2:J700),$J$2:$J$1001,0),0), INDEX($Q$1004:$U$1004,1,MATCH(COLUMNS($Q$1006:U1006),$Q$1006:$U$1006,0)))),"Fix")))</f>
        <v xml:space="preserve"> </v>
      </c>
      <c r="J700">
        <f ca="1"/>
        <v>699</v>
      </c>
      <c r="K700">
        <v>100700</v>
      </c>
      <c r="L700">
        <v>700</v>
      </c>
      <c r="M700" t="b">
        <f t="shared" si="10"/>
        <v>1</v>
      </c>
      <c r="N700" t="b">
        <f>COUNTBLANK(Metadata!B700:F700)=COLUMNS(Metadata!B700:F700)</f>
        <v>1</v>
      </c>
      <c r="O700" t="str">
        <v/>
      </c>
      <c r="Q700" t="b">
        <f ca="1"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R700" t="b">
        <f>IF(Metadata!C700="",FALSE,TRUE)</f>
        <v>0</v>
      </c>
      <c r="S700" t="b">
        <f>OR(AND(IF(Metadata!D700="",FALSE,TRUE),EXACT(Metadata!D700,"missing: not collected")),AND(IF(Metadata!D700="",FALSE,TRUE),OR(EXACT(Metadata!D700,"t"),EXACT(Metadata!D700,"f"))))</f>
        <v>0</v>
      </c>
      <c r="T700" t="b">
        <f>AND(IF(Metadata!E700="",FALSE,TRUE),OR(EXACT(Metadata!E700,"a"),EXACT(Metadata!E700,"b")))</f>
        <v>0</v>
      </c>
      <c r="U700" t="b">
        <f>OR(AND(IF(Metadata!F700="",FALSE,TRUE),OR(EXACT(Metadata!F700,"missing: not collected"),EXACT(Metadata!F700,"missing: not provided"))),AND(IF(Metadata!F700="",FALSE,TRUE),OR(EXACT(Metadata!F700,"lo"),EXACT(Metadata!F700,"med"),EXACT(Metadata!F700,"hi"))))</f>
        <v>0</v>
      </c>
    </row>
    <row r="701" spans="1:21" x14ac:dyDescent="0.2">
      <c r="A701" s="4" t="str">
        <f ca="1">IF(B701=" "," ",HYPERLINK(CONCATENATE("#metadata!",ADDRESS(INDEX($L$2:$L$1001,MATCH(ROWS($J$2:J701),$J$2:$J$1001,0),0),1)),INDEX($O$2:$O$1001,MATCH(ROWS($J$2:J701),$J$2:$J$1001,0),0)))</f>
        <v xml:space="preserve"> </v>
      </c>
      <c r="B701" s="3" t="str">
        <f ca="1">IF(OR(INDEX($K$2:$K$1001,MATCH(ROWS($J$2:J701),$J$2:$J$1001,0),1)&gt;=100000,INDEX($Q$1005:$U$1005,1,MATCH(COLUMNS($Q$1006:Q1006),$Q$1006:$U$1006,0))&gt;=100000), " ",IF(INDEX($Q$2:$U$1001,MATCH(ROWS($J$2:J701),$J$2:$J$1001,0),MATCH(COLUMNS($Q$1006:Q1006),$Q$1006:$U$1006,0)), HYPERLINK("#",""), HYPERLINK(CONCATENATE("#Metadata!", ADDRESS(INDEX($L$2:$L$1001,MATCH(ROWS($J$2:J701),$J$2:$J$1001,0),0), INDEX($Q$1004:$U$1004,1,MATCH(COLUMNS($Q$1006:Q1006),$Q$1006:$U$1006,0)))),"Fix")))</f>
        <v xml:space="preserve"> </v>
      </c>
      <c r="C701" s="3" t="str">
        <f ca="1">IF(OR(INDEX($K$2:$K$1001,MATCH(ROWS($J$2:J701),$J$2:$J$1001,0),1)&gt;=100000,INDEX($Q$1005:$U$1005,1,MATCH(COLUMNS($Q$1006:R1006),$Q$1006:$U$1006,0))&gt;=100000), " ",IF(INDEX($Q$2:$U$1001,MATCH(ROWS($J$2:J701),$J$2:$J$1001,0),MATCH(COLUMNS($Q$1006:R1006),$Q$1006:$U$1006,0)), HYPERLINK("#",""), HYPERLINK(CONCATENATE("#Metadata!", ADDRESS(INDEX($L$2:$L$1001,MATCH(ROWS($J$2:J701),$J$2:$J$1001,0),0), INDEX($Q$1004:$U$1004,1,MATCH(COLUMNS($Q$1006:R1006),$Q$1006:$U$1006,0)))),"Fix")))</f>
        <v xml:space="preserve"> </v>
      </c>
      <c r="D701" s="3" t="str">
        <f ca="1">IF(OR(INDEX($K$2:$K$1001,MATCH(ROWS($J$2:J701),$J$2:$J$1001,0),1)&gt;=100000,INDEX($Q$1005:$U$1005,1,MATCH(COLUMNS($Q$1006:S1006),$Q$1006:$U$1006,0))&gt;=100000), " ",IF(INDEX($Q$2:$U$1001,MATCH(ROWS($J$2:J701),$J$2:$J$1001,0),MATCH(COLUMNS($Q$1006:S1006),$Q$1006:$U$1006,0)), HYPERLINK("#",""), HYPERLINK(CONCATENATE("#Metadata!", ADDRESS(INDEX($L$2:$L$1001,MATCH(ROWS($J$2:J701),$J$2:$J$1001,0),0), INDEX($Q$1004:$U$1004,1,MATCH(COLUMNS($Q$1006:S1006),$Q$1006:$U$1006,0)))),"Fix")))</f>
        <v xml:space="preserve"> </v>
      </c>
      <c r="E701" s="3" t="str">
        <f ca="1">IF(OR(INDEX($K$2:$K$1001,MATCH(ROWS($J$2:J701),$J$2:$J$1001,0),1)&gt;=100000,INDEX($Q$1005:$U$1005,1,MATCH(COLUMNS($Q$1006:T1006),$Q$1006:$U$1006,0))&gt;=100000), " ",IF(INDEX($Q$2:$U$1001,MATCH(ROWS($J$2:J701),$J$2:$J$1001,0),MATCH(COLUMNS($Q$1006:T1006),$Q$1006:$U$1006,0)), HYPERLINK("#",""), HYPERLINK(CONCATENATE("#Metadata!", ADDRESS(INDEX($L$2:$L$1001,MATCH(ROWS($J$2:J701),$J$2:$J$1001,0),0), INDEX($Q$1004:$U$1004,1,MATCH(COLUMNS($Q$1006:T1006),$Q$1006:$U$1006,0)))),"Fix")))</f>
        <v xml:space="preserve"> </v>
      </c>
      <c r="F701" s="3" t="str">
        <f ca="1">IF(OR(INDEX($K$2:$K$1001,MATCH(ROWS($J$2:J701),$J$2:$J$1001,0),1)&gt;=100000,INDEX($Q$1005:$U$1005,1,MATCH(COLUMNS($Q$1006:U1006),$Q$1006:$U$1006,0))&gt;=100000), " ",IF(INDEX($Q$2:$U$1001,MATCH(ROWS($J$2:J701),$J$2:$J$1001,0),MATCH(COLUMNS($Q$1006:U1006),$Q$1006:$U$1006,0)), HYPERLINK("#",""), HYPERLINK(CONCATENATE("#Metadata!", ADDRESS(INDEX($L$2:$L$1001,MATCH(ROWS($J$2:J701),$J$2:$J$1001,0),0), INDEX($Q$1004:$U$1004,1,MATCH(COLUMNS($Q$1006:U1006),$Q$1006:$U$1006,0)))),"Fix")))</f>
        <v xml:space="preserve"> </v>
      </c>
      <c r="J701">
        <f ca="1"/>
        <v>700</v>
      </c>
      <c r="K701">
        <v>100701</v>
      </c>
      <c r="L701">
        <v>701</v>
      </c>
      <c r="M701" t="b">
        <f t="shared" si="10"/>
        <v>1</v>
      </c>
      <c r="N701" t="b">
        <f>COUNTBLANK(Metadata!B701:F701)=COLUMNS(Metadata!B701:F701)</f>
        <v>1</v>
      </c>
      <c r="O701" t="str">
        <v/>
      </c>
      <c r="Q701" t="b">
        <f ca="1"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R701" t="b">
        <f>IF(Metadata!C701="",FALSE,TRUE)</f>
        <v>0</v>
      </c>
      <c r="S701" t="b">
        <f>OR(AND(IF(Metadata!D701="",FALSE,TRUE),EXACT(Metadata!D701,"missing: not collected")),AND(IF(Metadata!D701="",FALSE,TRUE),OR(EXACT(Metadata!D701,"t"),EXACT(Metadata!D701,"f"))))</f>
        <v>0</v>
      </c>
      <c r="T701" t="b">
        <f>AND(IF(Metadata!E701="",FALSE,TRUE),OR(EXACT(Metadata!E701,"a"),EXACT(Metadata!E701,"b")))</f>
        <v>0</v>
      </c>
      <c r="U701" t="b">
        <f>OR(AND(IF(Metadata!F701="",FALSE,TRUE),OR(EXACT(Metadata!F701,"missing: not collected"),EXACT(Metadata!F701,"missing: not provided"))),AND(IF(Metadata!F701="",FALSE,TRUE),OR(EXACT(Metadata!F701,"lo"),EXACT(Metadata!F701,"med"),EXACT(Metadata!F701,"hi"))))</f>
        <v>0</v>
      </c>
    </row>
    <row r="702" spans="1:21" x14ac:dyDescent="0.2">
      <c r="A702" s="4" t="str">
        <f ca="1">IF(B702=" "," ",HYPERLINK(CONCATENATE("#metadata!",ADDRESS(INDEX($L$2:$L$1001,MATCH(ROWS($J$2:J702),$J$2:$J$1001,0),0),1)),INDEX($O$2:$O$1001,MATCH(ROWS($J$2:J702),$J$2:$J$1001,0),0)))</f>
        <v xml:space="preserve"> </v>
      </c>
      <c r="B702" s="3" t="str">
        <f ca="1">IF(OR(INDEX($K$2:$K$1001,MATCH(ROWS($J$2:J702),$J$2:$J$1001,0),1)&gt;=100000,INDEX($Q$1005:$U$1005,1,MATCH(COLUMNS($Q$1006:Q1006),$Q$1006:$U$1006,0))&gt;=100000), " ",IF(INDEX($Q$2:$U$1001,MATCH(ROWS($J$2:J702),$J$2:$J$1001,0),MATCH(COLUMNS($Q$1006:Q1006),$Q$1006:$U$1006,0)), HYPERLINK("#",""), HYPERLINK(CONCATENATE("#Metadata!", ADDRESS(INDEX($L$2:$L$1001,MATCH(ROWS($J$2:J702),$J$2:$J$1001,0),0), INDEX($Q$1004:$U$1004,1,MATCH(COLUMNS($Q$1006:Q1006),$Q$1006:$U$1006,0)))),"Fix")))</f>
        <v xml:space="preserve"> </v>
      </c>
      <c r="C702" s="3" t="str">
        <f ca="1">IF(OR(INDEX($K$2:$K$1001,MATCH(ROWS($J$2:J702),$J$2:$J$1001,0),1)&gt;=100000,INDEX($Q$1005:$U$1005,1,MATCH(COLUMNS($Q$1006:R1006),$Q$1006:$U$1006,0))&gt;=100000), " ",IF(INDEX($Q$2:$U$1001,MATCH(ROWS($J$2:J702),$J$2:$J$1001,0),MATCH(COLUMNS($Q$1006:R1006),$Q$1006:$U$1006,0)), HYPERLINK("#",""), HYPERLINK(CONCATENATE("#Metadata!", ADDRESS(INDEX($L$2:$L$1001,MATCH(ROWS($J$2:J702),$J$2:$J$1001,0),0), INDEX($Q$1004:$U$1004,1,MATCH(COLUMNS($Q$1006:R1006),$Q$1006:$U$1006,0)))),"Fix")))</f>
        <v xml:space="preserve"> </v>
      </c>
      <c r="D702" s="3" t="str">
        <f ca="1">IF(OR(INDEX($K$2:$K$1001,MATCH(ROWS($J$2:J702),$J$2:$J$1001,0),1)&gt;=100000,INDEX($Q$1005:$U$1005,1,MATCH(COLUMNS($Q$1006:S1006),$Q$1006:$U$1006,0))&gt;=100000), " ",IF(INDEX($Q$2:$U$1001,MATCH(ROWS($J$2:J702),$J$2:$J$1001,0),MATCH(COLUMNS($Q$1006:S1006),$Q$1006:$U$1006,0)), HYPERLINK("#",""), HYPERLINK(CONCATENATE("#Metadata!", ADDRESS(INDEX($L$2:$L$1001,MATCH(ROWS($J$2:J702),$J$2:$J$1001,0),0), INDEX($Q$1004:$U$1004,1,MATCH(COLUMNS($Q$1006:S1006),$Q$1006:$U$1006,0)))),"Fix")))</f>
        <v xml:space="preserve"> </v>
      </c>
      <c r="E702" s="3" t="str">
        <f ca="1">IF(OR(INDEX($K$2:$K$1001,MATCH(ROWS($J$2:J702),$J$2:$J$1001,0),1)&gt;=100000,INDEX($Q$1005:$U$1005,1,MATCH(COLUMNS($Q$1006:T1006),$Q$1006:$U$1006,0))&gt;=100000), " ",IF(INDEX($Q$2:$U$1001,MATCH(ROWS($J$2:J702),$J$2:$J$1001,0),MATCH(COLUMNS($Q$1006:T1006),$Q$1006:$U$1006,0)), HYPERLINK("#",""), HYPERLINK(CONCATENATE("#Metadata!", ADDRESS(INDEX($L$2:$L$1001,MATCH(ROWS($J$2:J702),$J$2:$J$1001,0),0), INDEX($Q$1004:$U$1004,1,MATCH(COLUMNS($Q$1006:T1006),$Q$1006:$U$1006,0)))),"Fix")))</f>
        <v xml:space="preserve"> </v>
      </c>
      <c r="F702" s="3" t="str">
        <f ca="1">IF(OR(INDEX($K$2:$K$1001,MATCH(ROWS($J$2:J702),$J$2:$J$1001,0),1)&gt;=100000,INDEX($Q$1005:$U$1005,1,MATCH(COLUMNS($Q$1006:U1006),$Q$1006:$U$1006,0))&gt;=100000), " ",IF(INDEX($Q$2:$U$1001,MATCH(ROWS($J$2:J702),$J$2:$J$1001,0),MATCH(COLUMNS($Q$1006:U1006),$Q$1006:$U$1006,0)), HYPERLINK("#",""), HYPERLINK(CONCATENATE("#Metadata!", ADDRESS(INDEX($L$2:$L$1001,MATCH(ROWS($J$2:J702),$J$2:$J$1001,0),0), INDEX($Q$1004:$U$1004,1,MATCH(COLUMNS($Q$1006:U1006),$Q$1006:$U$1006,0)))),"Fix")))</f>
        <v xml:space="preserve"> </v>
      </c>
      <c r="J702">
        <f ca="1"/>
        <v>701</v>
      </c>
      <c r="K702">
        <v>100702</v>
      </c>
      <c r="L702">
        <v>702</v>
      </c>
      <c r="M702" t="b">
        <f t="shared" si="10"/>
        <v>1</v>
      </c>
      <c r="N702" t="b">
        <f>COUNTBLANK(Metadata!B702:F702)=COLUMNS(Metadata!B702:F702)</f>
        <v>1</v>
      </c>
      <c r="O702" t="str">
        <v/>
      </c>
      <c r="Q702" t="b">
        <f ca="1"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R702" t="b">
        <f>IF(Metadata!C702="",FALSE,TRUE)</f>
        <v>0</v>
      </c>
      <c r="S702" t="b">
        <f>OR(AND(IF(Metadata!D702="",FALSE,TRUE),EXACT(Metadata!D702,"missing: not collected")),AND(IF(Metadata!D702="",FALSE,TRUE),OR(EXACT(Metadata!D702,"t"),EXACT(Metadata!D702,"f"))))</f>
        <v>0</v>
      </c>
      <c r="T702" t="b">
        <f>AND(IF(Metadata!E702="",FALSE,TRUE),OR(EXACT(Metadata!E702,"a"),EXACT(Metadata!E702,"b")))</f>
        <v>0</v>
      </c>
      <c r="U702" t="b">
        <f>OR(AND(IF(Metadata!F702="",FALSE,TRUE),OR(EXACT(Metadata!F702,"missing: not collected"),EXACT(Metadata!F702,"missing: not provided"))),AND(IF(Metadata!F702="",FALSE,TRUE),OR(EXACT(Metadata!F702,"lo"),EXACT(Metadata!F702,"med"),EXACT(Metadata!F702,"hi"))))</f>
        <v>0</v>
      </c>
    </row>
    <row r="703" spans="1:21" x14ac:dyDescent="0.2">
      <c r="A703" s="4" t="str">
        <f ca="1">IF(B703=" "," ",HYPERLINK(CONCATENATE("#metadata!",ADDRESS(INDEX($L$2:$L$1001,MATCH(ROWS($J$2:J703),$J$2:$J$1001,0),0),1)),INDEX($O$2:$O$1001,MATCH(ROWS($J$2:J703),$J$2:$J$1001,0),0)))</f>
        <v xml:space="preserve"> </v>
      </c>
      <c r="B703" s="3" t="str">
        <f ca="1">IF(OR(INDEX($K$2:$K$1001,MATCH(ROWS($J$2:J703),$J$2:$J$1001,0),1)&gt;=100000,INDEX($Q$1005:$U$1005,1,MATCH(COLUMNS($Q$1006:Q1006),$Q$1006:$U$1006,0))&gt;=100000), " ",IF(INDEX($Q$2:$U$1001,MATCH(ROWS($J$2:J703),$J$2:$J$1001,0),MATCH(COLUMNS($Q$1006:Q1006),$Q$1006:$U$1006,0)), HYPERLINK("#",""), HYPERLINK(CONCATENATE("#Metadata!", ADDRESS(INDEX($L$2:$L$1001,MATCH(ROWS($J$2:J703),$J$2:$J$1001,0),0), INDEX($Q$1004:$U$1004,1,MATCH(COLUMNS($Q$1006:Q1006),$Q$1006:$U$1006,0)))),"Fix")))</f>
        <v xml:space="preserve"> </v>
      </c>
      <c r="C703" s="3" t="str">
        <f ca="1">IF(OR(INDEX($K$2:$K$1001,MATCH(ROWS($J$2:J703),$J$2:$J$1001,0),1)&gt;=100000,INDEX($Q$1005:$U$1005,1,MATCH(COLUMNS($Q$1006:R1006),$Q$1006:$U$1006,0))&gt;=100000), " ",IF(INDEX($Q$2:$U$1001,MATCH(ROWS($J$2:J703),$J$2:$J$1001,0),MATCH(COLUMNS($Q$1006:R1006),$Q$1006:$U$1006,0)), HYPERLINK("#",""), HYPERLINK(CONCATENATE("#Metadata!", ADDRESS(INDEX($L$2:$L$1001,MATCH(ROWS($J$2:J703),$J$2:$J$1001,0),0), INDEX($Q$1004:$U$1004,1,MATCH(COLUMNS($Q$1006:R1006),$Q$1006:$U$1006,0)))),"Fix")))</f>
        <v xml:space="preserve"> </v>
      </c>
      <c r="D703" s="3" t="str">
        <f ca="1">IF(OR(INDEX($K$2:$K$1001,MATCH(ROWS($J$2:J703),$J$2:$J$1001,0),1)&gt;=100000,INDEX($Q$1005:$U$1005,1,MATCH(COLUMNS($Q$1006:S1006),$Q$1006:$U$1006,0))&gt;=100000), " ",IF(INDEX($Q$2:$U$1001,MATCH(ROWS($J$2:J703),$J$2:$J$1001,0),MATCH(COLUMNS($Q$1006:S1006),$Q$1006:$U$1006,0)), HYPERLINK("#",""), HYPERLINK(CONCATENATE("#Metadata!", ADDRESS(INDEX($L$2:$L$1001,MATCH(ROWS($J$2:J703),$J$2:$J$1001,0),0), INDEX($Q$1004:$U$1004,1,MATCH(COLUMNS($Q$1006:S1006),$Q$1006:$U$1006,0)))),"Fix")))</f>
        <v xml:space="preserve"> </v>
      </c>
      <c r="E703" s="3" t="str">
        <f ca="1">IF(OR(INDEX($K$2:$K$1001,MATCH(ROWS($J$2:J703),$J$2:$J$1001,0),1)&gt;=100000,INDEX($Q$1005:$U$1005,1,MATCH(COLUMNS($Q$1006:T1006),$Q$1006:$U$1006,0))&gt;=100000), " ",IF(INDEX($Q$2:$U$1001,MATCH(ROWS($J$2:J703),$J$2:$J$1001,0),MATCH(COLUMNS($Q$1006:T1006),$Q$1006:$U$1006,0)), HYPERLINK("#",""), HYPERLINK(CONCATENATE("#Metadata!", ADDRESS(INDEX($L$2:$L$1001,MATCH(ROWS($J$2:J703),$J$2:$J$1001,0),0), INDEX($Q$1004:$U$1004,1,MATCH(COLUMNS($Q$1006:T1006),$Q$1006:$U$1006,0)))),"Fix")))</f>
        <v xml:space="preserve"> </v>
      </c>
      <c r="F703" s="3" t="str">
        <f ca="1">IF(OR(INDEX($K$2:$K$1001,MATCH(ROWS($J$2:J703),$J$2:$J$1001,0),1)&gt;=100000,INDEX($Q$1005:$U$1005,1,MATCH(COLUMNS($Q$1006:U1006),$Q$1006:$U$1006,0))&gt;=100000), " ",IF(INDEX($Q$2:$U$1001,MATCH(ROWS($J$2:J703),$J$2:$J$1001,0),MATCH(COLUMNS($Q$1006:U1006),$Q$1006:$U$1006,0)), HYPERLINK("#",""), HYPERLINK(CONCATENATE("#Metadata!", ADDRESS(INDEX($L$2:$L$1001,MATCH(ROWS($J$2:J703),$J$2:$J$1001,0),0), INDEX($Q$1004:$U$1004,1,MATCH(COLUMNS($Q$1006:U1006),$Q$1006:$U$1006,0)))),"Fix")))</f>
        <v xml:space="preserve"> </v>
      </c>
      <c r="J703">
        <f ca="1"/>
        <v>702</v>
      </c>
      <c r="K703">
        <v>100703</v>
      </c>
      <c r="L703">
        <v>703</v>
      </c>
      <c r="M703" t="b">
        <f t="shared" si="10"/>
        <v>1</v>
      </c>
      <c r="N703" t="b">
        <f>COUNTBLANK(Metadata!B703:F703)=COLUMNS(Metadata!B703:F703)</f>
        <v>1</v>
      </c>
      <c r="O703" t="str">
        <v/>
      </c>
      <c r="Q703" t="b">
        <f ca="1"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R703" t="b">
        <f>IF(Metadata!C703="",FALSE,TRUE)</f>
        <v>0</v>
      </c>
      <c r="S703" t="b">
        <f>OR(AND(IF(Metadata!D703="",FALSE,TRUE),EXACT(Metadata!D703,"missing: not collected")),AND(IF(Metadata!D703="",FALSE,TRUE),OR(EXACT(Metadata!D703,"t"),EXACT(Metadata!D703,"f"))))</f>
        <v>0</v>
      </c>
      <c r="T703" t="b">
        <f>AND(IF(Metadata!E703="",FALSE,TRUE),OR(EXACT(Metadata!E703,"a"),EXACT(Metadata!E703,"b")))</f>
        <v>0</v>
      </c>
      <c r="U703" t="b">
        <f>OR(AND(IF(Metadata!F703="",FALSE,TRUE),OR(EXACT(Metadata!F703,"missing: not collected"),EXACT(Metadata!F703,"missing: not provided"))),AND(IF(Metadata!F703="",FALSE,TRUE),OR(EXACT(Metadata!F703,"lo"),EXACT(Metadata!F703,"med"),EXACT(Metadata!F703,"hi"))))</f>
        <v>0</v>
      </c>
    </row>
    <row r="704" spans="1:21" x14ac:dyDescent="0.2">
      <c r="A704" s="4" t="str">
        <f ca="1">IF(B704=" "," ",HYPERLINK(CONCATENATE("#metadata!",ADDRESS(INDEX($L$2:$L$1001,MATCH(ROWS($J$2:J704),$J$2:$J$1001,0),0),1)),INDEX($O$2:$O$1001,MATCH(ROWS($J$2:J704),$J$2:$J$1001,0),0)))</f>
        <v xml:space="preserve"> </v>
      </c>
      <c r="B704" s="3" t="str">
        <f ca="1">IF(OR(INDEX($K$2:$K$1001,MATCH(ROWS($J$2:J704),$J$2:$J$1001,0),1)&gt;=100000,INDEX($Q$1005:$U$1005,1,MATCH(COLUMNS($Q$1006:Q1006),$Q$1006:$U$1006,0))&gt;=100000), " ",IF(INDEX($Q$2:$U$1001,MATCH(ROWS($J$2:J704),$J$2:$J$1001,0),MATCH(COLUMNS($Q$1006:Q1006),$Q$1006:$U$1006,0)), HYPERLINK("#",""), HYPERLINK(CONCATENATE("#Metadata!", ADDRESS(INDEX($L$2:$L$1001,MATCH(ROWS($J$2:J704),$J$2:$J$1001,0),0), INDEX($Q$1004:$U$1004,1,MATCH(COLUMNS($Q$1006:Q1006),$Q$1006:$U$1006,0)))),"Fix")))</f>
        <v xml:space="preserve"> </v>
      </c>
      <c r="C704" s="3" t="str">
        <f ca="1">IF(OR(INDEX($K$2:$K$1001,MATCH(ROWS($J$2:J704),$J$2:$J$1001,0),1)&gt;=100000,INDEX($Q$1005:$U$1005,1,MATCH(COLUMNS($Q$1006:R1006),$Q$1006:$U$1006,0))&gt;=100000), " ",IF(INDEX($Q$2:$U$1001,MATCH(ROWS($J$2:J704),$J$2:$J$1001,0),MATCH(COLUMNS($Q$1006:R1006),$Q$1006:$U$1006,0)), HYPERLINK("#",""), HYPERLINK(CONCATENATE("#Metadata!", ADDRESS(INDEX($L$2:$L$1001,MATCH(ROWS($J$2:J704),$J$2:$J$1001,0),0), INDEX($Q$1004:$U$1004,1,MATCH(COLUMNS($Q$1006:R1006),$Q$1006:$U$1006,0)))),"Fix")))</f>
        <v xml:space="preserve"> </v>
      </c>
      <c r="D704" s="3" t="str">
        <f ca="1">IF(OR(INDEX($K$2:$K$1001,MATCH(ROWS($J$2:J704),$J$2:$J$1001,0),1)&gt;=100000,INDEX($Q$1005:$U$1005,1,MATCH(COLUMNS($Q$1006:S1006),$Q$1006:$U$1006,0))&gt;=100000), " ",IF(INDEX($Q$2:$U$1001,MATCH(ROWS($J$2:J704),$J$2:$J$1001,0),MATCH(COLUMNS($Q$1006:S1006),$Q$1006:$U$1006,0)), HYPERLINK("#",""), HYPERLINK(CONCATENATE("#Metadata!", ADDRESS(INDEX($L$2:$L$1001,MATCH(ROWS($J$2:J704),$J$2:$J$1001,0),0), INDEX($Q$1004:$U$1004,1,MATCH(COLUMNS($Q$1006:S1006),$Q$1006:$U$1006,0)))),"Fix")))</f>
        <v xml:space="preserve"> </v>
      </c>
      <c r="E704" s="3" t="str">
        <f ca="1">IF(OR(INDEX($K$2:$K$1001,MATCH(ROWS($J$2:J704),$J$2:$J$1001,0),1)&gt;=100000,INDEX($Q$1005:$U$1005,1,MATCH(COLUMNS($Q$1006:T1006),$Q$1006:$U$1006,0))&gt;=100000), " ",IF(INDEX($Q$2:$U$1001,MATCH(ROWS($J$2:J704),$J$2:$J$1001,0),MATCH(COLUMNS($Q$1006:T1006),$Q$1006:$U$1006,0)), HYPERLINK("#",""), HYPERLINK(CONCATENATE("#Metadata!", ADDRESS(INDEX($L$2:$L$1001,MATCH(ROWS($J$2:J704),$J$2:$J$1001,0),0), INDEX($Q$1004:$U$1004,1,MATCH(COLUMNS($Q$1006:T1006),$Q$1006:$U$1006,0)))),"Fix")))</f>
        <v xml:space="preserve"> </v>
      </c>
      <c r="F704" s="3" t="str">
        <f ca="1">IF(OR(INDEX($K$2:$K$1001,MATCH(ROWS($J$2:J704),$J$2:$J$1001,0),1)&gt;=100000,INDEX($Q$1005:$U$1005,1,MATCH(COLUMNS($Q$1006:U1006),$Q$1006:$U$1006,0))&gt;=100000), " ",IF(INDEX($Q$2:$U$1001,MATCH(ROWS($J$2:J704),$J$2:$J$1001,0),MATCH(COLUMNS($Q$1006:U1006),$Q$1006:$U$1006,0)), HYPERLINK("#",""), HYPERLINK(CONCATENATE("#Metadata!", ADDRESS(INDEX($L$2:$L$1001,MATCH(ROWS($J$2:J704),$J$2:$J$1001,0),0), INDEX($Q$1004:$U$1004,1,MATCH(COLUMNS($Q$1006:U1006),$Q$1006:$U$1006,0)))),"Fix")))</f>
        <v xml:space="preserve"> </v>
      </c>
      <c r="J704">
        <f ca="1"/>
        <v>703</v>
      </c>
      <c r="K704">
        <v>100704</v>
      </c>
      <c r="L704">
        <v>704</v>
      </c>
      <c r="M704" t="b">
        <f t="shared" si="10"/>
        <v>1</v>
      </c>
      <c r="N704" t="b">
        <f>COUNTBLANK(Metadata!B704:F704)=COLUMNS(Metadata!B704:F704)</f>
        <v>1</v>
      </c>
      <c r="O704" t="str">
        <v/>
      </c>
      <c r="Q704" t="b">
        <f ca="1"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R704" t="b">
        <f>IF(Metadata!C704="",FALSE,TRUE)</f>
        <v>0</v>
      </c>
      <c r="S704" t="b">
        <f>OR(AND(IF(Metadata!D704="",FALSE,TRUE),EXACT(Metadata!D704,"missing: not collected")),AND(IF(Metadata!D704="",FALSE,TRUE),OR(EXACT(Metadata!D704,"t"),EXACT(Metadata!D704,"f"))))</f>
        <v>0</v>
      </c>
      <c r="T704" t="b">
        <f>AND(IF(Metadata!E704="",FALSE,TRUE),OR(EXACT(Metadata!E704,"a"),EXACT(Metadata!E704,"b")))</f>
        <v>0</v>
      </c>
      <c r="U704" t="b">
        <f>OR(AND(IF(Metadata!F704="",FALSE,TRUE),OR(EXACT(Metadata!F704,"missing: not collected"),EXACT(Metadata!F704,"missing: not provided"))),AND(IF(Metadata!F704="",FALSE,TRUE),OR(EXACT(Metadata!F704,"lo"),EXACT(Metadata!F704,"med"),EXACT(Metadata!F704,"hi"))))</f>
        <v>0</v>
      </c>
    </row>
    <row r="705" spans="1:21" x14ac:dyDescent="0.2">
      <c r="A705" s="4" t="str">
        <f ca="1">IF(B705=" "," ",HYPERLINK(CONCATENATE("#metadata!",ADDRESS(INDEX($L$2:$L$1001,MATCH(ROWS($J$2:J705),$J$2:$J$1001,0),0),1)),INDEX($O$2:$O$1001,MATCH(ROWS($J$2:J705),$J$2:$J$1001,0),0)))</f>
        <v xml:space="preserve"> </v>
      </c>
      <c r="B705" s="3" t="str">
        <f ca="1">IF(OR(INDEX($K$2:$K$1001,MATCH(ROWS($J$2:J705),$J$2:$J$1001,0),1)&gt;=100000,INDEX($Q$1005:$U$1005,1,MATCH(COLUMNS($Q$1006:Q1006),$Q$1006:$U$1006,0))&gt;=100000), " ",IF(INDEX($Q$2:$U$1001,MATCH(ROWS($J$2:J705),$J$2:$J$1001,0),MATCH(COLUMNS($Q$1006:Q1006),$Q$1006:$U$1006,0)), HYPERLINK("#",""), HYPERLINK(CONCATENATE("#Metadata!", ADDRESS(INDEX($L$2:$L$1001,MATCH(ROWS($J$2:J705),$J$2:$J$1001,0),0), INDEX($Q$1004:$U$1004,1,MATCH(COLUMNS($Q$1006:Q1006),$Q$1006:$U$1006,0)))),"Fix")))</f>
        <v xml:space="preserve"> </v>
      </c>
      <c r="C705" s="3" t="str">
        <f ca="1">IF(OR(INDEX($K$2:$K$1001,MATCH(ROWS($J$2:J705),$J$2:$J$1001,0),1)&gt;=100000,INDEX($Q$1005:$U$1005,1,MATCH(COLUMNS($Q$1006:R1006),$Q$1006:$U$1006,0))&gt;=100000), " ",IF(INDEX($Q$2:$U$1001,MATCH(ROWS($J$2:J705),$J$2:$J$1001,0),MATCH(COLUMNS($Q$1006:R1006),$Q$1006:$U$1006,0)), HYPERLINK("#",""), HYPERLINK(CONCATENATE("#Metadata!", ADDRESS(INDEX($L$2:$L$1001,MATCH(ROWS($J$2:J705),$J$2:$J$1001,0),0), INDEX($Q$1004:$U$1004,1,MATCH(COLUMNS($Q$1006:R1006),$Q$1006:$U$1006,0)))),"Fix")))</f>
        <v xml:space="preserve"> </v>
      </c>
      <c r="D705" s="3" t="str">
        <f ca="1">IF(OR(INDEX($K$2:$K$1001,MATCH(ROWS($J$2:J705),$J$2:$J$1001,0),1)&gt;=100000,INDEX($Q$1005:$U$1005,1,MATCH(COLUMNS($Q$1006:S1006),$Q$1006:$U$1006,0))&gt;=100000), " ",IF(INDEX($Q$2:$U$1001,MATCH(ROWS($J$2:J705),$J$2:$J$1001,0),MATCH(COLUMNS($Q$1006:S1006),$Q$1006:$U$1006,0)), HYPERLINK("#",""), HYPERLINK(CONCATENATE("#Metadata!", ADDRESS(INDEX($L$2:$L$1001,MATCH(ROWS($J$2:J705),$J$2:$J$1001,0),0), INDEX($Q$1004:$U$1004,1,MATCH(COLUMNS($Q$1006:S1006),$Q$1006:$U$1006,0)))),"Fix")))</f>
        <v xml:space="preserve"> </v>
      </c>
      <c r="E705" s="3" t="str">
        <f ca="1">IF(OR(INDEX($K$2:$K$1001,MATCH(ROWS($J$2:J705),$J$2:$J$1001,0),1)&gt;=100000,INDEX($Q$1005:$U$1005,1,MATCH(COLUMNS($Q$1006:T1006),$Q$1006:$U$1006,0))&gt;=100000), " ",IF(INDEX($Q$2:$U$1001,MATCH(ROWS($J$2:J705),$J$2:$J$1001,0),MATCH(COLUMNS($Q$1006:T1006),$Q$1006:$U$1006,0)), HYPERLINK("#",""), HYPERLINK(CONCATENATE("#Metadata!", ADDRESS(INDEX($L$2:$L$1001,MATCH(ROWS($J$2:J705),$J$2:$J$1001,0),0), INDEX($Q$1004:$U$1004,1,MATCH(COLUMNS($Q$1006:T1006),$Q$1006:$U$1006,0)))),"Fix")))</f>
        <v xml:space="preserve"> </v>
      </c>
      <c r="F705" s="3" t="str">
        <f ca="1">IF(OR(INDEX($K$2:$K$1001,MATCH(ROWS($J$2:J705),$J$2:$J$1001,0),1)&gt;=100000,INDEX($Q$1005:$U$1005,1,MATCH(COLUMNS($Q$1006:U1006),$Q$1006:$U$1006,0))&gt;=100000), " ",IF(INDEX($Q$2:$U$1001,MATCH(ROWS($J$2:J705),$J$2:$J$1001,0),MATCH(COLUMNS($Q$1006:U1006),$Q$1006:$U$1006,0)), HYPERLINK("#",""), HYPERLINK(CONCATENATE("#Metadata!", ADDRESS(INDEX($L$2:$L$1001,MATCH(ROWS($J$2:J705),$J$2:$J$1001,0),0), INDEX($Q$1004:$U$1004,1,MATCH(COLUMNS($Q$1006:U1006),$Q$1006:$U$1006,0)))),"Fix")))</f>
        <v xml:space="preserve"> </v>
      </c>
      <c r="J705">
        <f ca="1"/>
        <v>704</v>
      </c>
      <c r="K705">
        <v>100705</v>
      </c>
      <c r="L705">
        <v>705</v>
      </c>
      <c r="M705" t="b">
        <f t="shared" si="10"/>
        <v>1</v>
      </c>
      <c r="N705" t="b">
        <f>COUNTBLANK(Metadata!B705:F705)=COLUMNS(Metadata!B705:F705)</f>
        <v>1</v>
      </c>
      <c r="O705" t="str">
        <v/>
      </c>
      <c r="Q705" t="b">
        <f ca="1"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R705" t="b">
        <f>IF(Metadata!C705="",FALSE,TRUE)</f>
        <v>0</v>
      </c>
      <c r="S705" t="b">
        <f>OR(AND(IF(Metadata!D705="",FALSE,TRUE),EXACT(Metadata!D705,"missing: not collected")),AND(IF(Metadata!D705="",FALSE,TRUE),OR(EXACT(Metadata!D705,"t"),EXACT(Metadata!D705,"f"))))</f>
        <v>0</v>
      </c>
      <c r="T705" t="b">
        <f>AND(IF(Metadata!E705="",FALSE,TRUE),OR(EXACT(Metadata!E705,"a"),EXACT(Metadata!E705,"b")))</f>
        <v>0</v>
      </c>
      <c r="U705" t="b">
        <f>OR(AND(IF(Metadata!F705="",FALSE,TRUE),OR(EXACT(Metadata!F705,"missing: not collected"),EXACT(Metadata!F705,"missing: not provided"))),AND(IF(Metadata!F705="",FALSE,TRUE),OR(EXACT(Metadata!F705,"lo"),EXACT(Metadata!F705,"med"),EXACT(Metadata!F705,"hi"))))</f>
        <v>0</v>
      </c>
    </row>
    <row r="706" spans="1:21" x14ac:dyDescent="0.2">
      <c r="A706" s="4" t="str">
        <f ca="1">IF(B706=" "," ",HYPERLINK(CONCATENATE("#metadata!",ADDRESS(INDEX($L$2:$L$1001,MATCH(ROWS($J$2:J706),$J$2:$J$1001,0),0),1)),INDEX($O$2:$O$1001,MATCH(ROWS($J$2:J706),$J$2:$J$1001,0),0)))</f>
        <v xml:space="preserve"> </v>
      </c>
      <c r="B706" s="3" t="str">
        <f ca="1">IF(OR(INDEX($K$2:$K$1001,MATCH(ROWS($J$2:J706),$J$2:$J$1001,0),1)&gt;=100000,INDEX($Q$1005:$U$1005,1,MATCH(COLUMNS($Q$1006:Q1006),$Q$1006:$U$1006,0))&gt;=100000), " ",IF(INDEX($Q$2:$U$1001,MATCH(ROWS($J$2:J706),$J$2:$J$1001,0),MATCH(COLUMNS($Q$1006:Q1006),$Q$1006:$U$1006,0)), HYPERLINK("#",""), HYPERLINK(CONCATENATE("#Metadata!", ADDRESS(INDEX($L$2:$L$1001,MATCH(ROWS($J$2:J706),$J$2:$J$1001,0),0), INDEX($Q$1004:$U$1004,1,MATCH(COLUMNS($Q$1006:Q1006),$Q$1006:$U$1006,0)))),"Fix")))</f>
        <v xml:space="preserve"> </v>
      </c>
      <c r="C706" s="3" t="str">
        <f ca="1">IF(OR(INDEX($K$2:$K$1001,MATCH(ROWS($J$2:J706),$J$2:$J$1001,0),1)&gt;=100000,INDEX($Q$1005:$U$1005,1,MATCH(COLUMNS($Q$1006:R1006),$Q$1006:$U$1006,0))&gt;=100000), " ",IF(INDEX($Q$2:$U$1001,MATCH(ROWS($J$2:J706),$J$2:$J$1001,0),MATCH(COLUMNS($Q$1006:R1006),$Q$1006:$U$1006,0)), HYPERLINK("#",""), HYPERLINK(CONCATENATE("#Metadata!", ADDRESS(INDEX($L$2:$L$1001,MATCH(ROWS($J$2:J706),$J$2:$J$1001,0),0), INDEX($Q$1004:$U$1004,1,MATCH(COLUMNS($Q$1006:R1006),$Q$1006:$U$1006,0)))),"Fix")))</f>
        <v xml:space="preserve"> </v>
      </c>
      <c r="D706" s="3" t="str">
        <f ca="1">IF(OR(INDEX($K$2:$K$1001,MATCH(ROWS($J$2:J706),$J$2:$J$1001,0),1)&gt;=100000,INDEX($Q$1005:$U$1005,1,MATCH(COLUMNS($Q$1006:S1006),$Q$1006:$U$1006,0))&gt;=100000), " ",IF(INDEX($Q$2:$U$1001,MATCH(ROWS($J$2:J706),$J$2:$J$1001,0),MATCH(COLUMNS($Q$1006:S1006),$Q$1006:$U$1006,0)), HYPERLINK("#",""), HYPERLINK(CONCATENATE("#Metadata!", ADDRESS(INDEX($L$2:$L$1001,MATCH(ROWS($J$2:J706),$J$2:$J$1001,0),0), INDEX($Q$1004:$U$1004,1,MATCH(COLUMNS($Q$1006:S1006),$Q$1006:$U$1006,0)))),"Fix")))</f>
        <v xml:space="preserve"> </v>
      </c>
      <c r="E706" s="3" t="str">
        <f ca="1">IF(OR(INDEX($K$2:$K$1001,MATCH(ROWS($J$2:J706),$J$2:$J$1001,0),1)&gt;=100000,INDEX($Q$1005:$U$1005,1,MATCH(COLUMNS($Q$1006:T1006),$Q$1006:$U$1006,0))&gt;=100000), " ",IF(INDEX($Q$2:$U$1001,MATCH(ROWS($J$2:J706),$J$2:$J$1001,0),MATCH(COLUMNS($Q$1006:T1006),$Q$1006:$U$1006,0)), HYPERLINK("#",""), HYPERLINK(CONCATENATE("#Metadata!", ADDRESS(INDEX($L$2:$L$1001,MATCH(ROWS($J$2:J706),$J$2:$J$1001,0),0), INDEX($Q$1004:$U$1004,1,MATCH(COLUMNS($Q$1006:T1006),$Q$1006:$U$1006,0)))),"Fix")))</f>
        <v xml:space="preserve"> </v>
      </c>
      <c r="F706" s="3" t="str">
        <f ca="1">IF(OR(INDEX($K$2:$K$1001,MATCH(ROWS($J$2:J706),$J$2:$J$1001,0),1)&gt;=100000,INDEX($Q$1005:$U$1005,1,MATCH(COLUMNS($Q$1006:U1006),$Q$1006:$U$1006,0))&gt;=100000), " ",IF(INDEX($Q$2:$U$1001,MATCH(ROWS($J$2:J706),$J$2:$J$1001,0),MATCH(COLUMNS($Q$1006:U1006),$Q$1006:$U$1006,0)), HYPERLINK("#",""), HYPERLINK(CONCATENATE("#Metadata!", ADDRESS(INDEX($L$2:$L$1001,MATCH(ROWS($J$2:J706),$J$2:$J$1001,0),0), INDEX($Q$1004:$U$1004,1,MATCH(COLUMNS($Q$1006:U1006),$Q$1006:$U$1006,0)))),"Fix")))</f>
        <v xml:space="preserve"> </v>
      </c>
      <c r="J706">
        <f ca="1"/>
        <v>705</v>
      </c>
      <c r="K706">
        <v>100706</v>
      </c>
      <c r="L706">
        <v>706</v>
      </c>
      <c r="M706" t="b">
        <f t="shared" ref="M706:M769" si="11">IF(N706,TRUE,AND(Q706:U706))</f>
        <v>1</v>
      </c>
      <c r="N706" t="b">
        <f>COUNTBLANK(Metadata!B706:F706)=COLUMNS(Metadata!B706:F706)</f>
        <v>1</v>
      </c>
      <c r="O706" t="str">
        <v/>
      </c>
      <c r="Q706" t="b">
        <f ca="1"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R706" t="b">
        <f>IF(Metadata!C706="",FALSE,TRUE)</f>
        <v>0</v>
      </c>
      <c r="S706" t="b">
        <f>OR(AND(IF(Metadata!D706="",FALSE,TRUE),EXACT(Metadata!D706,"missing: not collected")),AND(IF(Metadata!D706="",FALSE,TRUE),OR(EXACT(Metadata!D706,"t"),EXACT(Metadata!D706,"f"))))</f>
        <v>0</v>
      </c>
      <c r="T706" t="b">
        <f>AND(IF(Metadata!E706="",FALSE,TRUE),OR(EXACT(Metadata!E706,"a"),EXACT(Metadata!E706,"b")))</f>
        <v>0</v>
      </c>
      <c r="U706" t="b">
        <f>OR(AND(IF(Metadata!F706="",FALSE,TRUE),OR(EXACT(Metadata!F706,"missing: not collected"),EXACT(Metadata!F706,"missing: not provided"))),AND(IF(Metadata!F706="",FALSE,TRUE),OR(EXACT(Metadata!F706,"lo"),EXACT(Metadata!F706,"med"),EXACT(Metadata!F706,"hi"))))</f>
        <v>0</v>
      </c>
    </row>
    <row r="707" spans="1:21" x14ac:dyDescent="0.2">
      <c r="A707" s="4" t="str">
        <f ca="1">IF(B707=" "," ",HYPERLINK(CONCATENATE("#metadata!",ADDRESS(INDEX($L$2:$L$1001,MATCH(ROWS($J$2:J707),$J$2:$J$1001,0),0),1)),INDEX($O$2:$O$1001,MATCH(ROWS($J$2:J707),$J$2:$J$1001,0),0)))</f>
        <v xml:space="preserve"> </v>
      </c>
      <c r="B707" s="3" t="str">
        <f ca="1">IF(OR(INDEX($K$2:$K$1001,MATCH(ROWS($J$2:J707),$J$2:$J$1001,0),1)&gt;=100000,INDEX($Q$1005:$U$1005,1,MATCH(COLUMNS($Q$1006:Q1006),$Q$1006:$U$1006,0))&gt;=100000), " ",IF(INDEX($Q$2:$U$1001,MATCH(ROWS($J$2:J707),$J$2:$J$1001,0),MATCH(COLUMNS($Q$1006:Q1006),$Q$1006:$U$1006,0)), HYPERLINK("#",""), HYPERLINK(CONCATENATE("#Metadata!", ADDRESS(INDEX($L$2:$L$1001,MATCH(ROWS($J$2:J707),$J$2:$J$1001,0),0), INDEX($Q$1004:$U$1004,1,MATCH(COLUMNS($Q$1006:Q1006),$Q$1006:$U$1006,0)))),"Fix")))</f>
        <v xml:space="preserve"> </v>
      </c>
      <c r="C707" s="3" t="str">
        <f ca="1">IF(OR(INDEX($K$2:$K$1001,MATCH(ROWS($J$2:J707),$J$2:$J$1001,0),1)&gt;=100000,INDEX($Q$1005:$U$1005,1,MATCH(COLUMNS($Q$1006:R1006),$Q$1006:$U$1006,0))&gt;=100000), " ",IF(INDEX($Q$2:$U$1001,MATCH(ROWS($J$2:J707),$J$2:$J$1001,0),MATCH(COLUMNS($Q$1006:R1006),$Q$1006:$U$1006,0)), HYPERLINK("#",""), HYPERLINK(CONCATENATE("#Metadata!", ADDRESS(INDEX($L$2:$L$1001,MATCH(ROWS($J$2:J707),$J$2:$J$1001,0),0), INDEX($Q$1004:$U$1004,1,MATCH(COLUMNS($Q$1006:R1006),$Q$1006:$U$1006,0)))),"Fix")))</f>
        <v xml:space="preserve"> </v>
      </c>
      <c r="D707" s="3" t="str">
        <f ca="1">IF(OR(INDEX($K$2:$K$1001,MATCH(ROWS($J$2:J707),$J$2:$J$1001,0),1)&gt;=100000,INDEX($Q$1005:$U$1005,1,MATCH(COLUMNS($Q$1006:S1006),$Q$1006:$U$1006,0))&gt;=100000), " ",IF(INDEX($Q$2:$U$1001,MATCH(ROWS($J$2:J707),$J$2:$J$1001,0),MATCH(COLUMNS($Q$1006:S1006),$Q$1006:$U$1006,0)), HYPERLINK("#",""), HYPERLINK(CONCATENATE("#Metadata!", ADDRESS(INDEX($L$2:$L$1001,MATCH(ROWS($J$2:J707),$J$2:$J$1001,0),0), INDEX($Q$1004:$U$1004,1,MATCH(COLUMNS($Q$1006:S1006),$Q$1006:$U$1006,0)))),"Fix")))</f>
        <v xml:space="preserve"> </v>
      </c>
      <c r="E707" s="3" t="str">
        <f ca="1">IF(OR(INDEX($K$2:$K$1001,MATCH(ROWS($J$2:J707),$J$2:$J$1001,0),1)&gt;=100000,INDEX($Q$1005:$U$1005,1,MATCH(COLUMNS($Q$1006:T1006),$Q$1006:$U$1006,0))&gt;=100000), " ",IF(INDEX($Q$2:$U$1001,MATCH(ROWS($J$2:J707),$J$2:$J$1001,0),MATCH(COLUMNS($Q$1006:T1006),$Q$1006:$U$1006,0)), HYPERLINK("#",""), HYPERLINK(CONCATENATE("#Metadata!", ADDRESS(INDEX($L$2:$L$1001,MATCH(ROWS($J$2:J707),$J$2:$J$1001,0),0), INDEX($Q$1004:$U$1004,1,MATCH(COLUMNS($Q$1006:T1006),$Q$1006:$U$1006,0)))),"Fix")))</f>
        <v xml:space="preserve"> </v>
      </c>
      <c r="F707" s="3" t="str">
        <f ca="1">IF(OR(INDEX($K$2:$K$1001,MATCH(ROWS($J$2:J707),$J$2:$J$1001,0),1)&gt;=100000,INDEX($Q$1005:$U$1005,1,MATCH(COLUMNS($Q$1006:U1006),$Q$1006:$U$1006,0))&gt;=100000), " ",IF(INDEX($Q$2:$U$1001,MATCH(ROWS($J$2:J707),$J$2:$J$1001,0),MATCH(COLUMNS($Q$1006:U1006),$Q$1006:$U$1006,0)), HYPERLINK("#",""), HYPERLINK(CONCATENATE("#Metadata!", ADDRESS(INDEX($L$2:$L$1001,MATCH(ROWS($J$2:J707),$J$2:$J$1001,0),0), INDEX($Q$1004:$U$1004,1,MATCH(COLUMNS($Q$1006:U1006),$Q$1006:$U$1006,0)))),"Fix")))</f>
        <v xml:space="preserve"> </v>
      </c>
      <c r="J707">
        <f ca="1"/>
        <v>706</v>
      </c>
      <c r="K707">
        <v>100707</v>
      </c>
      <c r="L707">
        <v>707</v>
      </c>
      <c r="M707" t="b">
        <f t="shared" si="11"/>
        <v>1</v>
      </c>
      <c r="N707" t="b">
        <f>COUNTBLANK(Metadata!B707:F707)=COLUMNS(Metadata!B707:F707)</f>
        <v>1</v>
      </c>
      <c r="O707" t="str">
        <v/>
      </c>
      <c r="Q707" t="b">
        <f ca="1"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R707" t="b">
        <f>IF(Metadata!C707="",FALSE,TRUE)</f>
        <v>0</v>
      </c>
      <c r="S707" t="b">
        <f>OR(AND(IF(Metadata!D707="",FALSE,TRUE),EXACT(Metadata!D707,"missing: not collected")),AND(IF(Metadata!D707="",FALSE,TRUE),OR(EXACT(Metadata!D707,"t"),EXACT(Metadata!D707,"f"))))</f>
        <v>0</v>
      </c>
      <c r="T707" t="b">
        <f>AND(IF(Metadata!E707="",FALSE,TRUE),OR(EXACT(Metadata!E707,"a"),EXACT(Metadata!E707,"b")))</f>
        <v>0</v>
      </c>
      <c r="U707" t="b">
        <f>OR(AND(IF(Metadata!F707="",FALSE,TRUE),OR(EXACT(Metadata!F707,"missing: not collected"),EXACT(Metadata!F707,"missing: not provided"))),AND(IF(Metadata!F707="",FALSE,TRUE),OR(EXACT(Metadata!F707,"lo"),EXACT(Metadata!F707,"med"),EXACT(Metadata!F707,"hi"))))</f>
        <v>0</v>
      </c>
    </row>
    <row r="708" spans="1:21" x14ac:dyDescent="0.2">
      <c r="A708" s="4" t="str">
        <f ca="1">IF(B708=" "," ",HYPERLINK(CONCATENATE("#metadata!",ADDRESS(INDEX($L$2:$L$1001,MATCH(ROWS($J$2:J708),$J$2:$J$1001,0),0),1)),INDEX($O$2:$O$1001,MATCH(ROWS($J$2:J708),$J$2:$J$1001,0),0)))</f>
        <v xml:space="preserve"> </v>
      </c>
      <c r="B708" s="3" t="str">
        <f ca="1">IF(OR(INDEX($K$2:$K$1001,MATCH(ROWS($J$2:J708),$J$2:$J$1001,0),1)&gt;=100000,INDEX($Q$1005:$U$1005,1,MATCH(COLUMNS($Q$1006:Q1006),$Q$1006:$U$1006,0))&gt;=100000), " ",IF(INDEX($Q$2:$U$1001,MATCH(ROWS($J$2:J708),$J$2:$J$1001,0),MATCH(COLUMNS($Q$1006:Q1006),$Q$1006:$U$1006,0)), HYPERLINK("#",""), HYPERLINK(CONCATENATE("#Metadata!", ADDRESS(INDEX($L$2:$L$1001,MATCH(ROWS($J$2:J708),$J$2:$J$1001,0),0), INDEX($Q$1004:$U$1004,1,MATCH(COLUMNS($Q$1006:Q1006),$Q$1006:$U$1006,0)))),"Fix")))</f>
        <v xml:space="preserve"> </v>
      </c>
      <c r="C708" s="3" t="str">
        <f ca="1">IF(OR(INDEX($K$2:$K$1001,MATCH(ROWS($J$2:J708),$J$2:$J$1001,0),1)&gt;=100000,INDEX($Q$1005:$U$1005,1,MATCH(COLUMNS($Q$1006:R1006),$Q$1006:$U$1006,0))&gt;=100000), " ",IF(INDEX($Q$2:$U$1001,MATCH(ROWS($J$2:J708),$J$2:$J$1001,0),MATCH(COLUMNS($Q$1006:R1006),$Q$1006:$U$1006,0)), HYPERLINK("#",""), HYPERLINK(CONCATENATE("#Metadata!", ADDRESS(INDEX($L$2:$L$1001,MATCH(ROWS($J$2:J708),$J$2:$J$1001,0),0), INDEX($Q$1004:$U$1004,1,MATCH(COLUMNS($Q$1006:R1006),$Q$1006:$U$1006,0)))),"Fix")))</f>
        <v xml:space="preserve"> </v>
      </c>
      <c r="D708" s="3" t="str">
        <f ca="1">IF(OR(INDEX($K$2:$K$1001,MATCH(ROWS($J$2:J708),$J$2:$J$1001,0),1)&gt;=100000,INDEX($Q$1005:$U$1005,1,MATCH(COLUMNS($Q$1006:S1006),$Q$1006:$U$1006,0))&gt;=100000), " ",IF(INDEX($Q$2:$U$1001,MATCH(ROWS($J$2:J708),$J$2:$J$1001,0),MATCH(COLUMNS($Q$1006:S1006),$Q$1006:$U$1006,0)), HYPERLINK("#",""), HYPERLINK(CONCATENATE("#Metadata!", ADDRESS(INDEX($L$2:$L$1001,MATCH(ROWS($J$2:J708),$J$2:$J$1001,0),0), INDEX($Q$1004:$U$1004,1,MATCH(COLUMNS($Q$1006:S1006),$Q$1006:$U$1006,0)))),"Fix")))</f>
        <v xml:space="preserve"> </v>
      </c>
      <c r="E708" s="3" t="str">
        <f ca="1">IF(OR(INDEX($K$2:$K$1001,MATCH(ROWS($J$2:J708),$J$2:$J$1001,0),1)&gt;=100000,INDEX($Q$1005:$U$1005,1,MATCH(COLUMNS($Q$1006:T1006),$Q$1006:$U$1006,0))&gt;=100000), " ",IF(INDEX($Q$2:$U$1001,MATCH(ROWS($J$2:J708),$J$2:$J$1001,0),MATCH(COLUMNS($Q$1006:T1006),$Q$1006:$U$1006,0)), HYPERLINK("#",""), HYPERLINK(CONCATENATE("#Metadata!", ADDRESS(INDEX($L$2:$L$1001,MATCH(ROWS($J$2:J708),$J$2:$J$1001,0),0), INDEX($Q$1004:$U$1004,1,MATCH(COLUMNS($Q$1006:T1006),$Q$1006:$U$1006,0)))),"Fix")))</f>
        <v xml:space="preserve"> </v>
      </c>
      <c r="F708" s="3" t="str">
        <f ca="1">IF(OR(INDEX($K$2:$K$1001,MATCH(ROWS($J$2:J708),$J$2:$J$1001,0),1)&gt;=100000,INDEX($Q$1005:$U$1005,1,MATCH(COLUMNS($Q$1006:U1006),$Q$1006:$U$1006,0))&gt;=100000), " ",IF(INDEX($Q$2:$U$1001,MATCH(ROWS($J$2:J708),$J$2:$J$1001,0),MATCH(COLUMNS($Q$1006:U1006),$Q$1006:$U$1006,0)), HYPERLINK("#",""), HYPERLINK(CONCATENATE("#Metadata!", ADDRESS(INDEX($L$2:$L$1001,MATCH(ROWS($J$2:J708),$J$2:$J$1001,0),0), INDEX($Q$1004:$U$1004,1,MATCH(COLUMNS($Q$1006:U1006),$Q$1006:$U$1006,0)))),"Fix")))</f>
        <v xml:space="preserve"> </v>
      </c>
      <c r="J708">
        <f ca="1"/>
        <v>707</v>
      </c>
      <c r="K708">
        <v>100708</v>
      </c>
      <c r="L708">
        <v>708</v>
      </c>
      <c r="M708" t="b">
        <f t="shared" si="11"/>
        <v>1</v>
      </c>
      <c r="N708" t="b">
        <f>COUNTBLANK(Metadata!B708:F708)=COLUMNS(Metadata!B708:F708)</f>
        <v>1</v>
      </c>
      <c r="O708" t="str">
        <v/>
      </c>
      <c r="Q708" t="b">
        <f ca="1"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R708" t="b">
        <f>IF(Metadata!C708="",FALSE,TRUE)</f>
        <v>0</v>
      </c>
      <c r="S708" t="b">
        <f>OR(AND(IF(Metadata!D708="",FALSE,TRUE),EXACT(Metadata!D708,"missing: not collected")),AND(IF(Metadata!D708="",FALSE,TRUE),OR(EXACT(Metadata!D708,"t"),EXACT(Metadata!D708,"f"))))</f>
        <v>0</v>
      </c>
      <c r="T708" t="b">
        <f>AND(IF(Metadata!E708="",FALSE,TRUE),OR(EXACT(Metadata!E708,"a"),EXACT(Metadata!E708,"b")))</f>
        <v>0</v>
      </c>
      <c r="U708" t="b">
        <f>OR(AND(IF(Metadata!F708="",FALSE,TRUE),OR(EXACT(Metadata!F708,"missing: not collected"),EXACT(Metadata!F708,"missing: not provided"))),AND(IF(Metadata!F708="",FALSE,TRUE),OR(EXACT(Metadata!F708,"lo"),EXACT(Metadata!F708,"med"),EXACT(Metadata!F708,"hi"))))</f>
        <v>0</v>
      </c>
    </row>
    <row r="709" spans="1:21" x14ac:dyDescent="0.2">
      <c r="A709" s="4" t="str">
        <f ca="1">IF(B709=" "," ",HYPERLINK(CONCATENATE("#metadata!",ADDRESS(INDEX($L$2:$L$1001,MATCH(ROWS($J$2:J709),$J$2:$J$1001,0),0),1)),INDEX($O$2:$O$1001,MATCH(ROWS($J$2:J709),$J$2:$J$1001,0),0)))</f>
        <v xml:space="preserve"> </v>
      </c>
      <c r="B709" s="3" t="str">
        <f ca="1">IF(OR(INDEX($K$2:$K$1001,MATCH(ROWS($J$2:J709),$J$2:$J$1001,0),1)&gt;=100000,INDEX($Q$1005:$U$1005,1,MATCH(COLUMNS($Q$1006:Q1006),$Q$1006:$U$1006,0))&gt;=100000), " ",IF(INDEX($Q$2:$U$1001,MATCH(ROWS($J$2:J709),$J$2:$J$1001,0),MATCH(COLUMNS($Q$1006:Q1006),$Q$1006:$U$1006,0)), HYPERLINK("#",""), HYPERLINK(CONCATENATE("#Metadata!", ADDRESS(INDEX($L$2:$L$1001,MATCH(ROWS($J$2:J709),$J$2:$J$1001,0),0), INDEX($Q$1004:$U$1004,1,MATCH(COLUMNS($Q$1006:Q1006),$Q$1006:$U$1006,0)))),"Fix")))</f>
        <v xml:space="preserve"> </v>
      </c>
      <c r="C709" s="3" t="str">
        <f ca="1">IF(OR(INDEX($K$2:$K$1001,MATCH(ROWS($J$2:J709),$J$2:$J$1001,0),1)&gt;=100000,INDEX($Q$1005:$U$1005,1,MATCH(COLUMNS($Q$1006:R1006),$Q$1006:$U$1006,0))&gt;=100000), " ",IF(INDEX($Q$2:$U$1001,MATCH(ROWS($J$2:J709),$J$2:$J$1001,0),MATCH(COLUMNS($Q$1006:R1006),$Q$1006:$U$1006,0)), HYPERLINK("#",""), HYPERLINK(CONCATENATE("#Metadata!", ADDRESS(INDEX($L$2:$L$1001,MATCH(ROWS($J$2:J709),$J$2:$J$1001,0),0), INDEX($Q$1004:$U$1004,1,MATCH(COLUMNS($Q$1006:R1006),$Q$1006:$U$1006,0)))),"Fix")))</f>
        <v xml:space="preserve"> </v>
      </c>
      <c r="D709" s="3" t="str">
        <f ca="1">IF(OR(INDEX($K$2:$K$1001,MATCH(ROWS($J$2:J709),$J$2:$J$1001,0),1)&gt;=100000,INDEX($Q$1005:$U$1005,1,MATCH(COLUMNS($Q$1006:S1006),$Q$1006:$U$1006,0))&gt;=100000), " ",IF(INDEX($Q$2:$U$1001,MATCH(ROWS($J$2:J709),$J$2:$J$1001,0),MATCH(COLUMNS($Q$1006:S1006),$Q$1006:$U$1006,0)), HYPERLINK("#",""), HYPERLINK(CONCATENATE("#Metadata!", ADDRESS(INDEX($L$2:$L$1001,MATCH(ROWS($J$2:J709),$J$2:$J$1001,0),0), INDEX($Q$1004:$U$1004,1,MATCH(COLUMNS($Q$1006:S1006),$Q$1006:$U$1006,0)))),"Fix")))</f>
        <v xml:space="preserve"> </v>
      </c>
      <c r="E709" s="3" t="str">
        <f ca="1">IF(OR(INDEX($K$2:$K$1001,MATCH(ROWS($J$2:J709),$J$2:$J$1001,0),1)&gt;=100000,INDEX($Q$1005:$U$1005,1,MATCH(COLUMNS($Q$1006:T1006),$Q$1006:$U$1006,0))&gt;=100000), " ",IF(INDEX($Q$2:$U$1001,MATCH(ROWS($J$2:J709),$J$2:$J$1001,0),MATCH(COLUMNS($Q$1006:T1006),$Q$1006:$U$1006,0)), HYPERLINK("#",""), HYPERLINK(CONCATENATE("#Metadata!", ADDRESS(INDEX($L$2:$L$1001,MATCH(ROWS($J$2:J709),$J$2:$J$1001,0),0), INDEX($Q$1004:$U$1004,1,MATCH(COLUMNS($Q$1006:T1006),$Q$1006:$U$1006,0)))),"Fix")))</f>
        <v xml:space="preserve"> </v>
      </c>
      <c r="F709" s="3" t="str">
        <f ca="1">IF(OR(INDEX($K$2:$K$1001,MATCH(ROWS($J$2:J709),$J$2:$J$1001,0),1)&gt;=100000,INDEX($Q$1005:$U$1005,1,MATCH(COLUMNS($Q$1006:U1006),$Q$1006:$U$1006,0))&gt;=100000), " ",IF(INDEX($Q$2:$U$1001,MATCH(ROWS($J$2:J709),$J$2:$J$1001,0),MATCH(COLUMNS($Q$1006:U1006),$Q$1006:$U$1006,0)), HYPERLINK("#",""), HYPERLINK(CONCATENATE("#Metadata!", ADDRESS(INDEX($L$2:$L$1001,MATCH(ROWS($J$2:J709),$J$2:$J$1001,0),0), INDEX($Q$1004:$U$1004,1,MATCH(COLUMNS($Q$1006:U1006),$Q$1006:$U$1006,0)))),"Fix")))</f>
        <v xml:space="preserve"> </v>
      </c>
      <c r="J709">
        <f ca="1"/>
        <v>708</v>
      </c>
      <c r="K709">
        <v>100709</v>
      </c>
      <c r="L709">
        <v>709</v>
      </c>
      <c r="M709" t="b">
        <f t="shared" si="11"/>
        <v>1</v>
      </c>
      <c r="N709" t="b">
        <f>COUNTBLANK(Metadata!B709:F709)=COLUMNS(Metadata!B709:F709)</f>
        <v>1</v>
      </c>
      <c r="O709" t="str">
        <v/>
      </c>
      <c r="Q709" t="b">
        <f ca="1"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R709" t="b">
        <f>IF(Metadata!C709="",FALSE,TRUE)</f>
        <v>0</v>
      </c>
      <c r="S709" t="b">
        <f>OR(AND(IF(Metadata!D709="",FALSE,TRUE),EXACT(Metadata!D709,"missing: not collected")),AND(IF(Metadata!D709="",FALSE,TRUE),OR(EXACT(Metadata!D709,"t"),EXACT(Metadata!D709,"f"))))</f>
        <v>0</v>
      </c>
      <c r="T709" t="b">
        <f>AND(IF(Metadata!E709="",FALSE,TRUE),OR(EXACT(Metadata!E709,"a"),EXACT(Metadata!E709,"b")))</f>
        <v>0</v>
      </c>
      <c r="U709" t="b">
        <f>OR(AND(IF(Metadata!F709="",FALSE,TRUE),OR(EXACT(Metadata!F709,"missing: not collected"),EXACT(Metadata!F709,"missing: not provided"))),AND(IF(Metadata!F709="",FALSE,TRUE),OR(EXACT(Metadata!F709,"lo"),EXACT(Metadata!F709,"med"),EXACT(Metadata!F709,"hi"))))</f>
        <v>0</v>
      </c>
    </row>
    <row r="710" spans="1:21" x14ac:dyDescent="0.2">
      <c r="A710" s="4" t="str">
        <f ca="1">IF(B710=" "," ",HYPERLINK(CONCATENATE("#metadata!",ADDRESS(INDEX($L$2:$L$1001,MATCH(ROWS($J$2:J710),$J$2:$J$1001,0),0),1)),INDEX($O$2:$O$1001,MATCH(ROWS($J$2:J710),$J$2:$J$1001,0),0)))</f>
        <v xml:space="preserve"> </v>
      </c>
      <c r="B710" s="3" t="str">
        <f ca="1">IF(OR(INDEX($K$2:$K$1001,MATCH(ROWS($J$2:J710),$J$2:$J$1001,0),1)&gt;=100000,INDEX($Q$1005:$U$1005,1,MATCH(COLUMNS($Q$1006:Q1006),$Q$1006:$U$1006,0))&gt;=100000), " ",IF(INDEX($Q$2:$U$1001,MATCH(ROWS($J$2:J710),$J$2:$J$1001,0),MATCH(COLUMNS($Q$1006:Q1006),$Q$1006:$U$1006,0)), HYPERLINK("#",""), HYPERLINK(CONCATENATE("#Metadata!", ADDRESS(INDEX($L$2:$L$1001,MATCH(ROWS($J$2:J710),$J$2:$J$1001,0),0), INDEX($Q$1004:$U$1004,1,MATCH(COLUMNS($Q$1006:Q1006),$Q$1006:$U$1006,0)))),"Fix")))</f>
        <v xml:space="preserve"> </v>
      </c>
      <c r="C710" s="3" t="str">
        <f ca="1">IF(OR(INDEX($K$2:$K$1001,MATCH(ROWS($J$2:J710),$J$2:$J$1001,0),1)&gt;=100000,INDEX($Q$1005:$U$1005,1,MATCH(COLUMNS($Q$1006:R1006),$Q$1006:$U$1006,0))&gt;=100000), " ",IF(INDEX($Q$2:$U$1001,MATCH(ROWS($J$2:J710),$J$2:$J$1001,0),MATCH(COLUMNS($Q$1006:R1006),$Q$1006:$U$1006,0)), HYPERLINK("#",""), HYPERLINK(CONCATENATE("#Metadata!", ADDRESS(INDEX($L$2:$L$1001,MATCH(ROWS($J$2:J710),$J$2:$J$1001,0),0), INDEX($Q$1004:$U$1004,1,MATCH(COLUMNS($Q$1006:R1006),$Q$1006:$U$1006,0)))),"Fix")))</f>
        <v xml:space="preserve"> </v>
      </c>
      <c r="D710" s="3" t="str">
        <f ca="1">IF(OR(INDEX($K$2:$K$1001,MATCH(ROWS($J$2:J710),$J$2:$J$1001,0),1)&gt;=100000,INDEX($Q$1005:$U$1005,1,MATCH(COLUMNS($Q$1006:S1006),$Q$1006:$U$1006,0))&gt;=100000), " ",IF(INDEX($Q$2:$U$1001,MATCH(ROWS($J$2:J710),$J$2:$J$1001,0),MATCH(COLUMNS($Q$1006:S1006),$Q$1006:$U$1006,0)), HYPERLINK("#",""), HYPERLINK(CONCATENATE("#Metadata!", ADDRESS(INDEX($L$2:$L$1001,MATCH(ROWS($J$2:J710),$J$2:$J$1001,0),0), INDEX($Q$1004:$U$1004,1,MATCH(COLUMNS($Q$1006:S1006),$Q$1006:$U$1006,0)))),"Fix")))</f>
        <v xml:space="preserve"> </v>
      </c>
      <c r="E710" s="3" t="str">
        <f ca="1">IF(OR(INDEX($K$2:$K$1001,MATCH(ROWS($J$2:J710),$J$2:$J$1001,0),1)&gt;=100000,INDEX($Q$1005:$U$1005,1,MATCH(COLUMNS($Q$1006:T1006),$Q$1006:$U$1006,0))&gt;=100000), " ",IF(INDEX($Q$2:$U$1001,MATCH(ROWS($J$2:J710),$J$2:$J$1001,0),MATCH(COLUMNS($Q$1006:T1006),$Q$1006:$U$1006,0)), HYPERLINK("#",""), HYPERLINK(CONCATENATE("#Metadata!", ADDRESS(INDEX($L$2:$L$1001,MATCH(ROWS($J$2:J710),$J$2:$J$1001,0),0), INDEX($Q$1004:$U$1004,1,MATCH(COLUMNS($Q$1006:T1006),$Q$1006:$U$1006,0)))),"Fix")))</f>
        <v xml:space="preserve"> </v>
      </c>
      <c r="F710" s="3" t="str">
        <f ca="1">IF(OR(INDEX($K$2:$K$1001,MATCH(ROWS($J$2:J710),$J$2:$J$1001,0),1)&gt;=100000,INDEX($Q$1005:$U$1005,1,MATCH(COLUMNS($Q$1006:U1006),$Q$1006:$U$1006,0))&gt;=100000), " ",IF(INDEX($Q$2:$U$1001,MATCH(ROWS($J$2:J710),$J$2:$J$1001,0),MATCH(COLUMNS($Q$1006:U1006),$Q$1006:$U$1006,0)), HYPERLINK("#",""), HYPERLINK(CONCATENATE("#Metadata!", ADDRESS(INDEX($L$2:$L$1001,MATCH(ROWS($J$2:J710),$J$2:$J$1001,0),0), INDEX($Q$1004:$U$1004,1,MATCH(COLUMNS($Q$1006:U1006),$Q$1006:$U$1006,0)))),"Fix")))</f>
        <v xml:space="preserve"> </v>
      </c>
      <c r="J710">
        <f ca="1"/>
        <v>709</v>
      </c>
      <c r="K710">
        <v>100710</v>
      </c>
      <c r="L710">
        <v>710</v>
      </c>
      <c r="M710" t="b">
        <f t="shared" si="11"/>
        <v>1</v>
      </c>
      <c r="N710" t="b">
        <f>COUNTBLANK(Metadata!B710:F710)=COLUMNS(Metadata!B710:F710)</f>
        <v>1</v>
      </c>
      <c r="O710" t="str">
        <v/>
      </c>
      <c r="Q710" t="b">
        <f ca="1"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R710" t="b">
        <f>IF(Metadata!C710="",FALSE,TRUE)</f>
        <v>0</v>
      </c>
      <c r="S710" t="b">
        <f>OR(AND(IF(Metadata!D710="",FALSE,TRUE),EXACT(Metadata!D710,"missing: not collected")),AND(IF(Metadata!D710="",FALSE,TRUE),OR(EXACT(Metadata!D710,"t"),EXACT(Metadata!D710,"f"))))</f>
        <v>0</v>
      </c>
      <c r="T710" t="b">
        <f>AND(IF(Metadata!E710="",FALSE,TRUE),OR(EXACT(Metadata!E710,"a"),EXACT(Metadata!E710,"b")))</f>
        <v>0</v>
      </c>
      <c r="U710" t="b">
        <f>OR(AND(IF(Metadata!F710="",FALSE,TRUE),OR(EXACT(Metadata!F710,"missing: not collected"),EXACT(Metadata!F710,"missing: not provided"))),AND(IF(Metadata!F710="",FALSE,TRUE),OR(EXACT(Metadata!F710,"lo"),EXACT(Metadata!F710,"med"),EXACT(Metadata!F710,"hi"))))</f>
        <v>0</v>
      </c>
    </row>
    <row r="711" spans="1:21" x14ac:dyDescent="0.2">
      <c r="A711" s="4" t="str">
        <f ca="1">IF(B711=" "," ",HYPERLINK(CONCATENATE("#metadata!",ADDRESS(INDEX($L$2:$L$1001,MATCH(ROWS($J$2:J711),$J$2:$J$1001,0),0),1)),INDEX($O$2:$O$1001,MATCH(ROWS($J$2:J711),$J$2:$J$1001,0),0)))</f>
        <v xml:space="preserve"> </v>
      </c>
      <c r="B711" s="3" t="str">
        <f ca="1">IF(OR(INDEX($K$2:$K$1001,MATCH(ROWS($J$2:J711),$J$2:$J$1001,0),1)&gt;=100000,INDEX($Q$1005:$U$1005,1,MATCH(COLUMNS($Q$1006:Q1006),$Q$1006:$U$1006,0))&gt;=100000), " ",IF(INDEX($Q$2:$U$1001,MATCH(ROWS($J$2:J711),$J$2:$J$1001,0),MATCH(COLUMNS($Q$1006:Q1006),$Q$1006:$U$1006,0)), HYPERLINK("#",""), HYPERLINK(CONCATENATE("#Metadata!", ADDRESS(INDEX($L$2:$L$1001,MATCH(ROWS($J$2:J711),$J$2:$J$1001,0),0), INDEX($Q$1004:$U$1004,1,MATCH(COLUMNS($Q$1006:Q1006),$Q$1006:$U$1006,0)))),"Fix")))</f>
        <v xml:space="preserve"> </v>
      </c>
      <c r="C711" s="3" t="str">
        <f ca="1">IF(OR(INDEX($K$2:$K$1001,MATCH(ROWS($J$2:J711),$J$2:$J$1001,0),1)&gt;=100000,INDEX($Q$1005:$U$1005,1,MATCH(COLUMNS($Q$1006:R1006),$Q$1006:$U$1006,0))&gt;=100000), " ",IF(INDEX($Q$2:$U$1001,MATCH(ROWS($J$2:J711),$J$2:$J$1001,0),MATCH(COLUMNS($Q$1006:R1006),$Q$1006:$U$1006,0)), HYPERLINK("#",""), HYPERLINK(CONCATENATE("#Metadata!", ADDRESS(INDEX($L$2:$L$1001,MATCH(ROWS($J$2:J711),$J$2:$J$1001,0),0), INDEX($Q$1004:$U$1004,1,MATCH(COLUMNS($Q$1006:R1006),$Q$1006:$U$1006,0)))),"Fix")))</f>
        <v xml:space="preserve"> </v>
      </c>
      <c r="D711" s="3" t="str">
        <f ca="1">IF(OR(INDEX($K$2:$K$1001,MATCH(ROWS($J$2:J711),$J$2:$J$1001,0),1)&gt;=100000,INDEX($Q$1005:$U$1005,1,MATCH(COLUMNS($Q$1006:S1006),$Q$1006:$U$1006,0))&gt;=100000), " ",IF(INDEX($Q$2:$U$1001,MATCH(ROWS($J$2:J711),$J$2:$J$1001,0),MATCH(COLUMNS($Q$1006:S1006),$Q$1006:$U$1006,0)), HYPERLINK("#",""), HYPERLINK(CONCATENATE("#Metadata!", ADDRESS(INDEX($L$2:$L$1001,MATCH(ROWS($J$2:J711),$J$2:$J$1001,0),0), INDEX($Q$1004:$U$1004,1,MATCH(COLUMNS($Q$1006:S1006),$Q$1006:$U$1006,0)))),"Fix")))</f>
        <v xml:space="preserve"> </v>
      </c>
      <c r="E711" s="3" t="str">
        <f ca="1">IF(OR(INDEX($K$2:$K$1001,MATCH(ROWS($J$2:J711),$J$2:$J$1001,0),1)&gt;=100000,INDEX($Q$1005:$U$1005,1,MATCH(COLUMNS($Q$1006:T1006),$Q$1006:$U$1006,0))&gt;=100000), " ",IF(INDEX($Q$2:$U$1001,MATCH(ROWS($J$2:J711),$J$2:$J$1001,0),MATCH(COLUMNS($Q$1006:T1006),$Q$1006:$U$1006,0)), HYPERLINK("#",""), HYPERLINK(CONCATENATE("#Metadata!", ADDRESS(INDEX($L$2:$L$1001,MATCH(ROWS($J$2:J711),$J$2:$J$1001,0),0), INDEX($Q$1004:$U$1004,1,MATCH(COLUMNS($Q$1006:T1006),$Q$1006:$U$1006,0)))),"Fix")))</f>
        <v xml:space="preserve"> </v>
      </c>
      <c r="F711" s="3" t="str">
        <f ca="1">IF(OR(INDEX($K$2:$K$1001,MATCH(ROWS($J$2:J711),$J$2:$J$1001,0),1)&gt;=100000,INDEX($Q$1005:$U$1005,1,MATCH(COLUMNS($Q$1006:U1006),$Q$1006:$U$1006,0))&gt;=100000), " ",IF(INDEX($Q$2:$U$1001,MATCH(ROWS($J$2:J711),$J$2:$J$1001,0),MATCH(COLUMNS($Q$1006:U1006),$Q$1006:$U$1006,0)), HYPERLINK("#",""), HYPERLINK(CONCATENATE("#Metadata!", ADDRESS(INDEX($L$2:$L$1001,MATCH(ROWS($J$2:J711),$J$2:$J$1001,0),0), INDEX($Q$1004:$U$1004,1,MATCH(COLUMNS($Q$1006:U1006),$Q$1006:$U$1006,0)))),"Fix")))</f>
        <v xml:space="preserve"> </v>
      </c>
      <c r="J711">
        <f ca="1"/>
        <v>710</v>
      </c>
      <c r="K711">
        <v>100711</v>
      </c>
      <c r="L711">
        <v>711</v>
      </c>
      <c r="M711" t="b">
        <f t="shared" si="11"/>
        <v>1</v>
      </c>
      <c r="N711" t="b">
        <f>COUNTBLANK(Metadata!B711:F711)=COLUMNS(Metadata!B711:F711)</f>
        <v>1</v>
      </c>
      <c r="O711" t="str">
        <v/>
      </c>
      <c r="Q711" t="b">
        <f ca="1"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R711" t="b">
        <f>IF(Metadata!C711="",FALSE,TRUE)</f>
        <v>0</v>
      </c>
      <c r="S711" t="b">
        <f>OR(AND(IF(Metadata!D711="",FALSE,TRUE),EXACT(Metadata!D711,"missing: not collected")),AND(IF(Metadata!D711="",FALSE,TRUE),OR(EXACT(Metadata!D711,"t"),EXACT(Metadata!D711,"f"))))</f>
        <v>0</v>
      </c>
      <c r="T711" t="b">
        <f>AND(IF(Metadata!E711="",FALSE,TRUE),OR(EXACT(Metadata!E711,"a"),EXACT(Metadata!E711,"b")))</f>
        <v>0</v>
      </c>
      <c r="U711" t="b">
        <f>OR(AND(IF(Metadata!F711="",FALSE,TRUE),OR(EXACT(Metadata!F711,"missing: not collected"),EXACT(Metadata!F711,"missing: not provided"))),AND(IF(Metadata!F711="",FALSE,TRUE),OR(EXACT(Metadata!F711,"lo"),EXACT(Metadata!F711,"med"),EXACT(Metadata!F711,"hi"))))</f>
        <v>0</v>
      </c>
    </row>
    <row r="712" spans="1:21" x14ac:dyDescent="0.2">
      <c r="A712" s="4" t="str">
        <f ca="1">IF(B712=" "," ",HYPERLINK(CONCATENATE("#metadata!",ADDRESS(INDEX($L$2:$L$1001,MATCH(ROWS($J$2:J712),$J$2:$J$1001,0),0),1)),INDEX($O$2:$O$1001,MATCH(ROWS($J$2:J712),$J$2:$J$1001,0),0)))</f>
        <v xml:space="preserve"> </v>
      </c>
      <c r="B712" s="3" t="str">
        <f ca="1">IF(OR(INDEX($K$2:$K$1001,MATCH(ROWS($J$2:J712),$J$2:$J$1001,0),1)&gt;=100000,INDEX($Q$1005:$U$1005,1,MATCH(COLUMNS($Q$1006:Q1006),$Q$1006:$U$1006,0))&gt;=100000), " ",IF(INDEX($Q$2:$U$1001,MATCH(ROWS($J$2:J712),$J$2:$J$1001,0),MATCH(COLUMNS($Q$1006:Q1006),$Q$1006:$U$1006,0)), HYPERLINK("#",""), HYPERLINK(CONCATENATE("#Metadata!", ADDRESS(INDEX($L$2:$L$1001,MATCH(ROWS($J$2:J712),$J$2:$J$1001,0),0), INDEX($Q$1004:$U$1004,1,MATCH(COLUMNS($Q$1006:Q1006),$Q$1006:$U$1006,0)))),"Fix")))</f>
        <v xml:space="preserve"> </v>
      </c>
      <c r="C712" s="3" t="str">
        <f ca="1">IF(OR(INDEX($K$2:$K$1001,MATCH(ROWS($J$2:J712),$J$2:$J$1001,0),1)&gt;=100000,INDEX($Q$1005:$U$1005,1,MATCH(COLUMNS($Q$1006:R1006),$Q$1006:$U$1006,0))&gt;=100000), " ",IF(INDEX($Q$2:$U$1001,MATCH(ROWS($J$2:J712),$J$2:$J$1001,0),MATCH(COLUMNS($Q$1006:R1006),$Q$1006:$U$1006,0)), HYPERLINK("#",""), HYPERLINK(CONCATENATE("#Metadata!", ADDRESS(INDEX($L$2:$L$1001,MATCH(ROWS($J$2:J712),$J$2:$J$1001,0),0), INDEX($Q$1004:$U$1004,1,MATCH(COLUMNS($Q$1006:R1006),$Q$1006:$U$1006,0)))),"Fix")))</f>
        <v xml:space="preserve"> </v>
      </c>
      <c r="D712" s="3" t="str">
        <f ca="1">IF(OR(INDEX($K$2:$K$1001,MATCH(ROWS($J$2:J712),$J$2:$J$1001,0),1)&gt;=100000,INDEX($Q$1005:$U$1005,1,MATCH(COLUMNS($Q$1006:S1006),$Q$1006:$U$1006,0))&gt;=100000), " ",IF(INDEX($Q$2:$U$1001,MATCH(ROWS($J$2:J712),$J$2:$J$1001,0),MATCH(COLUMNS($Q$1006:S1006),$Q$1006:$U$1006,0)), HYPERLINK("#",""), HYPERLINK(CONCATENATE("#Metadata!", ADDRESS(INDEX($L$2:$L$1001,MATCH(ROWS($J$2:J712),$J$2:$J$1001,0),0), INDEX($Q$1004:$U$1004,1,MATCH(COLUMNS($Q$1006:S1006),$Q$1006:$U$1006,0)))),"Fix")))</f>
        <v xml:space="preserve"> </v>
      </c>
      <c r="E712" s="3" t="str">
        <f ca="1">IF(OR(INDEX($K$2:$K$1001,MATCH(ROWS($J$2:J712),$J$2:$J$1001,0),1)&gt;=100000,INDEX($Q$1005:$U$1005,1,MATCH(COLUMNS($Q$1006:T1006),$Q$1006:$U$1006,0))&gt;=100000), " ",IF(INDEX($Q$2:$U$1001,MATCH(ROWS($J$2:J712),$J$2:$J$1001,0),MATCH(COLUMNS($Q$1006:T1006),$Q$1006:$U$1006,0)), HYPERLINK("#",""), HYPERLINK(CONCATENATE("#Metadata!", ADDRESS(INDEX($L$2:$L$1001,MATCH(ROWS($J$2:J712),$J$2:$J$1001,0),0), INDEX($Q$1004:$U$1004,1,MATCH(COLUMNS($Q$1006:T1006),$Q$1006:$U$1006,0)))),"Fix")))</f>
        <v xml:space="preserve"> </v>
      </c>
      <c r="F712" s="3" t="str">
        <f ca="1">IF(OR(INDEX($K$2:$K$1001,MATCH(ROWS($J$2:J712),$J$2:$J$1001,0),1)&gt;=100000,INDEX($Q$1005:$U$1005,1,MATCH(COLUMNS($Q$1006:U1006),$Q$1006:$U$1006,0))&gt;=100000), " ",IF(INDEX($Q$2:$U$1001,MATCH(ROWS($J$2:J712),$J$2:$J$1001,0),MATCH(COLUMNS($Q$1006:U1006),$Q$1006:$U$1006,0)), HYPERLINK("#",""), HYPERLINK(CONCATENATE("#Metadata!", ADDRESS(INDEX($L$2:$L$1001,MATCH(ROWS($J$2:J712),$J$2:$J$1001,0),0), INDEX($Q$1004:$U$1004,1,MATCH(COLUMNS($Q$1006:U1006),$Q$1006:$U$1006,0)))),"Fix")))</f>
        <v xml:space="preserve"> </v>
      </c>
      <c r="J712">
        <f ca="1"/>
        <v>711</v>
      </c>
      <c r="K712">
        <v>100712</v>
      </c>
      <c r="L712">
        <v>712</v>
      </c>
      <c r="M712" t="b">
        <f t="shared" si="11"/>
        <v>1</v>
      </c>
      <c r="N712" t="b">
        <f>COUNTBLANK(Metadata!B712:F712)=COLUMNS(Metadata!B712:F712)</f>
        <v>1</v>
      </c>
      <c r="O712" t="str">
        <v/>
      </c>
      <c r="Q712" t="b">
        <f ca="1"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R712" t="b">
        <f>IF(Metadata!C712="",FALSE,TRUE)</f>
        <v>0</v>
      </c>
      <c r="S712" t="b">
        <f>OR(AND(IF(Metadata!D712="",FALSE,TRUE),EXACT(Metadata!D712,"missing: not collected")),AND(IF(Metadata!D712="",FALSE,TRUE),OR(EXACT(Metadata!D712,"t"),EXACT(Metadata!D712,"f"))))</f>
        <v>0</v>
      </c>
      <c r="T712" t="b">
        <f>AND(IF(Metadata!E712="",FALSE,TRUE),OR(EXACT(Metadata!E712,"a"),EXACT(Metadata!E712,"b")))</f>
        <v>0</v>
      </c>
      <c r="U712" t="b">
        <f>OR(AND(IF(Metadata!F712="",FALSE,TRUE),OR(EXACT(Metadata!F712,"missing: not collected"),EXACT(Metadata!F712,"missing: not provided"))),AND(IF(Metadata!F712="",FALSE,TRUE),OR(EXACT(Metadata!F712,"lo"),EXACT(Metadata!F712,"med"),EXACT(Metadata!F712,"hi"))))</f>
        <v>0</v>
      </c>
    </row>
    <row r="713" spans="1:21" x14ac:dyDescent="0.2">
      <c r="A713" s="4" t="str">
        <f ca="1">IF(B713=" "," ",HYPERLINK(CONCATENATE("#metadata!",ADDRESS(INDEX($L$2:$L$1001,MATCH(ROWS($J$2:J713),$J$2:$J$1001,0),0),1)),INDEX($O$2:$O$1001,MATCH(ROWS($J$2:J713),$J$2:$J$1001,0),0)))</f>
        <v xml:space="preserve"> </v>
      </c>
      <c r="B713" s="3" t="str">
        <f ca="1">IF(OR(INDEX($K$2:$K$1001,MATCH(ROWS($J$2:J713),$J$2:$J$1001,0),1)&gt;=100000,INDEX($Q$1005:$U$1005,1,MATCH(COLUMNS($Q$1006:Q1006),$Q$1006:$U$1006,0))&gt;=100000), " ",IF(INDEX($Q$2:$U$1001,MATCH(ROWS($J$2:J713),$J$2:$J$1001,0),MATCH(COLUMNS($Q$1006:Q1006),$Q$1006:$U$1006,0)), HYPERLINK("#",""), HYPERLINK(CONCATENATE("#Metadata!", ADDRESS(INDEX($L$2:$L$1001,MATCH(ROWS($J$2:J713),$J$2:$J$1001,0),0), INDEX($Q$1004:$U$1004,1,MATCH(COLUMNS($Q$1006:Q1006),$Q$1006:$U$1006,0)))),"Fix")))</f>
        <v xml:space="preserve"> </v>
      </c>
      <c r="C713" s="3" t="str">
        <f ca="1">IF(OR(INDEX($K$2:$K$1001,MATCH(ROWS($J$2:J713),$J$2:$J$1001,0),1)&gt;=100000,INDEX($Q$1005:$U$1005,1,MATCH(COLUMNS($Q$1006:R1006),$Q$1006:$U$1006,0))&gt;=100000), " ",IF(INDEX($Q$2:$U$1001,MATCH(ROWS($J$2:J713),$J$2:$J$1001,0),MATCH(COLUMNS($Q$1006:R1006),$Q$1006:$U$1006,0)), HYPERLINK("#",""), HYPERLINK(CONCATENATE("#Metadata!", ADDRESS(INDEX($L$2:$L$1001,MATCH(ROWS($J$2:J713),$J$2:$J$1001,0),0), INDEX($Q$1004:$U$1004,1,MATCH(COLUMNS($Q$1006:R1006),$Q$1006:$U$1006,0)))),"Fix")))</f>
        <v xml:space="preserve"> </v>
      </c>
      <c r="D713" s="3" t="str">
        <f ca="1">IF(OR(INDEX($K$2:$K$1001,MATCH(ROWS($J$2:J713),$J$2:$J$1001,0),1)&gt;=100000,INDEX($Q$1005:$U$1005,1,MATCH(COLUMNS($Q$1006:S1006),$Q$1006:$U$1006,0))&gt;=100000), " ",IF(INDEX($Q$2:$U$1001,MATCH(ROWS($J$2:J713),$J$2:$J$1001,0),MATCH(COLUMNS($Q$1006:S1006),$Q$1006:$U$1006,0)), HYPERLINK("#",""), HYPERLINK(CONCATENATE("#Metadata!", ADDRESS(INDEX($L$2:$L$1001,MATCH(ROWS($J$2:J713),$J$2:$J$1001,0),0), INDEX($Q$1004:$U$1004,1,MATCH(COLUMNS($Q$1006:S1006),$Q$1006:$U$1006,0)))),"Fix")))</f>
        <v xml:space="preserve"> </v>
      </c>
      <c r="E713" s="3" t="str">
        <f ca="1">IF(OR(INDEX($K$2:$K$1001,MATCH(ROWS($J$2:J713),$J$2:$J$1001,0),1)&gt;=100000,INDEX($Q$1005:$U$1005,1,MATCH(COLUMNS($Q$1006:T1006),$Q$1006:$U$1006,0))&gt;=100000), " ",IF(INDEX($Q$2:$U$1001,MATCH(ROWS($J$2:J713),$J$2:$J$1001,0),MATCH(COLUMNS($Q$1006:T1006),$Q$1006:$U$1006,0)), HYPERLINK("#",""), HYPERLINK(CONCATENATE("#Metadata!", ADDRESS(INDEX($L$2:$L$1001,MATCH(ROWS($J$2:J713),$J$2:$J$1001,0),0), INDEX($Q$1004:$U$1004,1,MATCH(COLUMNS($Q$1006:T1006),$Q$1006:$U$1006,0)))),"Fix")))</f>
        <v xml:space="preserve"> </v>
      </c>
      <c r="F713" s="3" t="str">
        <f ca="1">IF(OR(INDEX($K$2:$K$1001,MATCH(ROWS($J$2:J713),$J$2:$J$1001,0),1)&gt;=100000,INDEX($Q$1005:$U$1005,1,MATCH(COLUMNS($Q$1006:U1006),$Q$1006:$U$1006,0))&gt;=100000), " ",IF(INDEX($Q$2:$U$1001,MATCH(ROWS($J$2:J713),$J$2:$J$1001,0),MATCH(COLUMNS($Q$1006:U1006),$Q$1006:$U$1006,0)), HYPERLINK("#",""), HYPERLINK(CONCATENATE("#Metadata!", ADDRESS(INDEX($L$2:$L$1001,MATCH(ROWS($J$2:J713),$J$2:$J$1001,0),0), INDEX($Q$1004:$U$1004,1,MATCH(COLUMNS($Q$1006:U1006),$Q$1006:$U$1006,0)))),"Fix")))</f>
        <v xml:space="preserve"> </v>
      </c>
      <c r="J713">
        <f ca="1"/>
        <v>712</v>
      </c>
      <c r="K713">
        <v>100713</v>
      </c>
      <c r="L713">
        <v>713</v>
      </c>
      <c r="M713" t="b">
        <f t="shared" si="11"/>
        <v>1</v>
      </c>
      <c r="N713" t="b">
        <f>COUNTBLANK(Metadata!B713:F713)=COLUMNS(Metadata!B713:F713)</f>
        <v>1</v>
      </c>
      <c r="O713" t="str">
        <v/>
      </c>
      <c r="Q713" t="b">
        <f ca="1"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R713" t="b">
        <f>IF(Metadata!C713="",FALSE,TRUE)</f>
        <v>0</v>
      </c>
      <c r="S713" t="b">
        <f>OR(AND(IF(Metadata!D713="",FALSE,TRUE),EXACT(Metadata!D713,"missing: not collected")),AND(IF(Metadata!D713="",FALSE,TRUE),OR(EXACT(Metadata!D713,"t"),EXACT(Metadata!D713,"f"))))</f>
        <v>0</v>
      </c>
      <c r="T713" t="b">
        <f>AND(IF(Metadata!E713="",FALSE,TRUE),OR(EXACT(Metadata!E713,"a"),EXACT(Metadata!E713,"b")))</f>
        <v>0</v>
      </c>
      <c r="U713" t="b">
        <f>OR(AND(IF(Metadata!F713="",FALSE,TRUE),OR(EXACT(Metadata!F713,"missing: not collected"),EXACT(Metadata!F713,"missing: not provided"))),AND(IF(Metadata!F713="",FALSE,TRUE),OR(EXACT(Metadata!F713,"lo"),EXACT(Metadata!F713,"med"),EXACT(Metadata!F713,"hi"))))</f>
        <v>0</v>
      </c>
    </row>
    <row r="714" spans="1:21" x14ac:dyDescent="0.2">
      <c r="A714" s="4" t="str">
        <f ca="1">IF(B714=" "," ",HYPERLINK(CONCATENATE("#metadata!",ADDRESS(INDEX($L$2:$L$1001,MATCH(ROWS($J$2:J714),$J$2:$J$1001,0),0),1)),INDEX($O$2:$O$1001,MATCH(ROWS($J$2:J714),$J$2:$J$1001,0),0)))</f>
        <v xml:space="preserve"> </v>
      </c>
      <c r="B714" s="3" t="str">
        <f ca="1">IF(OR(INDEX($K$2:$K$1001,MATCH(ROWS($J$2:J714),$J$2:$J$1001,0),1)&gt;=100000,INDEX($Q$1005:$U$1005,1,MATCH(COLUMNS($Q$1006:Q1006),$Q$1006:$U$1006,0))&gt;=100000), " ",IF(INDEX($Q$2:$U$1001,MATCH(ROWS($J$2:J714),$J$2:$J$1001,0),MATCH(COLUMNS($Q$1006:Q1006),$Q$1006:$U$1006,0)), HYPERLINK("#",""), HYPERLINK(CONCATENATE("#Metadata!", ADDRESS(INDEX($L$2:$L$1001,MATCH(ROWS($J$2:J714),$J$2:$J$1001,0),0), INDEX($Q$1004:$U$1004,1,MATCH(COLUMNS($Q$1006:Q1006),$Q$1006:$U$1006,0)))),"Fix")))</f>
        <v xml:space="preserve"> </v>
      </c>
      <c r="C714" s="3" t="str">
        <f ca="1">IF(OR(INDEX($K$2:$K$1001,MATCH(ROWS($J$2:J714),$J$2:$J$1001,0),1)&gt;=100000,INDEX($Q$1005:$U$1005,1,MATCH(COLUMNS($Q$1006:R1006),$Q$1006:$U$1006,0))&gt;=100000), " ",IF(INDEX($Q$2:$U$1001,MATCH(ROWS($J$2:J714),$J$2:$J$1001,0),MATCH(COLUMNS($Q$1006:R1006),$Q$1006:$U$1006,0)), HYPERLINK("#",""), HYPERLINK(CONCATENATE("#Metadata!", ADDRESS(INDEX($L$2:$L$1001,MATCH(ROWS($J$2:J714),$J$2:$J$1001,0),0), INDEX($Q$1004:$U$1004,1,MATCH(COLUMNS($Q$1006:R1006),$Q$1006:$U$1006,0)))),"Fix")))</f>
        <v xml:space="preserve"> </v>
      </c>
      <c r="D714" s="3" t="str">
        <f ca="1">IF(OR(INDEX($K$2:$K$1001,MATCH(ROWS($J$2:J714),$J$2:$J$1001,0),1)&gt;=100000,INDEX($Q$1005:$U$1005,1,MATCH(COLUMNS($Q$1006:S1006),$Q$1006:$U$1006,0))&gt;=100000), " ",IF(INDEX($Q$2:$U$1001,MATCH(ROWS($J$2:J714),$J$2:$J$1001,0),MATCH(COLUMNS($Q$1006:S1006),$Q$1006:$U$1006,0)), HYPERLINK("#",""), HYPERLINK(CONCATENATE("#Metadata!", ADDRESS(INDEX($L$2:$L$1001,MATCH(ROWS($J$2:J714),$J$2:$J$1001,0),0), INDEX($Q$1004:$U$1004,1,MATCH(COLUMNS($Q$1006:S1006),$Q$1006:$U$1006,0)))),"Fix")))</f>
        <v xml:space="preserve"> </v>
      </c>
      <c r="E714" s="3" t="str">
        <f ca="1">IF(OR(INDEX($K$2:$K$1001,MATCH(ROWS($J$2:J714),$J$2:$J$1001,0),1)&gt;=100000,INDEX($Q$1005:$U$1005,1,MATCH(COLUMNS($Q$1006:T1006),$Q$1006:$U$1006,0))&gt;=100000), " ",IF(INDEX($Q$2:$U$1001,MATCH(ROWS($J$2:J714),$J$2:$J$1001,0),MATCH(COLUMNS($Q$1006:T1006),$Q$1006:$U$1006,0)), HYPERLINK("#",""), HYPERLINK(CONCATENATE("#Metadata!", ADDRESS(INDEX($L$2:$L$1001,MATCH(ROWS($J$2:J714),$J$2:$J$1001,0),0), INDEX($Q$1004:$U$1004,1,MATCH(COLUMNS($Q$1006:T1006),$Q$1006:$U$1006,0)))),"Fix")))</f>
        <v xml:space="preserve"> </v>
      </c>
      <c r="F714" s="3" t="str">
        <f ca="1">IF(OR(INDEX($K$2:$K$1001,MATCH(ROWS($J$2:J714),$J$2:$J$1001,0),1)&gt;=100000,INDEX($Q$1005:$U$1005,1,MATCH(COLUMNS($Q$1006:U1006),$Q$1006:$U$1006,0))&gt;=100000), " ",IF(INDEX($Q$2:$U$1001,MATCH(ROWS($J$2:J714),$J$2:$J$1001,0),MATCH(COLUMNS($Q$1006:U1006),$Q$1006:$U$1006,0)), HYPERLINK("#",""), HYPERLINK(CONCATENATE("#Metadata!", ADDRESS(INDEX($L$2:$L$1001,MATCH(ROWS($J$2:J714),$J$2:$J$1001,0),0), INDEX($Q$1004:$U$1004,1,MATCH(COLUMNS($Q$1006:U1006),$Q$1006:$U$1006,0)))),"Fix")))</f>
        <v xml:space="preserve"> </v>
      </c>
      <c r="J714">
        <f ca="1"/>
        <v>713</v>
      </c>
      <c r="K714">
        <v>100714</v>
      </c>
      <c r="L714">
        <v>714</v>
      </c>
      <c r="M714" t="b">
        <f t="shared" si="11"/>
        <v>1</v>
      </c>
      <c r="N714" t="b">
        <f>COUNTBLANK(Metadata!B714:F714)=COLUMNS(Metadata!B714:F714)</f>
        <v>1</v>
      </c>
      <c r="O714" t="str">
        <v/>
      </c>
      <c r="Q714" t="b">
        <f ca="1"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R714" t="b">
        <f>IF(Metadata!C714="",FALSE,TRUE)</f>
        <v>0</v>
      </c>
      <c r="S714" t="b">
        <f>OR(AND(IF(Metadata!D714="",FALSE,TRUE),EXACT(Metadata!D714,"missing: not collected")),AND(IF(Metadata!D714="",FALSE,TRUE),OR(EXACT(Metadata!D714,"t"),EXACT(Metadata!D714,"f"))))</f>
        <v>0</v>
      </c>
      <c r="T714" t="b">
        <f>AND(IF(Metadata!E714="",FALSE,TRUE),OR(EXACT(Metadata!E714,"a"),EXACT(Metadata!E714,"b")))</f>
        <v>0</v>
      </c>
      <c r="U714" t="b">
        <f>OR(AND(IF(Metadata!F714="",FALSE,TRUE),OR(EXACT(Metadata!F714,"missing: not collected"),EXACT(Metadata!F714,"missing: not provided"))),AND(IF(Metadata!F714="",FALSE,TRUE),OR(EXACT(Metadata!F714,"lo"),EXACT(Metadata!F714,"med"),EXACT(Metadata!F714,"hi"))))</f>
        <v>0</v>
      </c>
    </row>
    <row r="715" spans="1:21" x14ac:dyDescent="0.2">
      <c r="A715" s="4" t="str">
        <f ca="1">IF(B715=" "," ",HYPERLINK(CONCATENATE("#metadata!",ADDRESS(INDEX($L$2:$L$1001,MATCH(ROWS($J$2:J715),$J$2:$J$1001,0),0),1)),INDEX($O$2:$O$1001,MATCH(ROWS($J$2:J715),$J$2:$J$1001,0),0)))</f>
        <v xml:space="preserve"> </v>
      </c>
      <c r="B715" s="3" t="str">
        <f ca="1">IF(OR(INDEX($K$2:$K$1001,MATCH(ROWS($J$2:J715),$J$2:$J$1001,0),1)&gt;=100000,INDEX($Q$1005:$U$1005,1,MATCH(COLUMNS($Q$1006:Q1006),$Q$1006:$U$1006,0))&gt;=100000), " ",IF(INDEX($Q$2:$U$1001,MATCH(ROWS($J$2:J715),$J$2:$J$1001,0),MATCH(COLUMNS($Q$1006:Q1006),$Q$1006:$U$1006,0)), HYPERLINK("#",""), HYPERLINK(CONCATENATE("#Metadata!", ADDRESS(INDEX($L$2:$L$1001,MATCH(ROWS($J$2:J715),$J$2:$J$1001,0),0), INDEX($Q$1004:$U$1004,1,MATCH(COLUMNS($Q$1006:Q1006),$Q$1006:$U$1006,0)))),"Fix")))</f>
        <v xml:space="preserve"> </v>
      </c>
      <c r="C715" s="3" t="str">
        <f ca="1">IF(OR(INDEX($K$2:$K$1001,MATCH(ROWS($J$2:J715),$J$2:$J$1001,0),1)&gt;=100000,INDEX($Q$1005:$U$1005,1,MATCH(COLUMNS($Q$1006:R1006),$Q$1006:$U$1006,0))&gt;=100000), " ",IF(INDEX($Q$2:$U$1001,MATCH(ROWS($J$2:J715),$J$2:$J$1001,0),MATCH(COLUMNS($Q$1006:R1006),$Q$1006:$U$1006,0)), HYPERLINK("#",""), HYPERLINK(CONCATENATE("#Metadata!", ADDRESS(INDEX($L$2:$L$1001,MATCH(ROWS($J$2:J715),$J$2:$J$1001,0),0), INDEX($Q$1004:$U$1004,1,MATCH(COLUMNS($Q$1006:R1006),$Q$1006:$U$1006,0)))),"Fix")))</f>
        <v xml:space="preserve"> </v>
      </c>
      <c r="D715" s="3" t="str">
        <f ca="1">IF(OR(INDEX($K$2:$K$1001,MATCH(ROWS($J$2:J715),$J$2:$J$1001,0),1)&gt;=100000,INDEX($Q$1005:$U$1005,1,MATCH(COLUMNS($Q$1006:S1006),$Q$1006:$U$1006,0))&gt;=100000), " ",IF(INDEX($Q$2:$U$1001,MATCH(ROWS($J$2:J715),$J$2:$J$1001,0),MATCH(COLUMNS($Q$1006:S1006),$Q$1006:$U$1006,0)), HYPERLINK("#",""), HYPERLINK(CONCATENATE("#Metadata!", ADDRESS(INDEX($L$2:$L$1001,MATCH(ROWS($J$2:J715),$J$2:$J$1001,0),0), INDEX($Q$1004:$U$1004,1,MATCH(COLUMNS($Q$1006:S1006),$Q$1006:$U$1006,0)))),"Fix")))</f>
        <v xml:space="preserve"> </v>
      </c>
      <c r="E715" s="3" t="str">
        <f ca="1">IF(OR(INDEX($K$2:$K$1001,MATCH(ROWS($J$2:J715),$J$2:$J$1001,0),1)&gt;=100000,INDEX($Q$1005:$U$1005,1,MATCH(COLUMNS($Q$1006:T1006),$Q$1006:$U$1006,0))&gt;=100000), " ",IF(INDEX($Q$2:$U$1001,MATCH(ROWS($J$2:J715),$J$2:$J$1001,0),MATCH(COLUMNS($Q$1006:T1006),$Q$1006:$U$1006,0)), HYPERLINK("#",""), HYPERLINK(CONCATENATE("#Metadata!", ADDRESS(INDEX($L$2:$L$1001,MATCH(ROWS($J$2:J715),$J$2:$J$1001,0),0), INDEX($Q$1004:$U$1004,1,MATCH(COLUMNS($Q$1006:T1006),$Q$1006:$U$1006,0)))),"Fix")))</f>
        <v xml:space="preserve"> </v>
      </c>
      <c r="F715" s="3" t="str">
        <f ca="1">IF(OR(INDEX($K$2:$K$1001,MATCH(ROWS($J$2:J715),$J$2:$J$1001,0),1)&gt;=100000,INDEX($Q$1005:$U$1005,1,MATCH(COLUMNS($Q$1006:U1006),$Q$1006:$U$1006,0))&gt;=100000), " ",IF(INDEX($Q$2:$U$1001,MATCH(ROWS($J$2:J715),$J$2:$J$1001,0),MATCH(COLUMNS($Q$1006:U1006),$Q$1006:$U$1006,0)), HYPERLINK("#",""), HYPERLINK(CONCATENATE("#Metadata!", ADDRESS(INDEX($L$2:$L$1001,MATCH(ROWS($J$2:J715),$J$2:$J$1001,0),0), INDEX($Q$1004:$U$1004,1,MATCH(COLUMNS($Q$1006:U1006),$Q$1006:$U$1006,0)))),"Fix")))</f>
        <v xml:space="preserve"> </v>
      </c>
      <c r="J715">
        <f ca="1"/>
        <v>714</v>
      </c>
      <c r="K715">
        <v>100715</v>
      </c>
      <c r="L715">
        <v>715</v>
      </c>
      <c r="M715" t="b">
        <f t="shared" si="11"/>
        <v>1</v>
      </c>
      <c r="N715" t="b">
        <f>COUNTBLANK(Metadata!B715:F715)=COLUMNS(Metadata!B715:F715)</f>
        <v>1</v>
      </c>
      <c r="O715" t="str">
        <v/>
      </c>
      <c r="Q715" t="b">
        <f ca="1"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R715" t="b">
        <f>IF(Metadata!C715="",FALSE,TRUE)</f>
        <v>0</v>
      </c>
      <c r="S715" t="b">
        <f>OR(AND(IF(Metadata!D715="",FALSE,TRUE),EXACT(Metadata!D715,"missing: not collected")),AND(IF(Metadata!D715="",FALSE,TRUE),OR(EXACT(Metadata!D715,"t"),EXACT(Metadata!D715,"f"))))</f>
        <v>0</v>
      </c>
      <c r="T715" t="b">
        <f>AND(IF(Metadata!E715="",FALSE,TRUE),OR(EXACT(Metadata!E715,"a"),EXACT(Metadata!E715,"b")))</f>
        <v>0</v>
      </c>
      <c r="U715" t="b">
        <f>OR(AND(IF(Metadata!F715="",FALSE,TRUE),OR(EXACT(Metadata!F715,"missing: not collected"),EXACT(Metadata!F715,"missing: not provided"))),AND(IF(Metadata!F715="",FALSE,TRUE),OR(EXACT(Metadata!F715,"lo"),EXACT(Metadata!F715,"med"),EXACT(Metadata!F715,"hi"))))</f>
        <v>0</v>
      </c>
    </row>
    <row r="716" spans="1:21" x14ac:dyDescent="0.2">
      <c r="A716" s="4" t="str">
        <f ca="1">IF(B716=" "," ",HYPERLINK(CONCATENATE("#metadata!",ADDRESS(INDEX($L$2:$L$1001,MATCH(ROWS($J$2:J716),$J$2:$J$1001,0),0),1)),INDEX($O$2:$O$1001,MATCH(ROWS($J$2:J716),$J$2:$J$1001,0),0)))</f>
        <v xml:space="preserve"> </v>
      </c>
      <c r="B716" s="3" t="str">
        <f ca="1">IF(OR(INDEX($K$2:$K$1001,MATCH(ROWS($J$2:J716),$J$2:$J$1001,0),1)&gt;=100000,INDEX($Q$1005:$U$1005,1,MATCH(COLUMNS($Q$1006:Q1006),$Q$1006:$U$1006,0))&gt;=100000), " ",IF(INDEX($Q$2:$U$1001,MATCH(ROWS($J$2:J716),$J$2:$J$1001,0),MATCH(COLUMNS($Q$1006:Q1006),$Q$1006:$U$1006,0)), HYPERLINK("#",""), HYPERLINK(CONCATENATE("#Metadata!", ADDRESS(INDEX($L$2:$L$1001,MATCH(ROWS($J$2:J716),$J$2:$J$1001,0),0), INDEX($Q$1004:$U$1004,1,MATCH(COLUMNS($Q$1006:Q1006),$Q$1006:$U$1006,0)))),"Fix")))</f>
        <v xml:space="preserve"> </v>
      </c>
      <c r="C716" s="3" t="str">
        <f ca="1">IF(OR(INDEX($K$2:$K$1001,MATCH(ROWS($J$2:J716),$J$2:$J$1001,0),1)&gt;=100000,INDEX($Q$1005:$U$1005,1,MATCH(COLUMNS($Q$1006:R1006),$Q$1006:$U$1006,0))&gt;=100000), " ",IF(INDEX($Q$2:$U$1001,MATCH(ROWS($J$2:J716),$J$2:$J$1001,0),MATCH(COLUMNS($Q$1006:R1006),$Q$1006:$U$1006,0)), HYPERLINK("#",""), HYPERLINK(CONCATENATE("#Metadata!", ADDRESS(INDEX($L$2:$L$1001,MATCH(ROWS($J$2:J716),$J$2:$J$1001,0),0), INDEX($Q$1004:$U$1004,1,MATCH(COLUMNS($Q$1006:R1006),$Q$1006:$U$1006,0)))),"Fix")))</f>
        <v xml:space="preserve"> </v>
      </c>
      <c r="D716" s="3" t="str">
        <f ca="1">IF(OR(INDEX($K$2:$K$1001,MATCH(ROWS($J$2:J716),$J$2:$J$1001,0),1)&gt;=100000,INDEX($Q$1005:$U$1005,1,MATCH(COLUMNS($Q$1006:S1006),$Q$1006:$U$1006,0))&gt;=100000), " ",IF(INDEX($Q$2:$U$1001,MATCH(ROWS($J$2:J716),$J$2:$J$1001,0),MATCH(COLUMNS($Q$1006:S1006),$Q$1006:$U$1006,0)), HYPERLINK("#",""), HYPERLINK(CONCATENATE("#Metadata!", ADDRESS(INDEX($L$2:$L$1001,MATCH(ROWS($J$2:J716),$J$2:$J$1001,0),0), INDEX($Q$1004:$U$1004,1,MATCH(COLUMNS($Q$1006:S1006),$Q$1006:$U$1006,0)))),"Fix")))</f>
        <v xml:space="preserve"> </v>
      </c>
      <c r="E716" s="3" t="str">
        <f ca="1">IF(OR(INDEX($K$2:$K$1001,MATCH(ROWS($J$2:J716),$J$2:$J$1001,0),1)&gt;=100000,INDEX($Q$1005:$U$1005,1,MATCH(COLUMNS($Q$1006:T1006),$Q$1006:$U$1006,0))&gt;=100000), " ",IF(INDEX($Q$2:$U$1001,MATCH(ROWS($J$2:J716),$J$2:$J$1001,0),MATCH(COLUMNS($Q$1006:T1006),$Q$1006:$U$1006,0)), HYPERLINK("#",""), HYPERLINK(CONCATENATE("#Metadata!", ADDRESS(INDEX($L$2:$L$1001,MATCH(ROWS($J$2:J716),$J$2:$J$1001,0),0), INDEX($Q$1004:$U$1004,1,MATCH(COLUMNS($Q$1006:T1006),$Q$1006:$U$1006,0)))),"Fix")))</f>
        <v xml:space="preserve"> </v>
      </c>
      <c r="F716" s="3" t="str">
        <f ca="1">IF(OR(INDEX($K$2:$K$1001,MATCH(ROWS($J$2:J716),$J$2:$J$1001,0),1)&gt;=100000,INDEX($Q$1005:$U$1005,1,MATCH(COLUMNS($Q$1006:U1006),$Q$1006:$U$1006,0))&gt;=100000), " ",IF(INDEX($Q$2:$U$1001,MATCH(ROWS($J$2:J716),$J$2:$J$1001,0),MATCH(COLUMNS($Q$1006:U1006),$Q$1006:$U$1006,0)), HYPERLINK("#",""), HYPERLINK(CONCATENATE("#Metadata!", ADDRESS(INDEX($L$2:$L$1001,MATCH(ROWS($J$2:J716),$J$2:$J$1001,0),0), INDEX($Q$1004:$U$1004,1,MATCH(COLUMNS($Q$1006:U1006),$Q$1006:$U$1006,0)))),"Fix")))</f>
        <v xml:space="preserve"> </v>
      </c>
      <c r="J716">
        <f ca="1"/>
        <v>715</v>
      </c>
      <c r="K716">
        <v>100716</v>
      </c>
      <c r="L716">
        <v>716</v>
      </c>
      <c r="M716" t="b">
        <f t="shared" si="11"/>
        <v>1</v>
      </c>
      <c r="N716" t="b">
        <f>COUNTBLANK(Metadata!B716:F716)=COLUMNS(Metadata!B716:F716)</f>
        <v>1</v>
      </c>
      <c r="O716" t="str">
        <v/>
      </c>
      <c r="Q716" t="b">
        <f ca="1"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R716" t="b">
        <f>IF(Metadata!C716="",FALSE,TRUE)</f>
        <v>0</v>
      </c>
      <c r="S716" t="b">
        <f>OR(AND(IF(Metadata!D716="",FALSE,TRUE),EXACT(Metadata!D716,"missing: not collected")),AND(IF(Metadata!D716="",FALSE,TRUE),OR(EXACT(Metadata!D716,"t"),EXACT(Metadata!D716,"f"))))</f>
        <v>0</v>
      </c>
      <c r="T716" t="b">
        <f>AND(IF(Metadata!E716="",FALSE,TRUE),OR(EXACT(Metadata!E716,"a"),EXACT(Metadata!E716,"b")))</f>
        <v>0</v>
      </c>
      <c r="U716" t="b">
        <f>OR(AND(IF(Metadata!F716="",FALSE,TRUE),OR(EXACT(Metadata!F716,"missing: not collected"),EXACT(Metadata!F716,"missing: not provided"))),AND(IF(Metadata!F716="",FALSE,TRUE),OR(EXACT(Metadata!F716,"lo"),EXACT(Metadata!F716,"med"),EXACT(Metadata!F716,"hi"))))</f>
        <v>0</v>
      </c>
    </row>
    <row r="717" spans="1:21" x14ac:dyDescent="0.2">
      <c r="A717" s="4" t="str">
        <f ca="1">IF(B717=" "," ",HYPERLINK(CONCATENATE("#metadata!",ADDRESS(INDEX($L$2:$L$1001,MATCH(ROWS($J$2:J717),$J$2:$J$1001,0),0),1)),INDEX($O$2:$O$1001,MATCH(ROWS($J$2:J717),$J$2:$J$1001,0),0)))</f>
        <v xml:space="preserve"> </v>
      </c>
      <c r="B717" s="3" t="str">
        <f ca="1">IF(OR(INDEX($K$2:$K$1001,MATCH(ROWS($J$2:J717),$J$2:$J$1001,0),1)&gt;=100000,INDEX($Q$1005:$U$1005,1,MATCH(COLUMNS($Q$1006:Q1006),$Q$1006:$U$1006,0))&gt;=100000), " ",IF(INDEX($Q$2:$U$1001,MATCH(ROWS($J$2:J717),$J$2:$J$1001,0),MATCH(COLUMNS($Q$1006:Q1006),$Q$1006:$U$1006,0)), HYPERLINK("#",""), HYPERLINK(CONCATENATE("#Metadata!", ADDRESS(INDEX($L$2:$L$1001,MATCH(ROWS($J$2:J717),$J$2:$J$1001,0),0), INDEX($Q$1004:$U$1004,1,MATCH(COLUMNS($Q$1006:Q1006),$Q$1006:$U$1006,0)))),"Fix")))</f>
        <v xml:space="preserve"> </v>
      </c>
      <c r="C717" s="3" t="str">
        <f ca="1">IF(OR(INDEX($K$2:$K$1001,MATCH(ROWS($J$2:J717),$J$2:$J$1001,0),1)&gt;=100000,INDEX($Q$1005:$U$1005,1,MATCH(COLUMNS($Q$1006:R1006),$Q$1006:$U$1006,0))&gt;=100000), " ",IF(INDEX($Q$2:$U$1001,MATCH(ROWS($J$2:J717),$J$2:$J$1001,0),MATCH(COLUMNS($Q$1006:R1006),$Q$1006:$U$1006,0)), HYPERLINK("#",""), HYPERLINK(CONCATENATE("#Metadata!", ADDRESS(INDEX($L$2:$L$1001,MATCH(ROWS($J$2:J717),$J$2:$J$1001,0),0), INDEX($Q$1004:$U$1004,1,MATCH(COLUMNS($Q$1006:R1006),$Q$1006:$U$1006,0)))),"Fix")))</f>
        <v xml:space="preserve"> </v>
      </c>
      <c r="D717" s="3" t="str">
        <f ca="1">IF(OR(INDEX($K$2:$K$1001,MATCH(ROWS($J$2:J717),$J$2:$J$1001,0),1)&gt;=100000,INDEX($Q$1005:$U$1005,1,MATCH(COLUMNS($Q$1006:S1006),$Q$1006:$U$1006,0))&gt;=100000), " ",IF(INDEX($Q$2:$U$1001,MATCH(ROWS($J$2:J717),$J$2:$J$1001,0),MATCH(COLUMNS($Q$1006:S1006),$Q$1006:$U$1006,0)), HYPERLINK("#",""), HYPERLINK(CONCATENATE("#Metadata!", ADDRESS(INDEX($L$2:$L$1001,MATCH(ROWS($J$2:J717),$J$2:$J$1001,0),0), INDEX($Q$1004:$U$1004,1,MATCH(COLUMNS($Q$1006:S1006),$Q$1006:$U$1006,0)))),"Fix")))</f>
        <v xml:space="preserve"> </v>
      </c>
      <c r="E717" s="3" t="str">
        <f ca="1">IF(OR(INDEX($K$2:$K$1001,MATCH(ROWS($J$2:J717),$J$2:$J$1001,0),1)&gt;=100000,INDEX($Q$1005:$U$1005,1,MATCH(COLUMNS($Q$1006:T1006),$Q$1006:$U$1006,0))&gt;=100000), " ",IF(INDEX($Q$2:$U$1001,MATCH(ROWS($J$2:J717),$J$2:$J$1001,0),MATCH(COLUMNS($Q$1006:T1006),$Q$1006:$U$1006,0)), HYPERLINK("#",""), HYPERLINK(CONCATENATE("#Metadata!", ADDRESS(INDEX($L$2:$L$1001,MATCH(ROWS($J$2:J717),$J$2:$J$1001,0),0), INDEX($Q$1004:$U$1004,1,MATCH(COLUMNS($Q$1006:T1006),$Q$1006:$U$1006,0)))),"Fix")))</f>
        <v xml:space="preserve"> </v>
      </c>
      <c r="F717" s="3" t="str">
        <f ca="1">IF(OR(INDEX($K$2:$K$1001,MATCH(ROWS($J$2:J717),$J$2:$J$1001,0),1)&gt;=100000,INDEX($Q$1005:$U$1005,1,MATCH(COLUMNS($Q$1006:U1006),$Q$1006:$U$1006,0))&gt;=100000), " ",IF(INDEX($Q$2:$U$1001,MATCH(ROWS($J$2:J717),$J$2:$J$1001,0),MATCH(COLUMNS($Q$1006:U1006),$Q$1006:$U$1006,0)), HYPERLINK("#",""), HYPERLINK(CONCATENATE("#Metadata!", ADDRESS(INDEX($L$2:$L$1001,MATCH(ROWS($J$2:J717),$J$2:$J$1001,0),0), INDEX($Q$1004:$U$1004,1,MATCH(COLUMNS($Q$1006:U1006),$Q$1006:$U$1006,0)))),"Fix")))</f>
        <v xml:space="preserve"> </v>
      </c>
      <c r="J717">
        <f ca="1"/>
        <v>716</v>
      </c>
      <c r="K717">
        <v>100717</v>
      </c>
      <c r="L717">
        <v>717</v>
      </c>
      <c r="M717" t="b">
        <f t="shared" si="11"/>
        <v>1</v>
      </c>
      <c r="N717" t="b">
        <f>COUNTBLANK(Metadata!B717:F717)=COLUMNS(Metadata!B717:F717)</f>
        <v>1</v>
      </c>
      <c r="O717" t="str">
        <v/>
      </c>
      <c r="Q717" t="b">
        <f ca="1"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R717" t="b">
        <f>IF(Metadata!C717="",FALSE,TRUE)</f>
        <v>0</v>
      </c>
      <c r="S717" t="b">
        <f>OR(AND(IF(Metadata!D717="",FALSE,TRUE),EXACT(Metadata!D717,"missing: not collected")),AND(IF(Metadata!D717="",FALSE,TRUE),OR(EXACT(Metadata!D717,"t"),EXACT(Metadata!D717,"f"))))</f>
        <v>0</v>
      </c>
      <c r="T717" t="b">
        <f>AND(IF(Metadata!E717="",FALSE,TRUE),OR(EXACT(Metadata!E717,"a"),EXACT(Metadata!E717,"b")))</f>
        <v>0</v>
      </c>
      <c r="U717" t="b">
        <f>OR(AND(IF(Metadata!F717="",FALSE,TRUE),OR(EXACT(Metadata!F717,"missing: not collected"),EXACT(Metadata!F717,"missing: not provided"))),AND(IF(Metadata!F717="",FALSE,TRUE),OR(EXACT(Metadata!F717,"lo"),EXACT(Metadata!F717,"med"),EXACT(Metadata!F717,"hi"))))</f>
        <v>0</v>
      </c>
    </row>
    <row r="718" spans="1:21" x14ac:dyDescent="0.2">
      <c r="A718" s="4" t="str">
        <f ca="1">IF(B718=" "," ",HYPERLINK(CONCATENATE("#metadata!",ADDRESS(INDEX($L$2:$L$1001,MATCH(ROWS($J$2:J718),$J$2:$J$1001,0),0),1)),INDEX($O$2:$O$1001,MATCH(ROWS($J$2:J718),$J$2:$J$1001,0),0)))</f>
        <v xml:space="preserve"> </v>
      </c>
      <c r="B718" s="3" t="str">
        <f ca="1">IF(OR(INDEX($K$2:$K$1001,MATCH(ROWS($J$2:J718),$J$2:$J$1001,0),1)&gt;=100000,INDEX($Q$1005:$U$1005,1,MATCH(COLUMNS($Q$1006:Q1006),$Q$1006:$U$1006,0))&gt;=100000), " ",IF(INDEX($Q$2:$U$1001,MATCH(ROWS($J$2:J718),$J$2:$J$1001,0),MATCH(COLUMNS($Q$1006:Q1006),$Q$1006:$U$1006,0)), HYPERLINK("#",""), HYPERLINK(CONCATENATE("#Metadata!", ADDRESS(INDEX($L$2:$L$1001,MATCH(ROWS($J$2:J718),$J$2:$J$1001,0),0), INDEX($Q$1004:$U$1004,1,MATCH(COLUMNS($Q$1006:Q1006),$Q$1006:$U$1006,0)))),"Fix")))</f>
        <v xml:space="preserve"> </v>
      </c>
      <c r="C718" s="3" t="str">
        <f ca="1">IF(OR(INDEX($K$2:$K$1001,MATCH(ROWS($J$2:J718),$J$2:$J$1001,0),1)&gt;=100000,INDEX($Q$1005:$U$1005,1,MATCH(COLUMNS($Q$1006:R1006),$Q$1006:$U$1006,0))&gt;=100000), " ",IF(INDEX($Q$2:$U$1001,MATCH(ROWS($J$2:J718),$J$2:$J$1001,0),MATCH(COLUMNS($Q$1006:R1006),$Q$1006:$U$1006,0)), HYPERLINK("#",""), HYPERLINK(CONCATENATE("#Metadata!", ADDRESS(INDEX($L$2:$L$1001,MATCH(ROWS($J$2:J718),$J$2:$J$1001,0),0), INDEX($Q$1004:$U$1004,1,MATCH(COLUMNS($Q$1006:R1006),$Q$1006:$U$1006,0)))),"Fix")))</f>
        <v xml:space="preserve"> </v>
      </c>
      <c r="D718" s="3" t="str">
        <f ca="1">IF(OR(INDEX($K$2:$K$1001,MATCH(ROWS($J$2:J718),$J$2:$J$1001,0),1)&gt;=100000,INDEX($Q$1005:$U$1005,1,MATCH(COLUMNS($Q$1006:S1006),$Q$1006:$U$1006,0))&gt;=100000), " ",IF(INDEX($Q$2:$U$1001,MATCH(ROWS($J$2:J718),$J$2:$J$1001,0),MATCH(COLUMNS($Q$1006:S1006),$Q$1006:$U$1006,0)), HYPERLINK("#",""), HYPERLINK(CONCATENATE("#Metadata!", ADDRESS(INDEX($L$2:$L$1001,MATCH(ROWS($J$2:J718),$J$2:$J$1001,0),0), INDEX($Q$1004:$U$1004,1,MATCH(COLUMNS($Q$1006:S1006),$Q$1006:$U$1006,0)))),"Fix")))</f>
        <v xml:space="preserve"> </v>
      </c>
      <c r="E718" s="3" t="str">
        <f ca="1">IF(OR(INDEX($K$2:$K$1001,MATCH(ROWS($J$2:J718),$J$2:$J$1001,0),1)&gt;=100000,INDEX($Q$1005:$U$1005,1,MATCH(COLUMNS($Q$1006:T1006),$Q$1006:$U$1006,0))&gt;=100000), " ",IF(INDEX($Q$2:$U$1001,MATCH(ROWS($J$2:J718),$J$2:$J$1001,0),MATCH(COLUMNS($Q$1006:T1006),$Q$1006:$U$1006,0)), HYPERLINK("#",""), HYPERLINK(CONCATENATE("#Metadata!", ADDRESS(INDEX($L$2:$L$1001,MATCH(ROWS($J$2:J718),$J$2:$J$1001,0),0), INDEX($Q$1004:$U$1004,1,MATCH(COLUMNS($Q$1006:T1006),$Q$1006:$U$1006,0)))),"Fix")))</f>
        <v xml:space="preserve"> </v>
      </c>
      <c r="F718" s="3" t="str">
        <f ca="1">IF(OR(INDEX($K$2:$K$1001,MATCH(ROWS($J$2:J718),$J$2:$J$1001,0),1)&gt;=100000,INDEX($Q$1005:$U$1005,1,MATCH(COLUMNS($Q$1006:U1006),$Q$1006:$U$1006,0))&gt;=100000), " ",IF(INDEX($Q$2:$U$1001,MATCH(ROWS($J$2:J718),$J$2:$J$1001,0),MATCH(COLUMNS($Q$1006:U1006),$Q$1006:$U$1006,0)), HYPERLINK("#",""), HYPERLINK(CONCATENATE("#Metadata!", ADDRESS(INDEX($L$2:$L$1001,MATCH(ROWS($J$2:J718),$J$2:$J$1001,0),0), INDEX($Q$1004:$U$1004,1,MATCH(COLUMNS($Q$1006:U1006),$Q$1006:$U$1006,0)))),"Fix")))</f>
        <v xml:space="preserve"> </v>
      </c>
      <c r="J718">
        <f ca="1"/>
        <v>717</v>
      </c>
      <c r="K718">
        <v>100718</v>
      </c>
      <c r="L718">
        <v>718</v>
      </c>
      <c r="M718" t="b">
        <f t="shared" si="11"/>
        <v>1</v>
      </c>
      <c r="N718" t="b">
        <f>COUNTBLANK(Metadata!B718:F718)=COLUMNS(Metadata!B718:F718)</f>
        <v>1</v>
      </c>
      <c r="O718" t="str">
        <v/>
      </c>
      <c r="Q718" t="b">
        <f ca="1"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R718" t="b">
        <f>IF(Metadata!C718="",FALSE,TRUE)</f>
        <v>0</v>
      </c>
      <c r="S718" t="b">
        <f>OR(AND(IF(Metadata!D718="",FALSE,TRUE),EXACT(Metadata!D718,"missing: not collected")),AND(IF(Metadata!D718="",FALSE,TRUE),OR(EXACT(Metadata!D718,"t"),EXACT(Metadata!D718,"f"))))</f>
        <v>0</v>
      </c>
      <c r="T718" t="b">
        <f>AND(IF(Metadata!E718="",FALSE,TRUE),OR(EXACT(Metadata!E718,"a"),EXACT(Metadata!E718,"b")))</f>
        <v>0</v>
      </c>
      <c r="U718" t="b">
        <f>OR(AND(IF(Metadata!F718="",FALSE,TRUE),OR(EXACT(Metadata!F718,"missing: not collected"),EXACT(Metadata!F718,"missing: not provided"))),AND(IF(Metadata!F718="",FALSE,TRUE),OR(EXACT(Metadata!F718,"lo"),EXACT(Metadata!F718,"med"),EXACT(Metadata!F718,"hi"))))</f>
        <v>0</v>
      </c>
    </row>
    <row r="719" spans="1:21" x14ac:dyDescent="0.2">
      <c r="A719" s="4" t="str">
        <f ca="1">IF(B719=" "," ",HYPERLINK(CONCATENATE("#metadata!",ADDRESS(INDEX($L$2:$L$1001,MATCH(ROWS($J$2:J719),$J$2:$J$1001,0),0),1)),INDEX($O$2:$O$1001,MATCH(ROWS($J$2:J719),$J$2:$J$1001,0),0)))</f>
        <v xml:space="preserve"> </v>
      </c>
      <c r="B719" s="3" t="str">
        <f ca="1">IF(OR(INDEX($K$2:$K$1001,MATCH(ROWS($J$2:J719),$J$2:$J$1001,0),1)&gt;=100000,INDEX($Q$1005:$U$1005,1,MATCH(COLUMNS($Q$1006:Q1006),$Q$1006:$U$1006,0))&gt;=100000), " ",IF(INDEX($Q$2:$U$1001,MATCH(ROWS($J$2:J719),$J$2:$J$1001,0),MATCH(COLUMNS($Q$1006:Q1006),$Q$1006:$U$1006,0)), HYPERLINK("#",""), HYPERLINK(CONCATENATE("#Metadata!", ADDRESS(INDEX($L$2:$L$1001,MATCH(ROWS($J$2:J719),$J$2:$J$1001,0),0), INDEX($Q$1004:$U$1004,1,MATCH(COLUMNS($Q$1006:Q1006),$Q$1006:$U$1006,0)))),"Fix")))</f>
        <v xml:space="preserve"> </v>
      </c>
      <c r="C719" s="3" t="str">
        <f ca="1">IF(OR(INDEX($K$2:$K$1001,MATCH(ROWS($J$2:J719),$J$2:$J$1001,0),1)&gt;=100000,INDEX($Q$1005:$U$1005,1,MATCH(COLUMNS($Q$1006:R1006),$Q$1006:$U$1006,0))&gt;=100000), " ",IF(INDEX($Q$2:$U$1001,MATCH(ROWS($J$2:J719),$J$2:$J$1001,0),MATCH(COLUMNS($Q$1006:R1006),$Q$1006:$U$1006,0)), HYPERLINK("#",""), HYPERLINK(CONCATENATE("#Metadata!", ADDRESS(INDEX($L$2:$L$1001,MATCH(ROWS($J$2:J719),$J$2:$J$1001,0),0), INDEX($Q$1004:$U$1004,1,MATCH(COLUMNS($Q$1006:R1006),$Q$1006:$U$1006,0)))),"Fix")))</f>
        <v xml:space="preserve"> </v>
      </c>
      <c r="D719" s="3" t="str">
        <f ca="1">IF(OR(INDEX($K$2:$K$1001,MATCH(ROWS($J$2:J719),$J$2:$J$1001,0),1)&gt;=100000,INDEX($Q$1005:$U$1005,1,MATCH(COLUMNS($Q$1006:S1006),$Q$1006:$U$1006,0))&gt;=100000), " ",IF(INDEX($Q$2:$U$1001,MATCH(ROWS($J$2:J719),$J$2:$J$1001,0),MATCH(COLUMNS($Q$1006:S1006),$Q$1006:$U$1006,0)), HYPERLINK("#",""), HYPERLINK(CONCATENATE("#Metadata!", ADDRESS(INDEX($L$2:$L$1001,MATCH(ROWS($J$2:J719),$J$2:$J$1001,0),0), INDEX($Q$1004:$U$1004,1,MATCH(COLUMNS($Q$1006:S1006),$Q$1006:$U$1006,0)))),"Fix")))</f>
        <v xml:space="preserve"> </v>
      </c>
      <c r="E719" s="3" t="str">
        <f ca="1">IF(OR(INDEX($K$2:$K$1001,MATCH(ROWS($J$2:J719),$J$2:$J$1001,0),1)&gt;=100000,INDEX($Q$1005:$U$1005,1,MATCH(COLUMNS($Q$1006:T1006),$Q$1006:$U$1006,0))&gt;=100000), " ",IF(INDEX($Q$2:$U$1001,MATCH(ROWS($J$2:J719),$J$2:$J$1001,0),MATCH(COLUMNS($Q$1006:T1006),$Q$1006:$U$1006,0)), HYPERLINK("#",""), HYPERLINK(CONCATENATE("#Metadata!", ADDRESS(INDEX($L$2:$L$1001,MATCH(ROWS($J$2:J719),$J$2:$J$1001,0),0), INDEX($Q$1004:$U$1004,1,MATCH(COLUMNS($Q$1006:T1006),$Q$1006:$U$1006,0)))),"Fix")))</f>
        <v xml:space="preserve"> </v>
      </c>
      <c r="F719" s="3" t="str">
        <f ca="1">IF(OR(INDEX($K$2:$K$1001,MATCH(ROWS($J$2:J719),$J$2:$J$1001,0),1)&gt;=100000,INDEX($Q$1005:$U$1005,1,MATCH(COLUMNS($Q$1006:U1006),$Q$1006:$U$1006,0))&gt;=100000), " ",IF(INDEX($Q$2:$U$1001,MATCH(ROWS($J$2:J719),$J$2:$J$1001,0),MATCH(COLUMNS($Q$1006:U1006),$Q$1006:$U$1006,0)), HYPERLINK("#",""), HYPERLINK(CONCATENATE("#Metadata!", ADDRESS(INDEX($L$2:$L$1001,MATCH(ROWS($J$2:J719),$J$2:$J$1001,0),0), INDEX($Q$1004:$U$1004,1,MATCH(COLUMNS($Q$1006:U1006),$Q$1006:$U$1006,0)))),"Fix")))</f>
        <v xml:space="preserve"> </v>
      </c>
      <c r="J719">
        <f ca="1"/>
        <v>718</v>
      </c>
      <c r="K719">
        <v>100719</v>
      </c>
      <c r="L719">
        <v>719</v>
      </c>
      <c r="M719" t="b">
        <f t="shared" si="11"/>
        <v>1</v>
      </c>
      <c r="N719" t="b">
        <f>COUNTBLANK(Metadata!B719:F719)=COLUMNS(Metadata!B719:F719)</f>
        <v>1</v>
      </c>
      <c r="O719" t="str">
        <v/>
      </c>
      <c r="Q719" t="b">
        <f ca="1"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R719" t="b">
        <f>IF(Metadata!C719="",FALSE,TRUE)</f>
        <v>0</v>
      </c>
      <c r="S719" t="b">
        <f>OR(AND(IF(Metadata!D719="",FALSE,TRUE),EXACT(Metadata!D719,"missing: not collected")),AND(IF(Metadata!D719="",FALSE,TRUE),OR(EXACT(Metadata!D719,"t"),EXACT(Metadata!D719,"f"))))</f>
        <v>0</v>
      </c>
      <c r="T719" t="b">
        <f>AND(IF(Metadata!E719="",FALSE,TRUE),OR(EXACT(Metadata!E719,"a"),EXACT(Metadata!E719,"b")))</f>
        <v>0</v>
      </c>
      <c r="U719" t="b">
        <f>OR(AND(IF(Metadata!F719="",FALSE,TRUE),OR(EXACT(Metadata!F719,"missing: not collected"),EXACT(Metadata!F719,"missing: not provided"))),AND(IF(Metadata!F719="",FALSE,TRUE),OR(EXACT(Metadata!F719,"lo"),EXACT(Metadata!F719,"med"),EXACT(Metadata!F719,"hi"))))</f>
        <v>0</v>
      </c>
    </row>
    <row r="720" spans="1:21" x14ac:dyDescent="0.2">
      <c r="A720" s="4" t="str">
        <f ca="1">IF(B720=" "," ",HYPERLINK(CONCATENATE("#metadata!",ADDRESS(INDEX($L$2:$L$1001,MATCH(ROWS($J$2:J720),$J$2:$J$1001,0),0),1)),INDEX($O$2:$O$1001,MATCH(ROWS($J$2:J720),$J$2:$J$1001,0),0)))</f>
        <v xml:space="preserve"> </v>
      </c>
      <c r="B720" s="3" t="str">
        <f ca="1">IF(OR(INDEX($K$2:$K$1001,MATCH(ROWS($J$2:J720),$J$2:$J$1001,0),1)&gt;=100000,INDEX($Q$1005:$U$1005,1,MATCH(COLUMNS($Q$1006:Q1006),$Q$1006:$U$1006,0))&gt;=100000), " ",IF(INDEX($Q$2:$U$1001,MATCH(ROWS($J$2:J720),$J$2:$J$1001,0),MATCH(COLUMNS($Q$1006:Q1006),$Q$1006:$U$1006,0)), HYPERLINK("#",""), HYPERLINK(CONCATENATE("#Metadata!", ADDRESS(INDEX($L$2:$L$1001,MATCH(ROWS($J$2:J720),$J$2:$J$1001,0),0), INDEX($Q$1004:$U$1004,1,MATCH(COLUMNS($Q$1006:Q1006),$Q$1006:$U$1006,0)))),"Fix")))</f>
        <v xml:space="preserve"> </v>
      </c>
      <c r="C720" s="3" t="str">
        <f ca="1">IF(OR(INDEX($K$2:$K$1001,MATCH(ROWS($J$2:J720),$J$2:$J$1001,0),1)&gt;=100000,INDEX($Q$1005:$U$1005,1,MATCH(COLUMNS($Q$1006:R1006),$Q$1006:$U$1006,0))&gt;=100000), " ",IF(INDEX($Q$2:$U$1001,MATCH(ROWS($J$2:J720),$J$2:$J$1001,0),MATCH(COLUMNS($Q$1006:R1006),$Q$1006:$U$1006,0)), HYPERLINK("#",""), HYPERLINK(CONCATENATE("#Metadata!", ADDRESS(INDEX($L$2:$L$1001,MATCH(ROWS($J$2:J720),$J$2:$J$1001,0),0), INDEX($Q$1004:$U$1004,1,MATCH(COLUMNS($Q$1006:R1006),$Q$1006:$U$1006,0)))),"Fix")))</f>
        <v xml:space="preserve"> </v>
      </c>
      <c r="D720" s="3" t="str">
        <f ca="1">IF(OR(INDEX($K$2:$K$1001,MATCH(ROWS($J$2:J720),$J$2:$J$1001,0),1)&gt;=100000,INDEX($Q$1005:$U$1005,1,MATCH(COLUMNS($Q$1006:S1006),$Q$1006:$U$1006,0))&gt;=100000), " ",IF(INDEX($Q$2:$U$1001,MATCH(ROWS($J$2:J720),$J$2:$J$1001,0),MATCH(COLUMNS($Q$1006:S1006),$Q$1006:$U$1006,0)), HYPERLINK("#",""), HYPERLINK(CONCATENATE("#Metadata!", ADDRESS(INDEX($L$2:$L$1001,MATCH(ROWS($J$2:J720),$J$2:$J$1001,0),0), INDEX($Q$1004:$U$1004,1,MATCH(COLUMNS($Q$1006:S1006),$Q$1006:$U$1006,0)))),"Fix")))</f>
        <v xml:space="preserve"> </v>
      </c>
      <c r="E720" s="3" t="str">
        <f ca="1">IF(OR(INDEX($K$2:$K$1001,MATCH(ROWS($J$2:J720),$J$2:$J$1001,0),1)&gt;=100000,INDEX($Q$1005:$U$1005,1,MATCH(COLUMNS($Q$1006:T1006),$Q$1006:$U$1006,0))&gt;=100000), " ",IF(INDEX($Q$2:$U$1001,MATCH(ROWS($J$2:J720),$J$2:$J$1001,0),MATCH(COLUMNS($Q$1006:T1006),$Q$1006:$U$1006,0)), HYPERLINK("#",""), HYPERLINK(CONCATENATE("#Metadata!", ADDRESS(INDEX($L$2:$L$1001,MATCH(ROWS($J$2:J720),$J$2:$J$1001,0),0), INDEX($Q$1004:$U$1004,1,MATCH(COLUMNS($Q$1006:T1006),$Q$1006:$U$1006,0)))),"Fix")))</f>
        <v xml:space="preserve"> </v>
      </c>
      <c r="F720" s="3" t="str">
        <f ca="1">IF(OR(INDEX($K$2:$K$1001,MATCH(ROWS($J$2:J720),$J$2:$J$1001,0),1)&gt;=100000,INDEX($Q$1005:$U$1005,1,MATCH(COLUMNS($Q$1006:U1006),$Q$1006:$U$1006,0))&gt;=100000), " ",IF(INDEX($Q$2:$U$1001,MATCH(ROWS($J$2:J720),$J$2:$J$1001,0),MATCH(COLUMNS($Q$1006:U1006),$Q$1006:$U$1006,0)), HYPERLINK("#",""), HYPERLINK(CONCATENATE("#Metadata!", ADDRESS(INDEX($L$2:$L$1001,MATCH(ROWS($J$2:J720),$J$2:$J$1001,0),0), INDEX($Q$1004:$U$1004,1,MATCH(COLUMNS($Q$1006:U1006),$Q$1006:$U$1006,0)))),"Fix")))</f>
        <v xml:space="preserve"> </v>
      </c>
      <c r="J720">
        <f ca="1"/>
        <v>719</v>
      </c>
      <c r="K720">
        <v>100720</v>
      </c>
      <c r="L720">
        <v>720</v>
      </c>
      <c r="M720" t="b">
        <f t="shared" si="11"/>
        <v>1</v>
      </c>
      <c r="N720" t="b">
        <f>COUNTBLANK(Metadata!B720:F720)=COLUMNS(Metadata!B720:F720)</f>
        <v>1</v>
      </c>
      <c r="O720" t="str">
        <v/>
      </c>
      <c r="Q720" t="b">
        <f ca="1"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R720" t="b">
        <f>IF(Metadata!C720="",FALSE,TRUE)</f>
        <v>0</v>
      </c>
      <c r="S720" t="b">
        <f>OR(AND(IF(Metadata!D720="",FALSE,TRUE),EXACT(Metadata!D720,"missing: not collected")),AND(IF(Metadata!D720="",FALSE,TRUE),OR(EXACT(Metadata!D720,"t"),EXACT(Metadata!D720,"f"))))</f>
        <v>0</v>
      </c>
      <c r="T720" t="b">
        <f>AND(IF(Metadata!E720="",FALSE,TRUE),OR(EXACT(Metadata!E720,"a"),EXACT(Metadata!E720,"b")))</f>
        <v>0</v>
      </c>
      <c r="U720" t="b">
        <f>OR(AND(IF(Metadata!F720="",FALSE,TRUE),OR(EXACT(Metadata!F720,"missing: not collected"),EXACT(Metadata!F720,"missing: not provided"))),AND(IF(Metadata!F720="",FALSE,TRUE),OR(EXACT(Metadata!F720,"lo"),EXACT(Metadata!F720,"med"),EXACT(Metadata!F720,"hi"))))</f>
        <v>0</v>
      </c>
    </row>
    <row r="721" spans="1:21" x14ac:dyDescent="0.2">
      <c r="A721" s="4" t="str">
        <f ca="1">IF(B721=" "," ",HYPERLINK(CONCATENATE("#metadata!",ADDRESS(INDEX($L$2:$L$1001,MATCH(ROWS($J$2:J721),$J$2:$J$1001,0),0),1)),INDEX($O$2:$O$1001,MATCH(ROWS($J$2:J721),$J$2:$J$1001,0),0)))</f>
        <v xml:space="preserve"> </v>
      </c>
      <c r="B721" s="3" t="str">
        <f ca="1">IF(OR(INDEX($K$2:$K$1001,MATCH(ROWS($J$2:J721),$J$2:$J$1001,0),1)&gt;=100000,INDEX($Q$1005:$U$1005,1,MATCH(COLUMNS($Q$1006:Q1006),$Q$1006:$U$1006,0))&gt;=100000), " ",IF(INDEX($Q$2:$U$1001,MATCH(ROWS($J$2:J721),$J$2:$J$1001,0),MATCH(COLUMNS($Q$1006:Q1006),$Q$1006:$U$1006,0)), HYPERLINK("#",""), HYPERLINK(CONCATENATE("#Metadata!", ADDRESS(INDEX($L$2:$L$1001,MATCH(ROWS($J$2:J721),$J$2:$J$1001,0),0), INDEX($Q$1004:$U$1004,1,MATCH(COLUMNS($Q$1006:Q1006),$Q$1006:$U$1006,0)))),"Fix")))</f>
        <v xml:space="preserve"> </v>
      </c>
      <c r="C721" s="3" t="str">
        <f ca="1">IF(OR(INDEX($K$2:$K$1001,MATCH(ROWS($J$2:J721),$J$2:$J$1001,0),1)&gt;=100000,INDEX($Q$1005:$U$1005,1,MATCH(COLUMNS($Q$1006:R1006),$Q$1006:$U$1006,0))&gt;=100000), " ",IF(INDEX($Q$2:$U$1001,MATCH(ROWS($J$2:J721),$J$2:$J$1001,0),MATCH(COLUMNS($Q$1006:R1006),$Q$1006:$U$1006,0)), HYPERLINK("#",""), HYPERLINK(CONCATENATE("#Metadata!", ADDRESS(INDEX($L$2:$L$1001,MATCH(ROWS($J$2:J721),$J$2:$J$1001,0),0), INDEX($Q$1004:$U$1004,1,MATCH(COLUMNS($Q$1006:R1006),$Q$1006:$U$1006,0)))),"Fix")))</f>
        <v xml:space="preserve"> </v>
      </c>
      <c r="D721" s="3" t="str">
        <f ca="1">IF(OR(INDEX($K$2:$K$1001,MATCH(ROWS($J$2:J721),$J$2:$J$1001,0),1)&gt;=100000,INDEX($Q$1005:$U$1005,1,MATCH(COLUMNS($Q$1006:S1006),$Q$1006:$U$1006,0))&gt;=100000), " ",IF(INDEX($Q$2:$U$1001,MATCH(ROWS($J$2:J721),$J$2:$J$1001,0),MATCH(COLUMNS($Q$1006:S1006),$Q$1006:$U$1006,0)), HYPERLINK("#",""), HYPERLINK(CONCATENATE("#Metadata!", ADDRESS(INDEX($L$2:$L$1001,MATCH(ROWS($J$2:J721),$J$2:$J$1001,0),0), INDEX($Q$1004:$U$1004,1,MATCH(COLUMNS($Q$1006:S1006),$Q$1006:$U$1006,0)))),"Fix")))</f>
        <v xml:space="preserve"> </v>
      </c>
      <c r="E721" s="3" t="str">
        <f ca="1">IF(OR(INDEX($K$2:$K$1001,MATCH(ROWS($J$2:J721),$J$2:$J$1001,0),1)&gt;=100000,INDEX($Q$1005:$U$1005,1,MATCH(COLUMNS($Q$1006:T1006),$Q$1006:$U$1006,0))&gt;=100000), " ",IF(INDEX($Q$2:$U$1001,MATCH(ROWS($J$2:J721),$J$2:$J$1001,0),MATCH(COLUMNS($Q$1006:T1006),$Q$1006:$U$1006,0)), HYPERLINK("#",""), HYPERLINK(CONCATENATE("#Metadata!", ADDRESS(INDEX($L$2:$L$1001,MATCH(ROWS($J$2:J721),$J$2:$J$1001,0),0), INDEX($Q$1004:$U$1004,1,MATCH(COLUMNS($Q$1006:T1006),$Q$1006:$U$1006,0)))),"Fix")))</f>
        <v xml:space="preserve"> </v>
      </c>
      <c r="F721" s="3" t="str">
        <f ca="1">IF(OR(INDEX($K$2:$K$1001,MATCH(ROWS($J$2:J721),$J$2:$J$1001,0),1)&gt;=100000,INDEX($Q$1005:$U$1005,1,MATCH(COLUMNS($Q$1006:U1006),$Q$1006:$U$1006,0))&gt;=100000), " ",IF(INDEX($Q$2:$U$1001,MATCH(ROWS($J$2:J721),$J$2:$J$1001,0),MATCH(COLUMNS($Q$1006:U1006),$Q$1006:$U$1006,0)), HYPERLINK("#",""), HYPERLINK(CONCATENATE("#Metadata!", ADDRESS(INDEX($L$2:$L$1001,MATCH(ROWS($J$2:J721),$J$2:$J$1001,0),0), INDEX($Q$1004:$U$1004,1,MATCH(COLUMNS($Q$1006:U1006),$Q$1006:$U$1006,0)))),"Fix")))</f>
        <v xml:space="preserve"> </v>
      </c>
      <c r="J721">
        <f ca="1"/>
        <v>720</v>
      </c>
      <c r="K721">
        <v>100721</v>
      </c>
      <c r="L721">
        <v>721</v>
      </c>
      <c r="M721" t="b">
        <f t="shared" si="11"/>
        <v>1</v>
      </c>
      <c r="N721" t="b">
        <f>COUNTBLANK(Metadata!B721:F721)=COLUMNS(Metadata!B721:F721)</f>
        <v>1</v>
      </c>
      <c r="O721" t="str">
        <v/>
      </c>
      <c r="Q721" t="b">
        <f ca="1"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R721" t="b">
        <f>IF(Metadata!C721="",FALSE,TRUE)</f>
        <v>0</v>
      </c>
      <c r="S721" t="b">
        <f>OR(AND(IF(Metadata!D721="",FALSE,TRUE),EXACT(Metadata!D721,"missing: not collected")),AND(IF(Metadata!D721="",FALSE,TRUE),OR(EXACT(Metadata!D721,"t"),EXACT(Metadata!D721,"f"))))</f>
        <v>0</v>
      </c>
      <c r="T721" t="b">
        <f>AND(IF(Metadata!E721="",FALSE,TRUE),OR(EXACT(Metadata!E721,"a"),EXACT(Metadata!E721,"b")))</f>
        <v>0</v>
      </c>
      <c r="U721" t="b">
        <f>OR(AND(IF(Metadata!F721="",FALSE,TRUE),OR(EXACT(Metadata!F721,"missing: not collected"),EXACT(Metadata!F721,"missing: not provided"))),AND(IF(Metadata!F721="",FALSE,TRUE),OR(EXACT(Metadata!F721,"lo"),EXACT(Metadata!F721,"med"),EXACT(Metadata!F721,"hi"))))</f>
        <v>0</v>
      </c>
    </row>
    <row r="722" spans="1:21" x14ac:dyDescent="0.2">
      <c r="A722" s="4" t="str">
        <f ca="1">IF(B722=" "," ",HYPERLINK(CONCATENATE("#metadata!",ADDRESS(INDEX($L$2:$L$1001,MATCH(ROWS($J$2:J722),$J$2:$J$1001,0),0),1)),INDEX($O$2:$O$1001,MATCH(ROWS($J$2:J722),$J$2:$J$1001,0),0)))</f>
        <v xml:space="preserve"> </v>
      </c>
      <c r="B722" s="3" t="str">
        <f ca="1">IF(OR(INDEX($K$2:$K$1001,MATCH(ROWS($J$2:J722),$J$2:$J$1001,0),1)&gt;=100000,INDEX($Q$1005:$U$1005,1,MATCH(COLUMNS($Q$1006:Q1006),$Q$1006:$U$1006,0))&gt;=100000), " ",IF(INDEX($Q$2:$U$1001,MATCH(ROWS($J$2:J722),$J$2:$J$1001,0),MATCH(COLUMNS($Q$1006:Q1006),$Q$1006:$U$1006,0)), HYPERLINK("#",""), HYPERLINK(CONCATENATE("#Metadata!", ADDRESS(INDEX($L$2:$L$1001,MATCH(ROWS($J$2:J722),$J$2:$J$1001,0),0), INDEX($Q$1004:$U$1004,1,MATCH(COLUMNS($Q$1006:Q1006),$Q$1006:$U$1006,0)))),"Fix")))</f>
        <v xml:space="preserve"> </v>
      </c>
      <c r="C722" s="3" t="str">
        <f ca="1">IF(OR(INDEX($K$2:$K$1001,MATCH(ROWS($J$2:J722),$J$2:$J$1001,0),1)&gt;=100000,INDEX($Q$1005:$U$1005,1,MATCH(COLUMNS($Q$1006:R1006),$Q$1006:$U$1006,0))&gt;=100000), " ",IF(INDEX($Q$2:$U$1001,MATCH(ROWS($J$2:J722),$J$2:$J$1001,0),MATCH(COLUMNS($Q$1006:R1006),$Q$1006:$U$1006,0)), HYPERLINK("#",""), HYPERLINK(CONCATENATE("#Metadata!", ADDRESS(INDEX($L$2:$L$1001,MATCH(ROWS($J$2:J722),$J$2:$J$1001,0),0), INDEX($Q$1004:$U$1004,1,MATCH(COLUMNS($Q$1006:R1006),$Q$1006:$U$1006,0)))),"Fix")))</f>
        <v xml:space="preserve"> </v>
      </c>
      <c r="D722" s="3" t="str">
        <f ca="1">IF(OR(INDEX($K$2:$K$1001,MATCH(ROWS($J$2:J722),$J$2:$J$1001,0),1)&gt;=100000,INDEX($Q$1005:$U$1005,1,MATCH(COLUMNS($Q$1006:S1006),$Q$1006:$U$1006,0))&gt;=100000), " ",IF(INDEX($Q$2:$U$1001,MATCH(ROWS($J$2:J722),$J$2:$J$1001,0),MATCH(COLUMNS($Q$1006:S1006),$Q$1006:$U$1006,0)), HYPERLINK("#",""), HYPERLINK(CONCATENATE("#Metadata!", ADDRESS(INDEX($L$2:$L$1001,MATCH(ROWS($J$2:J722),$J$2:$J$1001,0),0), INDEX($Q$1004:$U$1004,1,MATCH(COLUMNS($Q$1006:S1006),$Q$1006:$U$1006,0)))),"Fix")))</f>
        <v xml:space="preserve"> </v>
      </c>
      <c r="E722" s="3" t="str">
        <f ca="1">IF(OR(INDEX($K$2:$K$1001,MATCH(ROWS($J$2:J722),$J$2:$J$1001,0),1)&gt;=100000,INDEX($Q$1005:$U$1005,1,MATCH(COLUMNS($Q$1006:T1006),$Q$1006:$U$1006,0))&gt;=100000), " ",IF(INDEX($Q$2:$U$1001,MATCH(ROWS($J$2:J722),$J$2:$J$1001,0),MATCH(COLUMNS($Q$1006:T1006),$Q$1006:$U$1006,0)), HYPERLINK("#",""), HYPERLINK(CONCATENATE("#Metadata!", ADDRESS(INDEX($L$2:$L$1001,MATCH(ROWS($J$2:J722),$J$2:$J$1001,0),0), INDEX($Q$1004:$U$1004,1,MATCH(COLUMNS($Q$1006:T1006),$Q$1006:$U$1006,0)))),"Fix")))</f>
        <v xml:space="preserve"> </v>
      </c>
      <c r="F722" s="3" t="str">
        <f ca="1">IF(OR(INDEX($K$2:$K$1001,MATCH(ROWS($J$2:J722),$J$2:$J$1001,0),1)&gt;=100000,INDEX($Q$1005:$U$1005,1,MATCH(COLUMNS($Q$1006:U1006),$Q$1006:$U$1006,0))&gt;=100000), " ",IF(INDEX($Q$2:$U$1001,MATCH(ROWS($J$2:J722),$J$2:$J$1001,0),MATCH(COLUMNS($Q$1006:U1006),$Q$1006:$U$1006,0)), HYPERLINK("#",""), HYPERLINK(CONCATENATE("#Metadata!", ADDRESS(INDEX($L$2:$L$1001,MATCH(ROWS($J$2:J722),$J$2:$J$1001,0),0), INDEX($Q$1004:$U$1004,1,MATCH(COLUMNS($Q$1006:U1006),$Q$1006:$U$1006,0)))),"Fix")))</f>
        <v xml:space="preserve"> </v>
      </c>
      <c r="J722">
        <f ca="1"/>
        <v>721</v>
      </c>
      <c r="K722">
        <v>100722</v>
      </c>
      <c r="L722">
        <v>722</v>
      </c>
      <c r="M722" t="b">
        <f t="shared" si="11"/>
        <v>1</v>
      </c>
      <c r="N722" t="b">
        <f>COUNTBLANK(Metadata!B722:F722)=COLUMNS(Metadata!B722:F722)</f>
        <v>1</v>
      </c>
      <c r="O722" t="str">
        <v/>
      </c>
      <c r="Q722" t="b">
        <f ca="1"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R722" t="b">
        <f>IF(Metadata!C722="",FALSE,TRUE)</f>
        <v>0</v>
      </c>
      <c r="S722" t="b">
        <f>OR(AND(IF(Metadata!D722="",FALSE,TRUE),EXACT(Metadata!D722,"missing: not collected")),AND(IF(Metadata!D722="",FALSE,TRUE),OR(EXACT(Metadata!D722,"t"),EXACT(Metadata!D722,"f"))))</f>
        <v>0</v>
      </c>
      <c r="T722" t="b">
        <f>AND(IF(Metadata!E722="",FALSE,TRUE),OR(EXACT(Metadata!E722,"a"),EXACT(Metadata!E722,"b")))</f>
        <v>0</v>
      </c>
      <c r="U722" t="b">
        <f>OR(AND(IF(Metadata!F722="",FALSE,TRUE),OR(EXACT(Metadata!F722,"missing: not collected"),EXACT(Metadata!F722,"missing: not provided"))),AND(IF(Metadata!F722="",FALSE,TRUE),OR(EXACT(Metadata!F722,"lo"),EXACT(Metadata!F722,"med"),EXACT(Metadata!F722,"hi"))))</f>
        <v>0</v>
      </c>
    </row>
    <row r="723" spans="1:21" x14ac:dyDescent="0.2">
      <c r="A723" s="4" t="str">
        <f ca="1">IF(B723=" "," ",HYPERLINK(CONCATENATE("#metadata!",ADDRESS(INDEX($L$2:$L$1001,MATCH(ROWS($J$2:J723),$J$2:$J$1001,0),0),1)),INDEX($O$2:$O$1001,MATCH(ROWS($J$2:J723),$J$2:$J$1001,0),0)))</f>
        <v xml:space="preserve"> </v>
      </c>
      <c r="B723" s="3" t="str">
        <f ca="1">IF(OR(INDEX($K$2:$K$1001,MATCH(ROWS($J$2:J723),$J$2:$J$1001,0),1)&gt;=100000,INDEX($Q$1005:$U$1005,1,MATCH(COLUMNS($Q$1006:Q1006),$Q$1006:$U$1006,0))&gt;=100000), " ",IF(INDEX($Q$2:$U$1001,MATCH(ROWS($J$2:J723),$J$2:$J$1001,0),MATCH(COLUMNS($Q$1006:Q1006),$Q$1006:$U$1006,0)), HYPERLINK("#",""), HYPERLINK(CONCATENATE("#Metadata!", ADDRESS(INDEX($L$2:$L$1001,MATCH(ROWS($J$2:J723),$J$2:$J$1001,0),0), INDEX($Q$1004:$U$1004,1,MATCH(COLUMNS($Q$1006:Q1006),$Q$1006:$U$1006,0)))),"Fix")))</f>
        <v xml:space="preserve"> </v>
      </c>
      <c r="C723" s="3" t="str">
        <f ca="1">IF(OR(INDEX($K$2:$K$1001,MATCH(ROWS($J$2:J723),$J$2:$J$1001,0),1)&gt;=100000,INDEX($Q$1005:$U$1005,1,MATCH(COLUMNS($Q$1006:R1006),$Q$1006:$U$1006,0))&gt;=100000), " ",IF(INDEX($Q$2:$U$1001,MATCH(ROWS($J$2:J723),$J$2:$J$1001,0),MATCH(COLUMNS($Q$1006:R1006),$Q$1006:$U$1006,0)), HYPERLINK("#",""), HYPERLINK(CONCATENATE("#Metadata!", ADDRESS(INDEX($L$2:$L$1001,MATCH(ROWS($J$2:J723),$J$2:$J$1001,0),0), INDEX($Q$1004:$U$1004,1,MATCH(COLUMNS($Q$1006:R1006),$Q$1006:$U$1006,0)))),"Fix")))</f>
        <v xml:space="preserve"> </v>
      </c>
      <c r="D723" s="3" t="str">
        <f ca="1">IF(OR(INDEX($K$2:$K$1001,MATCH(ROWS($J$2:J723),$J$2:$J$1001,0),1)&gt;=100000,INDEX($Q$1005:$U$1005,1,MATCH(COLUMNS($Q$1006:S1006),$Q$1006:$U$1006,0))&gt;=100000), " ",IF(INDEX($Q$2:$U$1001,MATCH(ROWS($J$2:J723),$J$2:$J$1001,0),MATCH(COLUMNS($Q$1006:S1006),$Q$1006:$U$1006,0)), HYPERLINK("#",""), HYPERLINK(CONCATENATE("#Metadata!", ADDRESS(INDEX($L$2:$L$1001,MATCH(ROWS($J$2:J723),$J$2:$J$1001,0),0), INDEX($Q$1004:$U$1004,1,MATCH(COLUMNS($Q$1006:S1006),$Q$1006:$U$1006,0)))),"Fix")))</f>
        <v xml:space="preserve"> </v>
      </c>
      <c r="E723" s="3" t="str">
        <f ca="1">IF(OR(INDEX($K$2:$K$1001,MATCH(ROWS($J$2:J723),$J$2:$J$1001,0),1)&gt;=100000,INDEX($Q$1005:$U$1005,1,MATCH(COLUMNS($Q$1006:T1006),$Q$1006:$U$1006,0))&gt;=100000), " ",IF(INDEX($Q$2:$U$1001,MATCH(ROWS($J$2:J723),$J$2:$J$1001,0),MATCH(COLUMNS($Q$1006:T1006),$Q$1006:$U$1006,0)), HYPERLINK("#",""), HYPERLINK(CONCATENATE("#Metadata!", ADDRESS(INDEX($L$2:$L$1001,MATCH(ROWS($J$2:J723),$J$2:$J$1001,0),0), INDEX($Q$1004:$U$1004,1,MATCH(COLUMNS($Q$1006:T1006),$Q$1006:$U$1006,0)))),"Fix")))</f>
        <v xml:space="preserve"> </v>
      </c>
      <c r="F723" s="3" t="str">
        <f ca="1">IF(OR(INDEX($K$2:$K$1001,MATCH(ROWS($J$2:J723),$J$2:$J$1001,0),1)&gt;=100000,INDEX($Q$1005:$U$1005,1,MATCH(COLUMNS($Q$1006:U1006),$Q$1006:$U$1006,0))&gt;=100000), " ",IF(INDEX($Q$2:$U$1001,MATCH(ROWS($J$2:J723),$J$2:$J$1001,0),MATCH(COLUMNS($Q$1006:U1006),$Q$1006:$U$1006,0)), HYPERLINK("#",""), HYPERLINK(CONCATENATE("#Metadata!", ADDRESS(INDEX($L$2:$L$1001,MATCH(ROWS($J$2:J723),$J$2:$J$1001,0),0), INDEX($Q$1004:$U$1004,1,MATCH(COLUMNS($Q$1006:U1006),$Q$1006:$U$1006,0)))),"Fix")))</f>
        <v xml:space="preserve"> </v>
      </c>
      <c r="J723">
        <f ca="1"/>
        <v>722</v>
      </c>
      <c r="K723">
        <v>100723</v>
      </c>
      <c r="L723">
        <v>723</v>
      </c>
      <c r="M723" t="b">
        <f t="shared" si="11"/>
        <v>1</v>
      </c>
      <c r="N723" t="b">
        <f>COUNTBLANK(Metadata!B723:F723)=COLUMNS(Metadata!B723:F723)</f>
        <v>1</v>
      </c>
      <c r="O723" t="str">
        <v/>
      </c>
      <c r="Q723" t="b">
        <f ca="1"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R723" t="b">
        <f>IF(Metadata!C723="",FALSE,TRUE)</f>
        <v>0</v>
      </c>
      <c r="S723" t="b">
        <f>OR(AND(IF(Metadata!D723="",FALSE,TRUE),EXACT(Metadata!D723,"missing: not collected")),AND(IF(Metadata!D723="",FALSE,TRUE),OR(EXACT(Metadata!D723,"t"),EXACT(Metadata!D723,"f"))))</f>
        <v>0</v>
      </c>
      <c r="T723" t="b">
        <f>AND(IF(Metadata!E723="",FALSE,TRUE),OR(EXACT(Metadata!E723,"a"),EXACT(Metadata!E723,"b")))</f>
        <v>0</v>
      </c>
      <c r="U723" t="b">
        <f>OR(AND(IF(Metadata!F723="",FALSE,TRUE),OR(EXACT(Metadata!F723,"missing: not collected"),EXACT(Metadata!F723,"missing: not provided"))),AND(IF(Metadata!F723="",FALSE,TRUE),OR(EXACT(Metadata!F723,"lo"),EXACT(Metadata!F723,"med"),EXACT(Metadata!F723,"hi"))))</f>
        <v>0</v>
      </c>
    </row>
    <row r="724" spans="1:21" x14ac:dyDescent="0.2">
      <c r="A724" s="4" t="str">
        <f ca="1">IF(B724=" "," ",HYPERLINK(CONCATENATE("#metadata!",ADDRESS(INDEX($L$2:$L$1001,MATCH(ROWS($J$2:J724),$J$2:$J$1001,0),0),1)),INDEX($O$2:$O$1001,MATCH(ROWS($J$2:J724),$J$2:$J$1001,0),0)))</f>
        <v xml:space="preserve"> </v>
      </c>
      <c r="B724" s="3" t="str">
        <f ca="1">IF(OR(INDEX($K$2:$K$1001,MATCH(ROWS($J$2:J724),$J$2:$J$1001,0),1)&gt;=100000,INDEX($Q$1005:$U$1005,1,MATCH(COLUMNS($Q$1006:Q1006),$Q$1006:$U$1006,0))&gt;=100000), " ",IF(INDEX($Q$2:$U$1001,MATCH(ROWS($J$2:J724),$J$2:$J$1001,0),MATCH(COLUMNS($Q$1006:Q1006),$Q$1006:$U$1006,0)), HYPERLINK("#",""), HYPERLINK(CONCATENATE("#Metadata!", ADDRESS(INDEX($L$2:$L$1001,MATCH(ROWS($J$2:J724),$J$2:$J$1001,0),0), INDEX($Q$1004:$U$1004,1,MATCH(COLUMNS($Q$1006:Q1006),$Q$1006:$U$1006,0)))),"Fix")))</f>
        <v xml:space="preserve"> </v>
      </c>
      <c r="C724" s="3" t="str">
        <f ca="1">IF(OR(INDEX($K$2:$K$1001,MATCH(ROWS($J$2:J724),$J$2:$J$1001,0),1)&gt;=100000,INDEX($Q$1005:$U$1005,1,MATCH(COLUMNS($Q$1006:R1006),$Q$1006:$U$1006,0))&gt;=100000), " ",IF(INDEX($Q$2:$U$1001,MATCH(ROWS($J$2:J724),$J$2:$J$1001,0),MATCH(COLUMNS($Q$1006:R1006),$Q$1006:$U$1006,0)), HYPERLINK("#",""), HYPERLINK(CONCATENATE("#Metadata!", ADDRESS(INDEX($L$2:$L$1001,MATCH(ROWS($J$2:J724),$J$2:$J$1001,0),0), INDEX($Q$1004:$U$1004,1,MATCH(COLUMNS($Q$1006:R1006),$Q$1006:$U$1006,0)))),"Fix")))</f>
        <v xml:space="preserve"> </v>
      </c>
      <c r="D724" s="3" t="str">
        <f ca="1">IF(OR(INDEX($K$2:$K$1001,MATCH(ROWS($J$2:J724),$J$2:$J$1001,0),1)&gt;=100000,INDEX($Q$1005:$U$1005,1,MATCH(COLUMNS($Q$1006:S1006),$Q$1006:$U$1006,0))&gt;=100000), " ",IF(INDEX($Q$2:$U$1001,MATCH(ROWS($J$2:J724),$J$2:$J$1001,0),MATCH(COLUMNS($Q$1006:S1006),$Q$1006:$U$1006,0)), HYPERLINK("#",""), HYPERLINK(CONCATENATE("#Metadata!", ADDRESS(INDEX($L$2:$L$1001,MATCH(ROWS($J$2:J724),$J$2:$J$1001,0),0), INDEX($Q$1004:$U$1004,1,MATCH(COLUMNS($Q$1006:S1006),$Q$1006:$U$1006,0)))),"Fix")))</f>
        <v xml:space="preserve"> </v>
      </c>
      <c r="E724" s="3" t="str">
        <f ca="1">IF(OR(INDEX($K$2:$K$1001,MATCH(ROWS($J$2:J724),$J$2:$J$1001,0),1)&gt;=100000,INDEX($Q$1005:$U$1005,1,MATCH(COLUMNS($Q$1006:T1006),$Q$1006:$U$1006,0))&gt;=100000), " ",IF(INDEX($Q$2:$U$1001,MATCH(ROWS($J$2:J724),$J$2:$J$1001,0),MATCH(COLUMNS($Q$1006:T1006),$Q$1006:$U$1006,0)), HYPERLINK("#",""), HYPERLINK(CONCATENATE("#Metadata!", ADDRESS(INDEX($L$2:$L$1001,MATCH(ROWS($J$2:J724),$J$2:$J$1001,0),0), INDEX($Q$1004:$U$1004,1,MATCH(COLUMNS($Q$1006:T1006),$Q$1006:$U$1006,0)))),"Fix")))</f>
        <v xml:space="preserve"> </v>
      </c>
      <c r="F724" s="3" t="str">
        <f ca="1">IF(OR(INDEX($K$2:$K$1001,MATCH(ROWS($J$2:J724),$J$2:$J$1001,0),1)&gt;=100000,INDEX($Q$1005:$U$1005,1,MATCH(COLUMNS($Q$1006:U1006),$Q$1006:$U$1006,0))&gt;=100000), " ",IF(INDEX($Q$2:$U$1001,MATCH(ROWS($J$2:J724),$J$2:$J$1001,0),MATCH(COLUMNS($Q$1006:U1006),$Q$1006:$U$1006,0)), HYPERLINK("#",""), HYPERLINK(CONCATENATE("#Metadata!", ADDRESS(INDEX($L$2:$L$1001,MATCH(ROWS($J$2:J724),$J$2:$J$1001,0),0), INDEX($Q$1004:$U$1004,1,MATCH(COLUMNS($Q$1006:U1006),$Q$1006:$U$1006,0)))),"Fix")))</f>
        <v xml:space="preserve"> </v>
      </c>
      <c r="J724">
        <f ca="1"/>
        <v>723</v>
      </c>
      <c r="K724">
        <v>100724</v>
      </c>
      <c r="L724">
        <v>724</v>
      </c>
      <c r="M724" t="b">
        <f t="shared" si="11"/>
        <v>1</v>
      </c>
      <c r="N724" t="b">
        <f>COUNTBLANK(Metadata!B724:F724)=COLUMNS(Metadata!B724:F724)</f>
        <v>1</v>
      </c>
      <c r="O724" t="str">
        <v/>
      </c>
      <c r="Q724" t="b">
        <f ca="1"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R724" t="b">
        <f>IF(Metadata!C724="",FALSE,TRUE)</f>
        <v>0</v>
      </c>
      <c r="S724" t="b">
        <f>OR(AND(IF(Metadata!D724="",FALSE,TRUE),EXACT(Metadata!D724,"missing: not collected")),AND(IF(Metadata!D724="",FALSE,TRUE),OR(EXACT(Metadata!D724,"t"),EXACT(Metadata!D724,"f"))))</f>
        <v>0</v>
      </c>
      <c r="T724" t="b">
        <f>AND(IF(Metadata!E724="",FALSE,TRUE),OR(EXACT(Metadata!E724,"a"),EXACT(Metadata!E724,"b")))</f>
        <v>0</v>
      </c>
      <c r="U724" t="b">
        <f>OR(AND(IF(Metadata!F724="",FALSE,TRUE),OR(EXACT(Metadata!F724,"missing: not collected"),EXACT(Metadata!F724,"missing: not provided"))),AND(IF(Metadata!F724="",FALSE,TRUE),OR(EXACT(Metadata!F724,"lo"),EXACT(Metadata!F724,"med"),EXACT(Metadata!F724,"hi"))))</f>
        <v>0</v>
      </c>
    </row>
    <row r="725" spans="1:21" x14ac:dyDescent="0.2">
      <c r="A725" s="4" t="str">
        <f ca="1">IF(B725=" "," ",HYPERLINK(CONCATENATE("#metadata!",ADDRESS(INDEX($L$2:$L$1001,MATCH(ROWS($J$2:J725),$J$2:$J$1001,0),0),1)),INDEX($O$2:$O$1001,MATCH(ROWS($J$2:J725),$J$2:$J$1001,0),0)))</f>
        <v xml:space="preserve"> </v>
      </c>
      <c r="B725" s="3" t="str">
        <f ca="1">IF(OR(INDEX($K$2:$K$1001,MATCH(ROWS($J$2:J725),$J$2:$J$1001,0),1)&gt;=100000,INDEX($Q$1005:$U$1005,1,MATCH(COLUMNS($Q$1006:Q1006),$Q$1006:$U$1006,0))&gt;=100000), " ",IF(INDEX($Q$2:$U$1001,MATCH(ROWS($J$2:J725),$J$2:$J$1001,0),MATCH(COLUMNS($Q$1006:Q1006),$Q$1006:$U$1006,0)), HYPERLINK("#",""), HYPERLINK(CONCATENATE("#Metadata!", ADDRESS(INDEX($L$2:$L$1001,MATCH(ROWS($J$2:J725),$J$2:$J$1001,0),0), INDEX($Q$1004:$U$1004,1,MATCH(COLUMNS($Q$1006:Q1006),$Q$1006:$U$1006,0)))),"Fix")))</f>
        <v xml:space="preserve"> </v>
      </c>
      <c r="C725" s="3" t="str">
        <f ca="1">IF(OR(INDEX($K$2:$K$1001,MATCH(ROWS($J$2:J725),$J$2:$J$1001,0),1)&gt;=100000,INDEX($Q$1005:$U$1005,1,MATCH(COLUMNS($Q$1006:R1006),$Q$1006:$U$1006,0))&gt;=100000), " ",IF(INDEX($Q$2:$U$1001,MATCH(ROWS($J$2:J725),$J$2:$J$1001,0),MATCH(COLUMNS($Q$1006:R1006),$Q$1006:$U$1006,0)), HYPERLINK("#",""), HYPERLINK(CONCATENATE("#Metadata!", ADDRESS(INDEX($L$2:$L$1001,MATCH(ROWS($J$2:J725),$J$2:$J$1001,0),0), INDEX($Q$1004:$U$1004,1,MATCH(COLUMNS($Q$1006:R1006),$Q$1006:$U$1006,0)))),"Fix")))</f>
        <v xml:space="preserve"> </v>
      </c>
      <c r="D725" s="3" t="str">
        <f ca="1">IF(OR(INDEX($K$2:$K$1001,MATCH(ROWS($J$2:J725),$J$2:$J$1001,0),1)&gt;=100000,INDEX($Q$1005:$U$1005,1,MATCH(COLUMNS($Q$1006:S1006),$Q$1006:$U$1006,0))&gt;=100000), " ",IF(INDEX($Q$2:$U$1001,MATCH(ROWS($J$2:J725),$J$2:$J$1001,0),MATCH(COLUMNS($Q$1006:S1006),$Q$1006:$U$1006,0)), HYPERLINK("#",""), HYPERLINK(CONCATENATE("#Metadata!", ADDRESS(INDEX($L$2:$L$1001,MATCH(ROWS($J$2:J725),$J$2:$J$1001,0),0), INDEX($Q$1004:$U$1004,1,MATCH(COLUMNS($Q$1006:S1006),$Q$1006:$U$1006,0)))),"Fix")))</f>
        <v xml:space="preserve"> </v>
      </c>
      <c r="E725" s="3" t="str">
        <f ca="1">IF(OR(INDEX($K$2:$K$1001,MATCH(ROWS($J$2:J725),$J$2:$J$1001,0),1)&gt;=100000,INDEX($Q$1005:$U$1005,1,MATCH(COLUMNS($Q$1006:T1006),$Q$1006:$U$1006,0))&gt;=100000), " ",IF(INDEX($Q$2:$U$1001,MATCH(ROWS($J$2:J725),$J$2:$J$1001,0),MATCH(COLUMNS($Q$1006:T1006),$Q$1006:$U$1006,0)), HYPERLINK("#",""), HYPERLINK(CONCATENATE("#Metadata!", ADDRESS(INDEX($L$2:$L$1001,MATCH(ROWS($J$2:J725),$J$2:$J$1001,0),0), INDEX($Q$1004:$U$1004,1,MATCH(COLUMNS($Q$1006:T1006),$Q$1006:$U$1006,0)))),"Fix")))</f>
        <v xml:space="preserve"> </v>
      </c>
      <c r="F725" s="3" t="str">
        <f ca="1">IF(OR(INDEX($K$2:$K$1001,MATCH(ROWS($J$2:J725),$J$2:$J$1001,0),1)&gt;=100000,INDEX($Q$1005:$U$1005,1,MATCH(COLUMNS($Q$1006:U1006),$Q$1006:$U$1006,0))&gt;=100000), " ",IF(INDEX($Q$2:$U$1001,MATCH(ROWS($J$2:J725),$J$2:$J$1001,0),MATCH(COLUMNS($Q$1006:U1006),$Q$1006:$U$1006,0)), HYPERLINK("#",""), HYPERLINK(CONCATENATE("#Metadata!", ADDRESS(INDEX($L$2:$L$1001,MATCH(ROWS($J$2:J725),$J$2:$J$1001,0),0), INDEX($Q$1004:$U$1004,1,MATCH(COLUMNS($Q$1006:U1006),$Q$1006:$U$1006,0)))),"Fix")))</f>
        <v xml:space="preserve"> </v>
      </c>
      <c r="J725">
        <f ca="1"/>
        <v>724</v>
      </c>
      <c r="K725">
        <v>100725</v>
      </c>
      <c r="L725">
        <v>725</v>
      </c>
      <c r="M725" t="b">
        <f t="shared" si="11"/>
        <v>1</v>
      </c>
      <c r="N725" t="b">
        <f>COUNTBLANK(Metadata!B725:F725)=COLUMNS(Metadata!B725:F725)</f>
        <v>1</v>
      </c>
      <c r="O725" t="str">
        <v/>
      </c>
      <c r="Q725" t="b">
        <f ca="1"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R725" t="b">
        <f>IF(Metadata!C725="",FALSE,TRUE)</f>
        <v>0</v>
      </c>
      <c r="S725" t="b">
        <f>OR(AND(IF(Metadata!D725="",FALSE,TRUE),EXACT(Metadata!D725,"missing: not collected")),AND(IF(Metadata!D725="",FALSE,TRUE),OR(EXACT(Metadata!D725,"t"),EXACT(Metadata!D725,"f"))))</f>
        <v>0</v>
      </c>
      <c r="T725" t="b">
        <f>AND(IF(Metadata!E725="",FALSE,TRUE),OR(EXACT(Metadata!E725,"a"),EXACT(Metadata!E725,"b")))</f>
        <v>0</v>
      </c>
      <c r="U725" t="b">
        <f>OR(AND(IF(Metadata!F725="",FALSE,TRUE),OR(EXACT(Metadata!F725,"missing: not collected"),EXACT(Metadata!F725,"missing: not provided"))),AND(IF(Metadata!F725="",FALSE,TRUE),OR(EXACT(Metadata!F725,"lo"),EXACT(Metadata!F725,"med"),EXACT(Metadata!F725,"hi"))))</f>
        <v>0</v>
      </c>
    </row>
    <row r="726" spans="1:21" x14ac:dyDescent="0.2">
      <c r="A726" s="4" t="str">
        <f ca="1">IF(B726=" "," ",HYPERLINK(CONCATENATE("#metadata!",ADDRESS(INDEX($L$2:$L$1001,MATCH(ROWS($J$2:J726),$J$2:$J$1001,0),0),1)),INDEX($O$2:$O$1001,MATCH(ROWS($J$2:J726),$J$2:$J$1001,0),0)))</f>
        <v xml:space="preserve"> </v>
      </c>
      <c r="B726" s="3" t="str">
        <f ca="1">IF(OR(INDEX($K$2:$K$1001,MATCH(ROWS($J$2:J726),$J$2:$J$1001,0),1)&gt;=100000,INDEX($Q$1005:$U$1005,1,MATCH(COLUMNS($Q$1006:Q1006),$Q$1006:$U$1006,0))&gt;=100000), " ",IF(INDEX($Q$2:$U$1001,MATCH(ROWS($J$2:J726),$J$2:$J$1001,0),MATCH(COLUMNS($Q$1006:Q1006),$Q$1006:$U$1006,0)), HYPERLINK("#",""), HYPERLINK(CONCATENATE("#Metadata!", ADDRESS(INDEX($L$2:$L$1001,MATCH(ROWS($J$2:J726),$J$2:$J$1001,0),0), INDEX($Q$1004:$U$1004,1,MATCH(COLUMNS($Q$1006:Q1006),$Q$1006:$U$1006,0)))),"Fix")))</f>
        <v xml:space="preserve"> </v>
      </c>
      <c r="C726" s="3" t="str">
        <f ca="1">IF(OR(INDEX($K$2:$K$1001,MATCH(ROWS($J$2:J726),$J$2:$J$1001,0),1)&gt;=100000,INDEX($Q$1005:$U$1005,1,MATCH(COLUMNS($Q$1006:R1006),$Q$1006:$U$1006,0))&gt;=100000), " ",IF(INDEX($Q$2:$U$1001,MATCH(ROWS($J$2:J726),$J$2:$J$1001,0),MATCH(COLUMNS($Q$1006:R1006),$Q$1006:$U$1006,0)), HYPERLINK("#",""), HYPERLINK(CONCATENATE("#Metadata!", ADDRESS(INDEX($L$2:$L$1001,MATCH(ROWS($J$2:J726),$J$2:$J$1001,0),0), INDEX($Q$1004:$U$1004,1,MATCH(COLUMNS($Q$1006:R1006),$Q$1006:$U$1006,0)))),"Fix")))</f>
        <v xml:space="preserve"> </v>
      </c>
      <c r="D726" s="3" t="str">
        <f ca="1">IF(OR(INDEX($K$2:$K$1001,MATCH(ROWS($J$2:J726),$J$2:$J$1001,0),1)&gt;=100000,INDEX($Q$1005:$U$1005,1,MATCH(COLUMNS($Q$1006:S1006),$Q$1006:$U$1006,0))&gt;=100000), " ",IF(INDEX($Q$2:$U$1001,MATCH(ROWS($J$2:J726),$J$2:$J$1001,0),MATCH(COLUMNS($Q$1006:S1006),$Q$1006:$U$1006,0)), HYPERLINK("#",""), HYPERLINK(CONCATENATE("#Metadata!", ADDRESS(INDEX($L$2:$L$1001,MATCH(ROWS($J$2:J726),$J$2:$J$1001,0),0), INDEX($Q$1004:$U$1004,1,MATCH(COLUMNS($Q$1006:S1006),$Q$1006:$U$1006,0)))),"Fix")))</f>
        <v xml:space="preserve"> </v>
      </c>
      <c r="E726" s="3" t="str">
        <f ca="1">IF(OR(INDEX($K$2:$K$1001,MATCH(ROWS($J$2:J726),$J$2:$J$1001,0),1)&gt;=100000,INDEX($Q$1005:$U$1005,1,MATCH(COLUMNS($Q$1006:T1006),$Q$1006:$U$1006,0))&gt;=100000), " ",IF(INDEX($Q$2:$U$1001,MATCH(ROWS($J$2:J726),$J$2:$J$1001,0),MATCH(COLUMNS($Q$1006:T1006),$Q$1006:$U$1006,0)), HYPERLINK("#",""), HYPERLINK(CONCATENATE("#Metadata!", ADDRESS(INDEX($L$2:$L$1001,MATCH(ROWS($J$2:J726),$J$2:$J$1001,0),0), INDEX($Q$1004:$U$1004,1,MATCH(COLUMNS($Q$1006:T1006),$Q$1006:$U$1006,0)))),"Fix")))</f>
        <v xml:space="preserve"> </v>
      </c>
      <c r="F726" s="3" t="str">
        <f ca="1">IF(OR(INDEX($K$2:$K$1001,MATCH(ROWS($J$2:J726),$J$2:$J$1001,0),1)&gt;=100000,INDEX($Q$1005:$U$1005,1,MATCH(COLUMNS($Q$1006:U1006),$Q$1006:$U$1006,0))&gt;=100000), " ",IF(INDEX($Q$2:$U$1001,MATCH(ROWS($J$2:J726),$J$2:$J$1001,0),MATCH(COLUMNS($Q$1006:U1006),$Q$1006:$U$1006,0)), HYPERLINK("#",""), HYPERLINK(CONCATENATE("#Metadata!", ADDRESS(INDEX($L$2:$L$1001,MATCH(ROWS($J$2:J726),$J$2:$J$1001,0),0), INDEX($Q$1004:$U$1004,1,MATCH(COLUMNS($Q$1006:U1006),$Q$1006:$U$1006,0)))),"Fix")))</f>
        <v xml:space="preserve"> </v>
      </c>
      <c r="J726">
        <f ca="1"/>
        <v>725</v>
      </c>
      <c r="K726">
        <v>100726</v>
      </c>
      <c r="L726">
        <v>726</v>
      </c>
      <c r="M726" t="b">
        <f t="shared" si="11"/>
        <v>1</v>
      </c>
      <c r="N726" t="b">
        <f>COUNTBLANK(Metadata!B726:F726)=COLUMNS(Metadata!B726:F726)</f>
        <v>1</v>
      </c>
      <c r="O726" t="str">
        <v/>
      </c>
      <c r="Q726" t="b">
        <f ca="1"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R726" t="b">
        <f>IF(Metadata!C726="",FALSE,TRUE)</f>
        <v>0</v>
      </c>
      <c r="S726" t="b">
        <f>OR(AND(IF(Metadata!D726="",FALSE,TRUE),EXACT(Metadata!D726,"missing: not collected")),AND(IF(Metadata!D726="",FALSE,TRUE),OR(EXACT(Metadata!D726,"t"),EXACT(Metadata!D726,"f"))))</f>
        <v>0</v>
      </c>
      <c r="T726" t="b">
        <f>AND(IF(Metadata!E726="",FALSE,TRUE),OR(EXACT(Metadata!E726,"a"),EXACT(Metadata!E726,"b")))</f>
        <v>0</v>
      </c>
      <c r="U726" t="b">
        <f>OR(AND(IF(Metadata!F726="",FALSE,TRUE),OR(EXACT(Metadata!F726,"missing: not collected"),EXACT(Metadata!F726,"missing: not provided"))),AND(IF(Metadata!F726="",FALSE,TRUE),OR(EXACT(Metadata!F726,"lo"),EXACT(Metadata!F726,"med"),EXACT(Metadata!F726,"hi"))))</f>
        <v>0</v>
      </c>
    </row>
    <row r="727" spans="1:21" x14ac:dyDescent="0.2">
      <c r="A727" s="4" t="str">
        <f ca="1">IF(B727=" "," ",HYPERLINK(CONCATENATE("#metadata!",ADDRESS(INDEX($L$2:$L$1001,MATCH(ROWS($J$2:J727),$J$2:$J$1001,0),0),1)),INDEX($O$2:$O$1001,MATCH(ROWS($J$2:J727),$J$2:$J$1001,0),0)))</f>
        <v xml:space="preserve"> </v>
      </c>
      <c r="B727" s="3" t="str">
        <f ca="1">IF(OR(INDEX($K$2:$K$1001,MATCH(ROWS($J$2:J727),$J$2:$J$1001,0),1)&gt;=100000,INDEX($Q$1005:$U$1005,1,MATCH(COLUMNS($Q$1006:Q1006),$Q$1006:$U$1006,0))&gt;=100000), " ",IF(INDEX($Q$2:$U$1001,MATCH(ROWS($J$2:J727),$J$2:$J$1001,0),MATCH(COLUMNS($Q$1006:Q1006),$Q$1006:$U$1006,0)), HYPERLINK("#",""), HYPERLINK(CONCATENATE("#Metadata!", ADDRESS(INDEX($L$2:$L$1001,MATCH(ROWS($J$2:J727),$J$2:$J$1001,0),0), INDEX($Q$1004:$U$1004,1,MATCH(COLUMNS($Q$1006:Q1006),$Q$1006:$U$1006,0)))),"Fix")))</f>
        <v xml:space="preserve"> </v>
      </c>
      <c r="C727" s="3" t="str">
        <f ca="1">IF(OR(INDEX($K$2:$K$1001,MATCH(ROWS($J$2:J727),$J$2:$J$1001,0),1)&gt;=100000,INDEX($Q$1005:$U$1005,1,MATCH(COLUMNS($Q$1006:R1006),$Q$1006:$U$1006,0))&gt;=100000), " ",IF(INDEX($Q$2:$U$1001,MATCH(ROWS($J$2:J727),$J$2:$J$1001,0),MATCH(COLUMNS($Q$1006:R1006),$Q$1006:$U$1006,0)), HYPERLINK("#",""), HYPERLINK(CONCATENATE("#Metadata!", ADDRESS(INDEX($L$2:$L$1001,MATCH(ROWS($J$2:J727),$J$2:$J$1001,0),0), INDEX($Q$1004:$U$1004,1,MATCH(COLUMNS($Q$1006:R1006),$Q$1006:$U$1006,0)))),"Fix")))</f>
        <v xml:space="preserve"> </v>
      </c>
      <c r="D727" s="3" t="str">
        <f ca="1">IF(OR(INDEX($K$2:$K$1001,MATCH(ROWS($J$2:J727),$J$2:$J$1001,0),1)&gt;=100000,INDEX($Q$1005:$U$1005,1,MATCH(COLUMNS($Q$1006:S1006),$Q$1006:$U$1006,0))&gt;=100000), " ",IF(INDEX($Q$2:$U$1001,MATCH(ROWS($J$2:J727),$J$2:$J$1001,0),MATCH(COLUMNS($Q$1006:S1006),$Q$1006:$U$1006,0)), HYPERLINK("#",""), HYPERLINK(CONCATENATE("#Metadata!", ADDRESS(INDEX($L$2:$L$1001,MATCH(ROWS($J$2:J727),$J$2:$J$1001,0),0), INDEX($Q$1004:$U$1004,1,MATCH(COLUMNS($Q$1006:S1006),$Q$1006:$U$1006,0)))),"Fix")))</f>
        <v xml:space="preserve"> </v>
      </c>
      <c r="E727" s="3" t="str">
        <f ca="1">IF(OR(INDEX($K$2:$K$1001,MATCH(ROWS($J$2:J727),$J$2:$J$1001,0),1)&gt;=100000,INDEX($Q$1005:$U$1005,1,MATCH(COLUMNS($Q$1006:T1006),$Q$1006:$U$1006,0))&gt;=100000), " ",IF(INDEX($Q$2:$U$1001,MATCH(ROWS($J$2:J727),$J$2:$J$1001,0),MATCH(COLUMNS($Q$1006:T1006),$Q$1006:$U$1006,0)), HYPERLINK("#",""), HYPERLINK(CONCATENATE("#Metadata!", ADDRESS(INDEX($L$2:$L$1001,MATCH(ROWS($J$2:J727),$J$2:$J$1001,0),0), INDEX($Q$1004:$U$1004,1,MATCH(COLUMNS($Q$1006:T1006),$Q$1006:$U$1006,0)))),"Fix")))</f>
        <v xml:space="preserve"> </v>
      </c>
      <c r="F727" s="3" t="str">
        <f ca="1">IF(OR(INDEX($K$2:$K$1001,MATCH(ROWS($J$2:J727),$J$2:$J$1001,0),1)&gt;=100000,INDEX($Q$1005:$U$1005,1,MATCH(COLUMNS($Q$1006:U1006),$Q$1006:$U$1006,0))&gt;=100000), " ",IF(INDEX($Q$2:$U$1001,MATCH(ROWS($J$2:J727),$J$2:$J$1001,0),MATCH(COLUMNS($Q$1006:U1006),$Q$1006:$U$1006,0)), HYPERLINK("#",""), HYPERLINK(CONCATENATE("#Metadata!", ADDRESS(INDEX($L$2:$L$1001,MATCH(ROWS($J$2:J727),$J$2:$J$1001,0),0), INDEX($Q$1004:$U$1004,1,MATCH(COLUMNS($Q$1006:U1006),$Q$1006:$U$1006,0)))),"Fix")))</f>
        <v xml:space="preserve"> </v>
      </c>
      <c r="J727">
        <f ca="1"/>
        <v>726</v>
      </c>
      <c r="K727">
        <v>100727</v>
      </c>
      <c r="L727">
        <v>727</v>
      </c>
      <c r="M727" t="b">
        <f t="shared" si="11"/>
        <v>1</v>
      </c>
      <c r="N727" t="b">
        <f>COUNTBLANK(Metadata!B727:F727)=COLUMNS(Metadata!B727:F727)</f>
        <v>1</v>
      </c>
      <c r="O727" t="str">
        <v/>
      </c>
      <c r="Q727" t="b">
        <f ca="1"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R727" t="b">
        <f>IF(Metadata!C727="",FALSE,TRUE)</f>
        <v>0</v>
      </c>
      <c r="S727" t="b">
        <f>OR(AND(IF(Metadata!D727="",FALSE,TRUE),EXACT(Metadata!D727,"missing: not collected")),AND(IF(Metadata!D727="",FALSE,TRUE),OR(EXACT(Metadata!D727,"t"),EXACT(Metadata!D727,"f"))))</f>
        <v>0</v>
      </c>
      <c r="T727" t="b">
        <f>AND(IF(Metadata!E727="",FALSE,TRUE),OR(EXACT(Metadata!E727,"a"),EXACT(Metadata!E727,"b")))</f>
        <v>0</v>
      </c>
      <c r="U727" t="b">
        <f>OR(AND(IF(Metadata!F727="",FALSE,TRUE),OR(EXACT(Metadata!F727,"missing: not collected"),EXACT(Metadata!F727,"missing: not provided"))),AND(IF(Metadata!F727="",FALSE,TRUE),OR(EXACT(Metadata!F727,"lo"),EXACT(Metadata!F727,"med"),EXACT(Metadata!F727,"hi"))))</f>
        <v>0</v>
      </c>
    </row>
    <row r="728" spans="1:21" x14ac:dyDescent="0.2">
      <c r="A728" s="4" t="str">
        <f ca="1">IF(B728=" "," ",HYPERLINK(CONCATENATE("#metadata!",ADDRESS(INDEX($L$2:$L$1001,MATCH(ROWS($J$2:J728),$J$2:$J$1001,0),0),1)),INDEX($O$2:$O$1001,MATCH(ROWS($J$2:J728),$J$2:$J$1001,0),0)))</f>
        <v xml:space="preserve"> </v>
      </c>
      <c r="B728" s="3" t="str">
        <f ca="1">IF(OR(INDEX($K$2:$K$1001,MATCH(ROWS($J$2:J728),$J$2:$J$1001,0),1)&gt;=100000,INDEX($Q$1005:$U$1005,1,MATCH(COLUMNS($Q$1006:Q1006),$Q$1006:$U$1006,0))&gt;=100000), " ",IF(INDEX($Q$2:$U$1001,MATCH(ROWS($J$2:J728),$J$2:$J$1001,0),MATCH(COLUMNS($Q$1006:Q1006),$Q$1006:$U$1006,0)), HYPERLINK("#",""), HYPERLINK(CONCATENATE("#Metadata!", ADDRESS(INDEX($L$2:$L$1001,MATCH(ROWS($J$2:J728),$J$2:$J$1001,0),0), INDEX($Q$1004:$U$1004,1,MATCH(COLUMNS($Q$1006:Q1006),$Q$1006:$U$1006,0)))),"Fix")))</f>
        <v xml:space="preserve"> </v>
      </c>
      <c r="C728" s="3" t="str">
        <f ca="1">IF(OR(INDEX($K$2:$K$1001,MATCH(ROWS($J$2:J728),$J$2:$J$1001,0),1)&gt;=100000,INDEX($Q$1005:$U$1005,1,MATCH(COLUMNS($Q$1006:R1006),$Q$1006:$U$1006,0))&gt;=100000), " ",IF(INDEX($Q$2:$U$1001,MATCH(ROWS($J$2:J728),$J$2:$J$1001,0),MATCH(COLUMNS($Q$1006:R1006),$Q$1006:$U$1006,0)), HYPERLINK("#",""), HYPERLINK(CONCATENATE("#Metadata!", ADDRESS(INDEX($L$2:$L$1001,MATCH(ROWS($J$2:J728),$J$2:$J$1001,0),0), INDEX($Q$1004:$U$1004,1,MATCH(COLUMNS($Q$1006:R1006),$Q$1006:$U$1006,0)))),"Fix")))</f>
        <v xml:space="preserve"> </v>
      </c>
      <c r="D728" s="3" t="str">
        <f ca="1">IF(OR(INDEX($K$2:$K$1001,MATCH(ROWS($J$2:J728),$J$2:$J$1001,0),1)&gt;=100000,INDEX($Q$1005:$U$1005,1,MATCH(COLUMNS($Q$1006:S1006),$Q$1006:$U$1006,0))&gt;=100000), " ",IF(INDEX($Q$2:$U$1001,MATCH(ROWS($J$2:J728),$J$2:$J$1001,0),MATCH(COLUMNS($Q$1006:S1006),$Q$1006:$U$1006,0)), HYPERLINK("#",""), HYPERLINK(CONCATENATE("#Metadata!", ADDRESS(INDEX($L$2:$L$1001,MATCH(ROWS($J$2:J728),$J$2:$J$1001,0),0), INDEX($Q$1004:$U$1004,1,MATCH(COLUMNS($Q$1006:S1006),$Q$1006:$U$1006,0)))),"Fix")))</f>
        <v xml:space="preserve"> </v>
      </c>
      <c r="E728" s="3" t="str">
        <f ca="1">IF(OR(INDEX($K$2:$K$1001,MATCH(ROWS($J$2:J728),$J$2:$J$1001,0),1)&gt;=100000,INDEX($Q$1005:$U$1005,1,MATCH(COLUMNS($Q$1006:T1006),$Q$1006:$U$1006,0))&gt;=100000), " ",IF(INDEX($Q$2:$U$1001,MATCH(ROWS($J$2:J728),$J$2:$J$1001,0),MATCH(COLUMNS($Q$1006:T1006),$Q$1006:$U$1006,0)), HYPERLINK("#",""), HYPERLINK(CONCATENATE("#Metadata!", ADDRESS(INDEX($L$2:$L$1001,MATCH(ROWS($J$2:J728),$J$2:$J$1001,0),0), INDEX($Q$1004:$U$1004,1,MATCH(COLUMNS($Q$1006:T1006),$Q$1006:$U$1006,0)))),"Fix")))</f>
        <v xml:space="preserve"> </v>
      </c>
      <c r="F728" s="3" t="str">
        <f ca="1">IF(OR(INDEX($K$2:$K$1001,MATCH(ROWS($J$2:J728),$J$2:$J$1001,0),1)&gt;=100000,INDEX($Q$1005:$U$1005,1,MATCH(COLUMNS($Q$1006:U1006),$Q$1006:$U$1006,0))&gt;=100000), " ",IF(INDEX($Q$2:$U$1001,MATCH(ROWS($J$2:J728),$J$2:$J$1001,0),MATCH(COLUMNS($Q$1006:U1006),$Q$1006:$U$1006,0)), HYPERLINK("#",""), HYPERLINK(CONCATENATE("#Metadata!", ADDRESS(INDEX($L$2:$L$1001,MATCH(ROWS($J$2:J728),$J$2:$J$1001,0),0), INDEX($Q$1004:$U$1004,1,MATCH(COLUMNS($Q$1006:U1006),$Q$1006:$U$1006,0)))),"Fix")))</f>
        <v xml:space="preserve"> </v>
      </c>
      <c r="J728">
        <f ca="1"/>
        <v>727</v>
      </c>
      <c r="K728">
        <v>100728</v>
      </c>
      <c r="L728">
        <v>728</v>
      </c>
      <c r="M728" t="b">
        <f t="shared" si="11"/>
        <v>1</v>
      </c>
      <c r="N728" t="b">
        <f>COUNTBLANK(Metadata!B728:F728)=COLUMNS(Metadata!B728:F728)</f>
        <v>1</v>
      </c>
      <c r="O728" t="str">
        <v/>
      </c>
      <c r="Q728" t="b">
        <f ca="1"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R728" t="b">
        <f>IF(Metadata!C728="",FALSE,TRUE)</f>
        <v>0</v>
      </c>
      <c r="S728" t="b">
        <f>OR(AND(IF(Metadata!D728="",FALSE,TRUE),EXACT(Metadata!D728,"missing: not collected")),AND(IF(Metadata!D728="",FALSE,TRUE),OR(EXACT(Metadata!D728,"t"),EXACT(Metadata!D728,"f"))))</f>
        <v>0</v>
      </c>
      <c r="T728" t="b">
        <f>AND(IF(Metadata!E728="",FALSE,TRUE),OR(EXACT(Metadata!E728,"a"),EXACT(Metadata!E728,"b")))</f>
        <v>0</v>
      </c>
      <c r="U728" t="b">
        <f>OR(AND(IF(Metadata!F728="",FALSE,TRUE),OR(EXACT(Metadata!F728,"missing: not collected"),EXACT(Metadata!F728,"missing: not provided"))),AND(IF(Metadata!F728="",FALSE,TRUE),OR(EXACT(Metadata!F728,"lo"),EXACT(Metadata!F728,"med"),EXACT(Metadata!F728,"hi"))))</f>
        <v>0</v>
      </c>
    </row>
    <row r="729" spans="1:21" x14ac:dyDescent="0.2">
      <c r="A729" s="4" t="str">
        <f ca="1">IF(B729=" "," ",HYPERLINK(CONCATENATE("#metadata!",ADDRESS(INDEX($L$2:$L$1001,MATCH(ROWS($J$2:J729),$J$2:$J$1001,0),0),1)),INDEX($O$2:$O$1001,MATCH(ROWS($J$2:J729),$J$2:$J$1001,0),0)))</f>
        <v xml:space="preserve"> </v>
      </c>
      <c r="B729" s="3" t="str">
        <f ca="1">IF(OR(INDEX($K$2:$K$1001,MATCH(ROWS($J$2:J729),$J$2:$J$1001,0),1)&gt;=100000,INDEX($Q$1005:$U$1005,1,MATCH(COLUMNS($Q$1006:Q1006),$Q$1006:$U$1006,0))&gt;=100000), " ",IF(INDEX($Q$2:$U$1001,MATCH(ROWS($J$2:J729),$J$2:$J$1001,0),MATCH(COLUMNS($Q$1006:Q1006),$Q$1006:$U$1006,0)), HYPERLINK("#",""), HYPERLINK(CONCATENATE("#Metadata!", ADDRESS(INDEX($L$2:$L$1001,MATCH(ROWS($J$2:J729),$J$2:$J$1001,0),0), INDEX($Q$1004:$U$1004,1,MATCH(COLUMNS($Q$1006:Q1006),$Q$1006:$U$1006,0)))),"Fix")))</f>
        <v xml:space="preserve"> </v>
      </c>
      <c r="C729" s="3" t="str">
        <f ca="1">IF(OR(INDEX($K$2:$K$1001,MATCH(ROWS($J$2:J729),$J$2:$J$1001,0),1)&gt;=100000,INDEX($Q$1005:$U$1005,1,MATCH(COLUMNS($Q$1006:R1006),$Q$1006:$U$1006,0))&gt;=100000), " ",IF(INDEX($Q$2:$U$1001,MATCH(ROWS($J$2:J729),$J$2:$J$1001,0),MATCH(COLUMNS($Q$1006:R1006),$Q$1006:$U$1006,0)), HYPERLINK("#",""), HYPERLINK(CONCATENATE("#Metadata!", ADDRESS(INDEX($L$2:$L$1001,MATCH(ROWS($J$2:J729),$J$2:$J$1001,0),0), INDEX($Q$1004:$U$1004,1,MATCH(COLUMNS($Q$1006:R1006),$Q$1006:$U$1006,0)))),"Fix")))</f>
        <v xml:space="preserve"> </v>
      </c>
      <c r="D729" s="3" t="str">
        <f ca="1">IF(OR(INDEX($K$2:$K$1001,MATCH(ROWS($J$2:J729),$J$2:$J$1001,0),1)&gt;=100000,INDEX($Q$1005:$U$1005,1,MATCH(COLUMNS($Q$1006:S1006),$Q$1006:$U$1006,0))&gt;=100000), " ",IF(INDEX($Q$2:$U$1001,MATCH(ROWS($J$2:J729),$J$2:$J$1001,0),MATCH(COLUMNS($Q$1006:S1006),$Q$1006:$U$1006,0)), HYPERLINK("#",""), HYPERLINK(CONCATENATE("#Metadata!", ADDRESS(INDEX($L$2:$L$1001,MATCH(ROWS($J$2:J729),$J$2:$J$1001,0),0), INDEX($Q$1004:$U$1004,1,MATCH(COLUMNS($Q$1006:S1006),$Q$1006:$U$1006,0)))),"Fix")))</f>
        <v xml:space="preserve"> </v>
      </c>
      <c r="E729" s="3" t="str">
        <f ca="1">IF(OR(INDEX($K$2:$K$1001,MATCH(ROWS($J$2:J729),$J$2:$J$1001,0),1)&gt;=100000,INDEX($Q$1005:$U$1005,1,MATCH(COLUMNS($Q$1006:T1006),$Q$1006:$U$1006,0))&gt;=100000), " ",IF(INDEX($Q$2:$U$1001,MATCH(ROWS($J$2:J729),$J$2:$J$1001,0),MATCH(COLUMNS($Q$1006:T1006),$Q$1006:$U$1006,0)), HYPERLINK("#",""), HYPERLINK(CONCATENATE("#Metadata!", ADDRESS(INDEX($L$2:$L$1001,MATCH(ROWS($J$2:J729),$J$2:$J$1001,0),0), INDEX($Q$1004:$U$1004,1,MATCH(COLUMNS($Q$1006:T1006),$Q$1006:$U$1006,0)))),"Fix")))</f>
        <v xml:space="preserve"> </v>
      </c>
      <c r="F729" s="3" t="str">
        <f ca="1">IF(OR(INDEX($K$2:$K$1001,MATCH(ROWS($J$2:J729),$J$2:$J$1001,0),1)&gt;=100000,INDEX($Q$1005:$U$1005,1,MATCH(COLUMNS($Q$1006:U1006),$Q$1006:$U$1006,0))&gt;=100000), " ",IF(INDEX($Q$2:$U$1001,MATCH(ROWS($J$2:J729),$J$2:$J$1001,0),MATCH(COLUMNS($Q$1006:U1006),$Q$1006:$U$1006,0)), HYPERLINK("#",""), HYPERLINK(CONCATENATE("#Metadata!", ADDRESS(INDEX($L$2:$L$1001,MATCH(ROWS($J$2:J729),$J$2:$J$1001,0),0), INDEX($Q$1004:$U$1004,1,MATCH(COLUMNS($Q$1006:U1006),$Q$1006:$U$1006,0)))),"Fix")))</f>
        <v xml:space="preserve"> </v>
      </c>
      <c r="J729">
        <f ca="1"/>
        <v>728</v>
      </c>
      <c r="K729">
        <v>100729</v>
      </c>
      <c r="L729">
        <v>729</v>
      </c>
      <c r="M729" t="b">
        <f t="shared" si="11"/>
        <v>1</v>
      </c>
      <c r="N729" t="b">
        <f>COUNTBLANK(Metadata!B729:F729)=COLUMNS(Metadata!B729:F729)</f>
        <v>1</v>
      </c>
      <c r="O729" t="str">
        <v/>
      </c>
      <c r="Q729" t="b">
        <f ca="1"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R729" t="b">
        <f>IF(Metadata!C729="",FALSE,TRUE)</f>
        <v>0</v>
      </c>
      <c r="S729" t="b">
        <f>OR(AND(IF(Metadata!D729="",FALSE,TRUE),EXACT(Metadata!D729,"missing: not collected")),AND(IF(Metadata!D729="",FALSE,TRUE),OR(EXACT(Metadata!D729,"t"),EXACT(Metadata!D729,"f"))))</f>
        <v>0</v>
      </c>
      <c r="T729" t="b">
        <f>AND(IF(Metadata!E729="",FALSE,TRUE),OR(EXACT(Metadata!E729,"a"),EXACT(Metadata!E729,"b")))</f>
        <v>0</v>
      </c>
      <c r="U729" t="b">
        <f>OR(AND(IF(Metadata!F729="",FALSE,TRUE),OR(EXACT(Metadata!F729,"missing: not collected"),EXACT(Metadata!F729,"missing: not provided"))),AND(IF(Metadata!F729="",FALSE,TRUE),OR(EXACT(Metadata!F729,"lo"),EXACT(Metadata!F729,"med"),EXACT(Metadata!F729,"hi"))))</f>
        <v>0</v>
      </c>
    </row>
    <row r="730" spans="1:21" x14ac:dyDescent="0.2">
      <c r="A730" s="4" t="str">
        <f ca="1">IF(B730=" "," ",HYPERLINK(CONCATENATE("#metadata!",ADDRESS(INDEX($L$2:$L$1001,MATCH(ROWS($J$2:J730),$J$2:$J$1001,0),0),1)),INDEX($O$2:$O$1001,MATCH(ROWS($J$2:J730),$J$2:$J$1001,0),0)))</f>
        <v xml:space="preserve"> </v>
      </c>
      <c r="B730" s="3" t="str">
        <f ca="1">IF(OR(INDEX($K$2:$K$1001,MATCH(ROWS($J$2:J730),$J$2:$J$1001,0),1)&gt;=100000,INDEX($Q$1005:$U$1005,1,MATCH(COLUMNS($Q$1006:Q1006),$Q$1006:$U$1006,0))&gt;=100000), " ",IF(INDEX($Q$2:$U$1001,MATCH(ROWS($J$2:J730),$J$2:$J$1001,0),MATCH(COLUMNS($Q$1006:Q1006),$Q$1006:$U$1006,0)), HYPERLINK("#",""), HYPERLINK(CONCATENATE("#Metadata!", ADDRESS(INDEX($L$2:$L$1001,MATCH(ROWS($J$2:J730),$J$2:$J$1001,0),0), INDEX($Q$1004:$U$1004,1,MATCH(COLUMNS($Q$1006:Q1006),$Q$1006:$U$1006,0)))),"Fix")))</f>
        <v xml:space="preserve"> </v>
      </c>
      <c r="C730" s="3" t="str">
        <f ca="1">IF(OR(INDEX($K$2:$K$1001,MATCH(ROWS($J$2:J730),$J$2:$J$1001,0),1)&gt;=100000,INDEX($Q$1005:$U$1005,1,MATCH(COLUMNS($Q$1006:R1006),$Q$1006:$U$1006,0))&gt;=100000), " ",IF(INDEX($Q$2:$U$1001,MATCH(ROWS($J$2:J730),$J$2:$J$1001,0),MATCH(COLUMNS($Q$1006:R1006),$Q$1006:$U$1006,0)), HYPERLINK("#",""), HYPERLINK(CONCATENATE("#Metadata!", ADDRESS(INDEX($L$2:$L$1001,MATCH(ROWS($J$2:J730),$J$2:$J$1001,0),0), INDEX($Q$1004:$U$1004,1,MATCH(COLUMNS($Q$1006:R1006),$Q$1006:$U$1006,0)))),"Fix")))</f>
        <v xml:space="preserve"> </v>
      </c>
      <c r="D730" s="3" t="str">
        <f ca="1">IF(OR(INDEX($K$2:$K$1001,MATCH(ROWS($J$2:J730),$J$2:$J$1001,0),1)&gt;=100000,INDEX($Q$1005:$U$1005,1,MATCH(COLUMNS($Q$1006:S1006),$Q$1006:$U$1006,0))&gt;=100000), " ",IF(INDEX($Q$2:$U$1001,MATCH(ROWS($J$2:J730),$J$2:$J$1001,0),MATCH(COLUMNS($Q$1006:S1006),$Q$1006:$U$1006,0)), HYPERLINK("#",""), HYPERLINK(CONCATENATE("#Metadata!", ADDRESS(INDEX($L$2:$L$1001,MATCH(ROWS($J$2:J730),$J$2:$J$1001,0),0), INDEX($Q$1004:$U$1004,1,MATCH(COLUMNS($Q$1006:S1006),$Q$1006:$U$1006,0)))),"Fix")))</f>
        <v xml:space="preserve"> </v>
      </c>
      <c r="E730" s="3" t="str">
        <f ca="1">IF(OR(INDEX($K$2:$K$1001,MATCH(ROWS($J$2:J730),$J$2:$J$1001,0),1)&gt;=100000,INDEX($Q$1005:$U$1005,1,MATCH(COLUMNS($Q$1006:T1006),$Q$1006:$U$1006,0))&gt;=100000), " ",IF(INDEX($Q$2:$U$1001,MATCH(ROWS($J$2:J730),$J$2:$J$1001,0),MATCH(COLUMNS($Q$1006:T1006),$Q$1006:$U$1006,0)), HYPERLINK("#",""), HYPERLINK(CONCATENATE("#Metadata!", ADDRESS(INDEX($L$2:$L$1001,MATCH(ROWS($J$2:J730),$J$2:$J$1001,0),0), INDEX($Q$1004:$U$1004,1,MATCH(COLUMNS($Q$1006:T1006),$Q$1006:$U$1006,0)))),"Fix")))</f>
        <v xml:space="preserve"> </v>
      </c>
      <c r="F730" s="3" t="str">
        <f ca="1">IF(OR(INDEX($K$2:$K$1001,MATCH(ROWS($J$2:J730),$J$2:$J$1001,0),1)&gt;=100000,INDEX($Q$1005:$U$1005,1,MATCH(COLUMNS($Q$1006:U1006),$Q$1006:$U$1006,0))&gt;=100000), " ",IF(INDEX($Q$2:$U$1001,MATCH(ROWS($J$2:J730),$J$2:$J$1001,0),MATCH(COLUMNS($Q$1006:U1006),$Q$1006:$U$1006,0)), HYPERLINK("#",""), HYPERLINK(CONCATENATE("#Metadata!", ADDRESS(INDEX($L$2:$L$1001,MATCH(ROWS($J$2:J730),$J$2:$J$1001,0),0), INDEX($Q$1004:$U$1004,1,MATCH(COLUMNS($Q$1006:U1006),$Q$1006:$U$1006,0)))),"Fix")))</f>
        <v xml:space="preserve"> </v>
      </c>
      <c r="J730">
        <f ca="1"/>
        <v>729</v>
      </c>
      <c r="K730">
        <v>100730</v>
      </c>
      <c r="L730">
        <v>730</v>
      </c>
      <c r="M730" t="b">
        <f t="shared" si="11"/>
        <v>1</v>
      </c>
      <c r="N730" t="b">
        <f>COUNTBLANK(Metadata!B730:F730)=COLUMNS(Metadata!B730:F730)</f>
        <v>1</v>
      </c>
      <c r="O730" t="str">
        <v/>
      </c>
      <c r="Q730" t="b">
        <f ca="1"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R730" t="b">
        <f>IF(Metadata!C730="",FALSE,TRUE)</f>
        <v>0</v>
      </c>
      <c r="S730" t="b">
        <f>OR(AND(IF(Metadata!D730="",FALSE,TRUE),EXACT(Metadata!D730,"missing: not collected")),AND(IF(Metadata!D730="",FALSE,TRUE),OR(EXACT(Metadata!D730,"t"),EXACT(Metadata!D730,"f"))))</f>
        <v>0</v>
      </c>
      <c r="T730" t="b">
        <f>AND(IF(Metadata!E730="",FALSE,TRUE),OR(EXACT(Metadata!E730,"a"),EXACT(Metadata!E730,"b")))</f>
        <v>0</v>
      </c>
      <c r="U730" t="b">
        <f>OR(AND(IF(Metadata!F730="",FALSE,TRUE),OR(EXACT(Metadata!F730,"missing: not collected"),EXACT(Metadata!F730,"missing: not provided"))),AND(IF(Metadata!F730="",FALSE,TRUE),OR(EXACT(Metadata!F730,"lo"),EXACT(Metadata!F730,"med"),EXACT(Metadata!F730,"hi"))))</f>
        <v>0</v>
      </c>
    </row>
    <row r="731" spans="1:21" x14ac:dyDescent="0.2">
      <c r="A731" s="4" t="str">
        <f ca="1">IF(B731=" "," ",HYPERLINK(CONCATENATE("#metadata!",ADDRESS(INDEX($L$2:$L$1001,MATCH(ROWS($J$2:J731),$J$2:$J$1001,0),0),1)),INDEX($O$2:$O$1001,MATCH(ROWS($J$2:J731),$J$2:$J$1001,0),0)))</f>
        <v xml:space="preserve"> </v>
      </c>
      <c r="B731" s="3" t="str">
        <f ca="1">IF(OR(INDEX($K$2:$K$1001,MATCH(ROWS($J$2:J731),$J$2:$J$1001,0),1)&gt;=100000,INDEX($Q$1005:$U$1005,1,MATCH(COLUMNS($Q$1006:Q1006),$Q$1006:$U$1006,0))&gt;=100000), " ",IF(INDEX($Q$2:$U$1001,MATCH(ROWS($J$2:J731),$J$2:$J$1001,0),MATCH(COLUMNS($Q$1006:Q1006),$Q$1006:$U$1006,0)), HYPERLINK("#",""), HYPERLINK(CONCATENATE("#Metadata!", ADDRESS(INDEX($L$2:$L$1001,MATCH(ROWS($J$2:J731),$J$2:$J$1001,0),0), INDEX($Q$1004:$U$1004,1,MATCH(COLUMNS($Q$1006:Q1006),$Q$1006:$U$1006,0)))),"Fix")))</f>
        <v xml:space="preserve"> </v>
      </c>
      <c r="C731" s="3" t="str">
        <f ca="1">IF(OR(INDEX($K$2:$K$1001,MATCH(ROWS($J$2:J731),$J$2:$J$1001,0),1)&gt;=100000,INDEX($Q$1005:$U$1005,1,MATCH(COLUMNS($Q$1006:R1006),$Q$1006:$U$1006,0))&gt;=100000), " ",IF(INDEX($Q$2:$U$1001,MATCH(ROWS($J$2:J731),$J$2:$J$1001,0),MATCH(COLUMNS($Q$1006:R1006),$Q$1006:$U$1006,0)), HYPERLINK("#",""), HYPERLINK(CONCATENATE("#Metadata!", ADDRESS(INDEX($L$2:$L$1001,MATCH(ROWS($J$2:J731),$J$2:$J$1001,0),0), INDEX($Q$1004:$U$1004,1,MATCH(COLUMNS($Q$1006:R1006),$Q$1006:$U$1006,0)))),"Fix")))</f>
        <v xml:space="preserve"> </v>
      </c>
      <c r="D731" s="3" t="str">
        <f ca="1">IF(OR(INDEX($K$2:$K$1001,MATCH(ROWS($J$2:J731),$J$2:$J$1001,0),1)&gt;=100000,INDEX($Q$1005:$U$1005,1,MATCH(COLUMNS($Q$1006:S1006),$Q$1006:$U$1006,0))&gt;=100000), " ",IF(INDEX($Q$2:$U$1001,MATCH(ROWS($J$2:J731),$J$2:$J$1001,0),MATCH(COLUMNS($Q$1006:S1006),$Q$1006:$U$1006,0)), HYPERLINK("#",""), HYPERLINK(CONCATENATE("#Metadata!", ADDRESS(INDEX($L$2:$L$1001,MATCH(ROWS($J$2:J731),$J$2:$J$1001,0),0), INDEX($Q$1004:$U$1004,1,MATCH(COLUMNS($Q$1006:S1006),$Q$1006:$U$1006,0)))),"Fix")))</f>
        <v xml:space="preserve"> </v>
      </c>
      <c r="E731" s="3" t="str">
        <f ca="1">IF(OR(INDEX($K$2:$K$1001,MATCH(ROWS($J$2:J731),$J$2:$J$1001,0),1)&gt;=100000,INDEX($Q$1005:$U$1005,1,MATCH(COLUMNS($Q$1006:T1006),$Q$1006:$U$1006,0))&gt;=100000), " ",IF(INDEX($Q$2:$U$1001,MATCH(ROWS($J$2:J731),$J$2:$J$1001,0),MATCH(COLUMNS($Q$1006:T1006),$Q$1006:$U$1006,0)), HYPERLINK("#",""), HYPERLINK(CONCATENATE("#Metadata!", ADDRESS(INDEX($L$2:$L$1001,MATCH(ROWS($J$2:J731),$J$2:$J$1001,0),0), INDEX($Q$1004:$U$1004,1,MATCH(COLUMNS($Q$1006:T1006),$Q$1006:$U$1006,0)))),"Fix")))</f>
        <v xml:space="preserve"> </v>
      </c>
      <c r="F731" s="3" t="str">
        <f ca="1">IF(OR(INDEX($K$2:$K$1001,MATCH(ROWS($J$2:J731),$J$2:$J$1001,0),1)&gt;=100000,INDEX($Q$1005:$U$1005,1,MATCH(COLUMNS($Q$1006:U1006),$Q$1006:$U$1006,0))&gt;=100000), " ",IF(INDEX($Q$2:$U$1001,MATCH(ROWS($J$2:J731),$J$2:$J$1001,0),MATCH(COLUMNS($Q$1006:U1006),$Q$1006:$U$1006,0)), HYPERLINK("#",""), HYPERLINK(CONCATENATE("#Metadata!", ADDRESS(INDEX($L$2:$L$1001,MATCH(ROWS($J$2:J731),$J$2:$J$1001,0),0), INDEX($Q$1004:$U$1004,1,MATCH(COLUMNS($Q$1006:U1006),$Q$1006:$U$1006,0)))),"Fix")))</f>
        <v xml:space="preserve"> </v>
      </c>
      <c r="J731">
        <f ca="1"/>
        <v>730</v>
      </c>
      <c r="K731">
        <v>100731</v>
      </c>
      <c r="L731">
        <v>731</v>
      </c>
      <c r="M731" t="b">
        <f t="shared" si="11"/>
        <v>1</v>
      </c>
      <c r="N731" t="b">
        <f>COUNTBLANK(Metadata!B731:F731)=COLUMNS(Metadata!B731:F731)</f>
        <v>1</v>
      </c>
      <c r="O731" t="str">
        <v/>
      </c>
      <c r="Q731" t="b">
        <f ca="1"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R731" t="b">
        <f>IF(Metadata!C731="",FALSE,TRUE)</f>
        <v>0</v>
      </c>
      <c r="S731" t="b">
        <f>OR(AND(IF(Metadata!D731="",FALSE,TRUE),EXACT(Metadata!D731,"missing: not collected")),AND(IF(Metadata!D731="",FALSE,TRUE),OR(EXACT(Metadata!D731,"t"),EXACT(Metadata!D731,"f"))))</f>
        <v>0</v>
      </c>
      <c r="T731" t="b">
        <f>AND(IF(Metadata!E731="",FALSE,TRUE),OR(EXACT(Metadata!E731,"a"),EXACT(Metadata!E731,"b")))</f>
        <v>0</v>
      </c>
      <c r="U731" t="b">
        <f>OR(AND(IF(Metadata!F731="",FALSE,TRUE),OR(EXACT(Metadata!F731,"missing: not collected"),EXACT(Metadata!F731,"missing: not provided"))),AND(IF(Metadata!F731="",FALSE,TRUE),OR(EXACT(Metadata!F731,"lo"),EXACT(Metadata!F731,"med"),EXACT(Metadata!F731,"hi"))))</f>
        <v>0</v>
      </c>
    </row>
    <row r="732" spans="1:21" x14ac:dyDescent="0.2">
      <c r="A732" s="4" t="str">
        <f ca="1">IF(B732=" "," ",HYPERLINK(CONCATENATE("#metadata!",ADDRESS(INDEX($L$2:$L$1001,MATCH(ROWS($J$2:J732),$J$2:$J$1001,0),0),1)),INDEX($O$2:$O$1001,MATCH(ROWS($J$2:J732),$J$2:$J$1001,0),0)))</f>
        <v xml:space="preserve"> </v>
      </c>
      <c r="B732" s="3" t="str">
        <f ca="1">IF(OR(INDEX($K$2:$K$1001,MATCH(ROWS($J$2:J732),$J$2:$J$1001,0),1)&gt;=100000,INDEX($Q$1005:$U$1005,1,MATCH(COLUMNS($Q$1006:Q1006),$Q$1006:$U$1006,0))&gt;=100000), " ",IF(INDEX($Q$2:$U$1001,MATCH(ROWS($J$2:J732),$J$2:$J$1001,0),MATCH(COLUMNS($Q$1006:Q1006),$Q$1006:$U$1006,0)), HYPERLINK("#",""), HYPERLINK(CONCATENATE("#Metadata!", ADDRESS(INDEX($L$2:$L$1001,MATCH(ROWS($J$2:J732),$J$2:$J$1001,0),0), INDEX($Q$1004:$U$1004,1,MATCH(COLUMNS($Q$1006:Q1006),$Q$1006:$U$1006,0)))),"Fix")))</f>
        <v xml:space="preserve"> </v>
      </c>
      <c r="C732" s="3" t="str">
        <f ca="1">IF(OR(INDEX($K$2:$K$1001,MATCH(ROWS($J$2:J732),$J$2:$J$1001,0),1)&gt;=100000,INDEX($Q$1005:$U$1005,1,MATCH(COLUMNS($Q$1006:R1006),$Q$1006:$U$1006,0))&gt;=100000), " ",IF(INDEX($Q$2:$U$1001,MATCH(ROWS($J$2:J732),$J$2:$J$1001,0),MATCH(COLUMNS($Q$1006:R1006),$Q$1006:$U$1006,0)), HYPERLINK("#",""), HYPERLINK(CONCATENATE("#Metadata!", ADDRESS(INDEX($L$2:$L$1001,MATCH(ROWS($J$2:J732),$J$2:$J$1001,0),0), INDEX($Q$1004:$U$1004,1,MATCH(COLUMNS($Q$1006:R1006),$Q$1006:$U$1006,0)))),"Fix")))</f>
        <v xml:space="preserve"> </v>
      </c>
      <c r="D732" s="3" t="str">
        <f ca="1">IF(OR(INDEX($K$2:$K$1001,MATCH(ROWS($J$2:J732),$J$2:$J$1001,0),1)&gt;=100000,INDEX($Q$1005:$U$1005,1,MATCH(COLUMNS($Q$1006:S1006),$Q$1006:$U$1006,0))&gt;=100000), " ",IF(INDEX($Q$2:$U$1001,MATCH(ROWS($J$2:J732),$J$2:$J$1001,0),MATCH(COLUMNS($Q$1006:S1006),$Q$1006:$U$1006,0)), HYPERLINK("#",""), HYPERLINK(CONCATENATE("#Metadata!", ADDRESS(INDEX($L$2:$L$1001,MATCH(ROWS($J$2:J732),$J$2:$J$1001,0),0), INDEX($Q$1004:$U$1004,1,MATCH(COLUMNS($Q$1006:S1006),$Q$1006:$U$1006,0)))),"Fix")))</f>
        <v xml:space="preserve"> </v>
      </c>
      <c r="E732" s="3" t="str">
        <f ca="1">IF(OR(INDEX($K$2:$K$1001,MATCH(ROWS($J$2:J732),$J$2:$J$1001,0),1)&gt;=100000,INDEX($Q$1005:$U$1005,1,MATCH(COLUMNS($Q$1006:T1006),$Q$1006:$U$1006,0))&gt;=100000), " ",IF(INDEX($Q$2:$U$1001,MATCH(ROWS($J$2:J732),$J$2:$J$1001,0),MATCH(COLUMNS($Q$1006:T1006),$Q$1006:$U$1006,0)), HYPERLINK("#",""), HYPERLINK(CONCATENATE("#Metadata!", ADDRESS(INDEX($L$2:$L$1001,MATCH(ROWS($J$2:J732),$J$2:$J$1001,0),0), INDEX($Q$1004:$U$1004,1,MATCH(COLUMNS($Q$1006:T1006),$Q$1006:$U$1006,0)))),"Fix")))</f>
        <v xml:space="preserve"> </v>
      </c>
      <c r="F732" s="3" t="str">
        <f ca="1">IF(OR(INDEX($K$2:$K$1001,MATCH(ROWS($J$2:J732),$J$2:$J$1001,0),1)&gt;=100000,INDEX($Q$1005:$U$1005,1,MATCH(COLUMNS($Q$1006:U1006),$Q$1006:$U$1006,0))&gt;=100000), " ",IF(INDEX($Q$2:$U$1001,MATCH(ROWS($J$2:J732),$J$2:$J$1001,0),MATCH(COLUMNS($Q$1006:U1006),$Q$1006:$U$1006,0)), HYPERLINK("#",""), HYPERLINK(CONCATENATE("#Metadata!", ADDRESS(INDEX($L$2:$L$1001,MATCH(ROWS($J$2:J732),$J$2:$J$1001,0),0), INDEX($Q$1004:$U$1004,1,MATCH(COLUMNS($Q$1006:U1006),$Q$1006:$U$1006,0)))),"Fix")))</f>
        <v xml:space="preserve"> </v>
      </c>
      <c r="J732">
        <f ca="1"/>
        <v>731</v>
      </c>
      <c r="K732">
        <v>100732</v>
      </c>
      <c r="L732">
        <v>732</v>
      </c>
      <c r="M732" t="b">
        <f t="shared" si="11"/>
        <v>1</v>
      </c>
      <c r="N732" t="b">
        <f>COUNTBLANK(Metadata!B732:F732)=COLUMNS(Metadata!B732:F732)</f>
        <v>1</v>
      </c>
      <c r="O732" t="str">
        <v/>
      </c>
      <c r="Q732" t="b">
        <f ca="1"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R732" t="b">
        <f>IF(Metadata!C732="",FALSE,TRUE)</f>
        <v>0</v>
      </c>
      <c r="S732" t="b">
        <f>OR(AND(IF(Metadata!D732="",FALSE,TRUE),EXACT(Metadata!D732,"missing: not collected")),AND(IF(Metadata!D732="",FALSE,TRUE),OR(EXACT(Metadata!D732,"t"),EXACT(Metadata!D732,"f"))))</f>
        <v>0</v>
      </c>
      <c r="T732" t="b">
        <f>AND(IF(Metadata!E732="",FALSE,TRUE),OR(EXACT(Metadata!E732,"a"),EXACT(Metadata!E732,"b")))</f>
        <v>0</v>
      </c>
      <c r="U732" t="b">
        <f>OR(AND(IF(Metadata!F732="",FALSE,TRUE),OR(EXACT(Metadata!F732,"missing: not collected"),EXACT(Metadata!F732,"missing: not provided"))),AND(IF(Metadata!F732="",FALSE,TRUE),OR(EXACT(Metadata!F732,"lo"),EXACT(Metadata!F732,"med"),EXACT(Metadata!F732,"hi"))))</f>
        <v>0</v>
      </c>
    </row>
    <row r="733" spans="1:21" x14ac:dyDescent="0.2">
      <c r="A733" s="4" t="str">
        <f ca="1">IF(B733=" "," ",HYPERLINK(CONCATENATE("#metadata!",ADDRESS(INDEX($L$2:$L$1001,MATCH(ROWS($J$2:J733),$J$2:$J$1001,0),0),1)),INDEX($O$2:$O$1001,MATCH(ROWS($J$2:J733),$J$2:$J$1001,0),0)))</f>
        <v xml:space="preserve"> </v>
      </c>
      <c r="B733" s="3" t="str">
        <f ca="1">IF(OR(INDEX($K$2:$K$1001,MATCH(ROWS($J$2:J733),$J$2:$J$1001,0),1)&gt;=100000,INDEX($Q$1005:$U$1005,1,MATCH(COLUMNS($Q$1006:Q1006),$Q$1006:$U$1006,0))&gt;=100000), " ",IF(INDEX($Q$2:$U$1001,MATCH(ROWS($J$2:J733),$J$2:$J$1001,0),MATCH(COLUMNS($Q$1006:Q1006),$Q$1006:$U$1006,0)), HYPERLINK("#",""), HYPERLINK(CONCATENATE("#Metadata!", ADDRESS(INDEX($L$2:$L$1001,MATCH(ROWS($J$2:J733),$J$2:$J$1001,0),0), INDEX($Q$1004:$U$1004,1,MATCH(COLUMNS($Q$1006:Q1006),$Q$1006:$U$1006,0)))),"Fix")))</f>
        <v xml:space="preserve"> </v>
      </c>
      <c r="C733" s="3" t="str">
        <f ca="1">IF(OR(INDEX($K$2:$K$1001,MATCH(ROWS($J$2:J733),$J$2:$J$1001,0),1)&gt;=100000,INDEX($Q$1005:$U$1005,1,MATCH(COLUMNS($Q$1006:R1006),$Q$1006:$U$1006,0))&gt;=100000), " ",IF(INDEX($Q$2:$U$1001,MATCH(ROWS($J$2:J733),$J$2:$J$1001,0),MATCH(COLUMNS($Q$1006:R1006),$Q$1006:$U$1006,0)), HYPERLINK("#",""), HYPERLINK(CONCATENATE("#Metadata!", ADDRESS(INDEX($L$2:$L$1001,MATCH(ROWS($J$2:J733),$J$2:$J$1001,0),0), INDEX($Q$1004:$U$1004,1,MATCH(COLUMNS($Q$1006:R1006),$Q$1006:$U$1006,0)))),"Fix")))</f>
        <v xml:space="preserve"> </v>
      </c>
      <c r="D733" s="3" t="str">
        <f ca="1">IF(OR(INDEX($K$2:$K$1001,MATCH(ROWS($J$2:J733),$J$2:$J$1001,0),1)&gt;=100000,INDEX($Q$1005:$U$1005,1,MATCH(COLUMNS($Q$1006:S1006),$Q$1006:$U$1006,0))&gt;=100000), " ",IF(INDEX($Q$2:$U$1001,MATCH(ROWS($J$2:J733),$J$2:$J$1001,0),MATCH(COLUMNS($Q$1006:S1006),$Q$1006:$U$1006,0)), HYPERLINK("#",""), HYPERLINK(CONCATENATE("#Metadata!", ADDRESS(INDEX($L$2:$L$1001,MATCH(ROWS($J$2:J733),$J$2:$J$1001,0),0), INDEX($Q$1004:$U$1004,1,MATCH(COLUMNS($Q$1006:S1006),$Q$1006:$U$1006,0)))),"Fix")))</f>
        <v xml:space="preserve"> </v>
      </c>
      <c r="E733" s="3" t="str">
        <f ca="1">IF(OR(INDEX($K$2:$K$1001,MATCH(ROWS($J$2:J733),$J$2:$J$1001,0),1)&gt;=100000,INDEX($Q$1005:$U$1005,1,MATCH(COLUMNS($Q$1006:T1006),$Q$1006:$U$1006,0))&gt;=100000), " ",IF(INDEX($Q$2:$U$1001,MATCH(ROWS($J$2:J733),$J$2:$J$1001,0),MATCH(COLUMNS($Q$1006:T1006),$Q$1006:$U$1006,0)), HYPERLINK("#",""), HYPERLINK(CONCATENATE("#Metadata!", ADDRESS(INDEX($L$2:$L$1001,MATCH(ROWS($J$2:J733),$J$2:$J$1001,0),0), INDEX($Q$1004:$U$1004,1,MATCH(COLUMNS($Q$1006:T1006),$Q$1006:$U$1006,0)))),"Fix")))</f>
        <v xml:space="preserve"> </v>
      </c>
      <c r="F733" s="3" t="str">
        <f ca="1">IF(OR(INDEX($K$2:$K$1001,MATCH(ROWS($J$2:J733),$J$2:$J$1001,0),1)&gt;=100000,INDEX($Q$1005:$U$1005,1,MATCH(COLUMNS($Q$1006:U1006),$Q$1006:$U$1006,0))&gt;=100000), " ",IF(INDEX($Q$2:$U$1001,MATCH(ROWS($J$2:J733),$J$2:$J$1001,0),MATCH(COLUMNS($Q$1006:U1006),$Q$1006:$U$1006,0)), HYPERLINK("#",""), HYPERLINK(CONCATENATE("#Metadata!", ADDRESS(INDEX($L$2:$L$1001,MATCH(ROWS($J$2:J733),$J$2:$J$1001,0),0), INDEX($Q$1004:$U$1004,1,MATCH(COLUMNS($Q$1006:U1006),$Q$1006:$U$1006,0)))),"Fix")))</f>
        <v xml:space="preserve"> </v>
      </c>
      <c r="J733">
        <f ca="1"/>
        <v>732</v>
      </c>
      <c r="K733">
        <v>100733</v>
      </c>
      <c r="L733">
        <v>733</v>
      </c>
      <c r="M733" t="b">
        <f t="shared" si="11"/>
        <v>1</v>
      </c>
      <c r="N733" t="b">
        <f>COUNTBLANK(Metadata!B733:F733)=COLUMNS(Metadata!B733:F733)</f>
        <v>1</v>
      </c>
      <c r="O733" t="str">
        <v/>
      </c>
      <c r="Q733" t="b">
        <f ca="1"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R733" t="b">
        <f>IF(Metadata!C733="",FALSE,TRUE)</f>
        <v>0</v>
      </c>
      <c r="S733" t="b">
        <f>OR(AND(IF(Metadata!D733="",FALSE,TRUE),EXACT(Metadata!D733,"missing: not collected")),AND(IF(Metadata!D733="",FALSE,TRUE),OR(EXACT(Metadata!D733,"t"),EXACT(Metadata!D733,"f"))))</f>
        <v>0</v>
      </c>
      <c r="T733" t="b">
        <f>AND(IF(Metadata!E733="",FALSE,TRUE),OR(EXACT(Metadata!E733,"a"),EXACT(Metadata!E733,"b")))</f>
        <v>0</v>
      </c>
      <c r="U733" t="b">
        <f>OR(AND(IF(Metadata!F733="",FALSE,TRUE),OR(EXACT(Metadata!F733,"missing: not collected"),EXACT(Metadata!F733,"missing: not provided"))),AND(IF(Metadata!F733="",FALSE,TRUE),OR(EXACT(Metadata!F733,"lo"),EXACT(Metadata!F733,"med"),EXACT(Metadata!F733,"hi"))))</f>
        <v>0</v>
      </c>
    </row>
    <row r="734" spans="1:21" x14ac:dyDescent="0.2">
      <c r="A734" s="4" t="str">
        <f ca="1">IF(B734=" "," ",HYPERLINK(CONCATENATE("#metadata!",ADDRESS(INDEX($L$2:$L$1001,MATCH(ROWS($J$2:J734),$J$2:$J$1001,0),0),1)),INDEX($O$2:$O$1001,MATCH(ROWS($J$2:J734),$J$2:$J$1001,0),0)))</f>
        <v xml:space="preserve"> </v>
      </c>
      <c r="B734" s="3" t="str">
        <f ca="1">IF(OR(INDEX($K$2:$K$1001,MATCH(ROWS($J$2:J734),$J$2:$J$1001,0),1)&gt;=100000,INDEX($Q$1005:$U$1005,1,MATCH(COLUMNS($Q$1006:Q1006),$Q$1006:$U$1006,0))&gt;=100000), " ",IF(INDEX($Q$2:$U$1001,MATCH(ROWS($J$2:J734),$J$2:$J$1001,0),MATCH(COLUMNS($Q$1006:Q1006),$Q$1006:$U$1006,0)), HYPERLINK("#",""), HYPERLINK(CONCATENATE("#Metadata!", ADDRESS(INDEX($L$2:$L$1001,MATCH(ROWS($J$2:J734),$J$2:$J$1001,0),0), INDEX($Q$1004:$U$1004,1,MATCH(COLUMNS($Q$1006:Q1006),$Q$1006:$U$1006,0)))),"Fix")))</f>
        <v xml:space="preserve"> </v>
      </c>
      <c r="C734" s="3" t="str">
        <f ca="1">IF(OR(INDEX($K$2:$K$1001,MATCH(ROWS($J$2:J734),$J$2:$J$1001,0),1)&gt;=100000,INDEX($Q$1005:$U$1005,1,MATCH(COLUMNS($Q$1006:R1006),$Q$1006:$U$1006,0))&gt;=100000), " ",IF(INDEX($Q$2:$U$1001,MATCH(ROWS($J$2:J734),$J$2:$J$1001,0),MATCH(COLUMNS($Q$1006:R1006),$Q$1006:$U$1006,0)), HYPERLINK("#",""), HYPERLINK(CONCATENATE("#Metadata!", ADDRESS(INDEX($L$2:$L$1001,MATCH(ROWS($J$2:J734),$J$2:$J$1001,0),0), INDEX($Q$1004:$U$1004,1,MATCH(COLUMNS($Q$1006:R1006),$Q$1006:$U$1006,0)))),"Fix")))</f>
        <v xml:space="preserve"> </v>
      </c>
      <c r="D734" s="3" t="str">
        <f ca="1">IF(OR(INDEX($K$2:$K$1001,MATCH(ROWS($J$2:J734),$J$2:$J$1001,0),1)&gt;=100000,INDEX($Q$1005:$U$1005,1,MATCH(COLUMNS($Q$1006:S1006),$Q$1006:$U$1006,0))&gt;=100000), " ",IF(INDEX($Q$2:$U$1001,MATCH(ROWS($J$2:J734),$J$2:$J$1001,0),MATCH(COLUMNS($Q$1006:S1006),$Q$1006:$U$1006,0)), HYPERLINK("#",""), HYPERLINK(CONCATENATE("#Metadata!", ADDRESS(INDEX($L$2:$L$1001,MATCH(ROWS($J$2:J734),$J$2:$J$1001,0),0), INDEX($Q$1004:$U$1004,1,MATCH(COLUMNS($Q$1006:S1006),$Q$1006:$U$1006,0)))),"Fix")))</f>
        <v xml:space="preserve"> </v>
      </c>
      <c r="E734" s="3" t="str">
        <f ca="1">IF(OR(INDEX($K$2:$K$1001,MATCH(ROWS($J$2:J734),$J$2:$J$1001,0),1)&gt;=100000,INDEX($Q$1005:$U$1005,1,MATCH(COLUMNS($Q$1006:T1006),$Q$1006:$U$1006,0))&gt;=100000), " ",IF(INDEX($Q$2:$U$1001,MATCH(ROWS($J$2:J734),$J$2:$J$1001,0),MATCH(COLUMNS($Q$1006:T1006),$Q$1006:$U$1006,0)), HYPERLINK("#",""), HYPERLINK(CONCATENATE("#Metadata!", ADDRESS(INDEX($L$2:$L$1001,MATCH(ROWS($J$2:J734),$J$2:$J$1001,0),0), INDEX($Q$1004:$U$1004,1,MATCH(COLUMNS($Q$1006:T1006),$Q$1006:$U$1006,0)))),"Fix")))</f>
        <v xml:space="preserve"> </v>
      </c>
      <c r="F734" s="3" t="str">
        <f ca="1">IF(OR(INDEX($K$2:$K$1001,MATCH(ROWS($J$2:J734),$J$2:$J$1001,0),1)&gt;=100000,INDEX($Q$1005:$U$1005,1,MATCH(COLUMNS($Q$1006:U1006),$Q$1006:$U$1006,0))&gt;=100000), " ",IF(INDEX($Q$2:$U$1001,MATCH(ROWS($J$2:J734),$J$2:$J$1001,0),MATCH(COLUMNS($Q$1006:U1006),$Q$1006:$U$1006,0)), HYPERLINK("#",""), HYPERLINK(CONCATENATE("#Metadata!", ADDRESS(INDEX($L$2:$L$1001,MATCH(ROWS($J$2:J734),$J$2:$J$1001,0),0), INDEX($Q$1004:$U$1004,1,MATCH(COLUMNS($Q$1006:U1006),$Q$1006:$U$1006,0)))),"Fix")))</f>
        <v xml:space="preserve"> </v>
      </c>
      <c r="J734">
        <f ca="1"/>
        <v>733</v>
      </c>
      <c r="K734">
        <v>100734</v>
      </c>
      <c r="L734">
        <v>734</v>
      </c>
      <c r="M734" t="b">
        <f t="shared" si="11"/>
        <v>1</v>
      </c>
      <c r="N734" t="b">
        <f>COUNTBLANK(Metadata!B734:F734)=COLUMNS(Metadata!B734:F734)</f>
        <v>1</v>
      </c>
      <c r="O734" t="str">
        <v/>
      </c>
      <c r="Q734" t="b">
        <f ca="1"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R734" t="b">
        <f>IF(Metadata!C734="",FALSE,TRUE)</f>
        <v>0</v>
      </c>
      <c r="S734" t="b">
        <f>OR(AND(IF(Metadata!D734="",FALSE,TRUE),EXACT(Metadata!D734,"missing: not collected")),AND(IF(Metadata!D734="",FALSE,TRUE),OR(EXACT(Metadata!D734,"t"),EXACT(Metadata!D734,"f"))))</f>
        <v>0</v>
      </c>
      <c r="T734" t="b">
        <f>AND(IF(Metadata!E734="",FALSE,TRUE),OR(EXACT(Metadata!E734,"a"),EXACT(Metadata!E734,"b")))</f>
        <v>0</v>
      </c>
      <c r="U734" t="b">
        <f>OR(AND(IF(Metadata!F734="",FALSE,TRUE),OR(EXACT(Metadata!F734,"missing: not collected"),EXACT(Metadata!F734,"missing: not provided"))),AND(IF(Metadata!F734="",FALSE,TRUE),OR(EXACT(Metadata!F734,"lo"),EXACT(Metadata!F734,"med"),EXACT(Metadata!F734,"hi"))))</f>
        <v>0</v>
      </c>
    </row>
    <row r="735" spans="1:21" x14ac:dyDescent="0.2">
      <c r="A735" s="4" t="str">
        <f ca="1">IF(B735=" "," ",HYPERLINK(CONCATENATE("#metadata!",ADDRESS(INDEX($L$2:$L$1001,MATCH(ROWS($J$2:J735),$J$2:$J$1001,0),0),1)),INDEX($O$2:$O$1001,MATCH(ROWS($J$2:J735),$J$2:$J$1001,0),0)))</f>
        <v xml:space="preserve"> </v>
      </c>
      <c r="B735" s="3" t="str">
        <f ca="1">IF(OR(INDEX($K$2:$K$1001,MATCH(ROWS($J$2:J735),$J$2:$J$1001,0),1)&gt;=100000,INDEX($Q$1005:$U$1005,1,MATCH(COLUMNS($Q$1006:Q1006),$Q$1006:$U$1006,0))&gt;=100000), " ",IF(INDEX($Q$2:$U$1001,MATCH(ROWS($J$2:J735),$J$2:$J$1001,0),MATCH(COLUMNS($Q$1006:Q1006),$Q$1006:$U$1006,0)), HYPERLINK("#",""), HYPERLINK(CONCATENATE("#Metadata!", ADDRESS(INDEX($L$2:$L$1001,MATCH(ROWS($J$2:J735),$J$2:$J$1001,0),0), INDEX($Q$1004:$U$1004,1,MATCH(COLUMNS($Q$1006:Q1006),$Q$1006:$U$1006,0)))),"Fix")))</f>
        <v xml:space="preserve"> </v>
      </c>
      <c r="C735" s="3" t="str">
        <f ca="1">IF(OR(INDEX($K$2:$K$1001,MATCH(ROWS($J$2:J735),$J$2:$J$1001,0),1)&gt;=100000,INDEX($Q$1005:$U$1005,1,MATCH(COLUMNS($Q$1006:R1006),$Q$1006:$U$1006,0))&gt;=100000), " ",IF(INDEX($Q$2:$U$1001,MATCH(ROWS($J$2:J735),$J$2:$J$1001,0),MATCH(COLUMNS($Q$1006:R1006),$Q$1006:$U$1006,0)), HYPERLINK("#",""), HYPERLINK(CONCATENATE("#Metadata!", ADDRESS(INDEX($L$2:$L$1001,MATCH(ROWS($J$2:J735),$J$2:$J$1001,0),0), INDEX($Q$1004:$U$1004,1,MATCH(COLUMNS($Q$1006:R1006),$Q$1006:$U$1006,0)))),"Fix")))</f>
        <v xml:space="preserve"> </v>
      </c>
      <c r="D735" s="3" t="str">
        <f ca="1">IF(OR(INDEX($K$2:$K$1001,MATCH(ROWS($J$2:J735),$J$2:$J$1001,0),1)&gt;=100000,INDEX($Q$1005:$U$1005,1,MATCH(COLUMNS($Q$1006:S1006),$Q$1006:$U$1006,0))&gt;=100000), " ",IF(INDEX($Q$2:$U$1001,MATCH(ROWS($J$2:J735),$J$2:$J$1001,0),MATCH(COLUMNS($Q$1006:S1006),$Q$1006:$U$1006,0)), HYPERLINK("#",""), HYPERLINK(CONCATENATE("#Metadata!", ADDRESS(INDEX($L$2:$L$1001,MATCH(ROWS($J$2:J735),$J$2:$J$1001,0),0), INDEX($Q$1004:$U$1004,1,MATCH(COLUMNS($Q$1006:S1006),$Q$1006:$U$1006,0)))),"Fix")))</f>
        <v xml:space="preserve"> </v>
      </c>
      <c r="E735" s="3" t="str">
        <f ca="1">IF(OR(INDEX($K$2:$K$1001,MATCH(ROWS($J$2:J735),$J$2:$J$1001,0),1)&gt;=100000,INDEX($Q$1005:$U$1005,1,MATCH(COLUMNS($Q$1006:T1006),$Q$1006:$U$1006,0))&gt;=100000), " ",IF(INDEX($Q$2:$U$1001,MATCH(ROWS($J$2:J735),$J$2:$J$1001,0),MATCH(COLUMNS($Q$1006:T1006),$Q$1006:$U$1006,0)), HYPERLINK("#",""), HYPERLINK(CONCATENATE("#Metadata!", ADDRESS(INDEX($L$2:$L$1001,MATCH(ROWS($J$2:J735),$J$2:$J$1001,0),0), INDEX($Q$1004:$U$1004,1,MATCH(COLUMNS($Q$1006:T1006),$Q$1006:$U$1006,0)))),"Fix")))</f>
        <v xml:space="preserve"> </v>
      </c>
      <c r="F735" s="3" t="str">
        <f ca="1">IF(OR(INDEX($K$2:$K$1001,MATCH(ROWS($J$2:J735),$J$2:$J$1001,0),1)&gt;=100000,INDEX($Q$1005:$U$1005,1,MATCH(COLUMNS($Q$1006:U1006),$Q$1006:$U$1006,0))&gt;=100000), " ",IF(INDEX($Q$2:$U$1001,MATCH(ROWS($J$2:J735),$J$2:$J$1001,0),MATCH(COLUMNS($Q$1006:U1006),$Q$1006:$U$1006,0)), HYPERLINK("#",""), HYPERLINK(CONCATENATE("#Metadata!", ADDRESS(INDEX($L$2:$L$1001,MATCH(ROWS($J$2:J735),$J$2:$J$1001,0),0), INDEX($Q$1004:$U$1004,1,MATCH(COLUMNS($Q$1006:U1006),$Q$1006:$U$1006,0)))),"Fix")))</f>
        <v xml:space="preserve"> </v>
      </c>
      <c r="J735">
        <f ca="1"/>
        <v>734</v>
      </c>
      <c r="K735">
        <v>100735</v>
      </c>
      <c r="L735">
        <v>735</v>
      </c>
      <c r="M735" t="b">
        <f t="shared" si="11"/>
        <v>1</v>
      </c>
      <c r="N735" t="b">
        <f>COUNTBLANK(Metadata!B735:F735)=COLUMNS(Metadata!B735:F735)</f>
        <v>1</v>
      </c>
      <c r="O735" t="str">
        <v/>
      </c>
      <c r="Q735" t="b">
        <f ca="1"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R735" t="b">
        <f>IF(Metadata!C735="",FALSE,TRUE)</f>
        <v>0</v>
      </c>
      <c r="S735" t="b">
        <f>OR(AND(IF(Metadata!D735="",FALSE,TRUE),EXACT(Metadata!D735,"missing: not collected")),AND(IF(Metadata!D735="",FALSE,TRUE),OR(EXACT(Metadata!D735,"t"),EXACT(Metadata!D735,"f"))))</f>
        <v>0</v>
      </c>
      <c r="T735" t="b">
        <f>AND(IF(Metadata!E735="",FALSE,TRUE),OR(EXACT(Metadata!E735,"a"),EXACT(Metadata!E735,"b")))</f>
        <v>0</v>
      </c>
      <c r="U735" t="b">
        <f>OR(AND(IF(Metadata!F735="",FALSE,TRUE),OR(EXACT(Metadata!F735,"missing: not collected"),EXACT(Metadata!F735,"missing: not provided"))),AND(IF(Metadata!F735="",FALSE,TRUE),OR(EXACT(Metadata!F735,"lo"),EXACT(Metadata!F735,"med"),EXACT(Metadata!F735,"hi"))))</f>
        <v>0</v>
      </c>
    </row>
    <row r="736" spans="1:21" x14ac:dyDescent="0.2">
      <c r="A736" s="4" t="str">
        <f ca="1">IF(B736=" "," ",HYPERLINK(CONCATENATE("#metadata!",ADDRESS(INDEX($L$2:$L$1001,MATCH(ROWS($J$2:J736),$J$2:$J$1001,0),0),1)),INDEX($O$2:$O$1001,MATCH(ROWS($J$2:J736),$J$2:$J$1001,0),0)))</f>
        <v xml:space="preserve"> </v>
      </c>
      <c r="B736" s="3" t="str">
        <f ca="1">IF(OR(INDEX($K$2:$K$1001,MATCH(ROWS($J$2:J736),$J$2:$J$1001,0),1)&gt;=100000,INDEX($Q$1005:$U$1005,1,MATCH(COLUMNS($Q$1006:Q1006),$Q$1006:$U$1006,0))&gt;=100000), " ",IF(INDEX($Q$2:$U$1001,MATCH(ROWS($J$2:J736),$J$2:$J$1001,0),MATCH(COLUMNS($Q$1006:Q1006),$Q$1006:$U$1006,0)), HYPERLINK("#",""), HYPERLINK(CONCATENATE("#Metadata!", ADDRESS(INDEX($L$2:$L$1001,MATCH(ROWS($J$2:J736),$J$2:$J$1001,0),0), INDEX($Q$1004:$U$1004,1,MATCH(COLUMNS($Q$1006:Q1006),$Q$1006:$U$1006,0)))),"Fix")))</f>
        <v xml:space="preserve"> </v>
      </c>
      <c r="C736" s="3" t="str">
        <f ca="1">IF(OR(INDEX($K$2:$K$1001,MATCH(ROWS($J$2:J736),$J$2:$J$1001,0),1)&gt;=100000,INDEX($Q$1005:$U$1005,1,MATCH(COLUMNS($Q$1006:R1006),$Q$1006:$U$1006,0))&gt;=100000), " ",IF(INDEX($Q$2:$U$1001,MATCH(ROWS($J$2:J736),$J$2:$J$1001,0),MATCH(COLUMNS($Q$1006:R1006),$Q$1006:$U$1006,0)), HYPERLINK("#",""), HYPERLINK(CONCATENATE("#Metadata!", ADDRESS(INDEX($L$2:$L$1001,MATCH(ROWS($J$2:J736),$J$2:$J$1001,0),0), INDEX($Q$1004:$U$1004,1,MATCH(COLUMNS($Q$1006:R1006),$Q$1006:$U$1006,0)))),"Fix")))</f>
        <v xml:space="preserve"> </v>
      </c>
      <c r="D736" s="3" t="str">
        <f ca="1">IF(OR(INDEX($K$2:$K$1001,MATCH(ROWS($J$2:J736),$J$2:$J$1001,0),1)&gt;=100000,INDEX($Q$1005:$U$1005,1,MATCH(COLUMNS($Q$1006:S1006),$Q$1006:$U$1006,0))&gt;=100000), " ",IF(INDEX($Q$2:$U$1001,MATCH(ROWS($J$2:J736),$J$2:$J$1001,0),MATCH(COLUMNS($Q$1006:S1006),$Q$1006:$U$1006,0)), HYPERLINK("#",""), HYPERLINK(CONCATENATE("#Metadata!", ADDRESS(INDEX($L$2:$L$1001,MATCH(ROWS($J$2:J736),$J$2:$J$1001,0),0), INDEX($Q$1004:$U$1004,1,MATCH(COLUMNS($Q$1006:S1006),$Q$1006:$U$1006,0)))),"Fix")))</f>
        <v xml:space="preserve"> </v>
      </c>
      <c r="E736" s="3" t="str">
        <f ca="1">IF(OR(INDEX($K$2:$K$1001,MATCH(ROWS($J$2:J736),$J$2:$J$1001,0),1)&gt;=100000,INDEX($Q$1005:$U$1005,1,MATCH(COLUMNS($Q$1006:T1006),$Q$1006:$U$1006,0))&gt;=100000), " ",IF(INDEX($Q$2:$U$1001,MATCH(ROWS($J$2:J736),$J$2:$J$1001,0),MATCH(COLUMNS($Q$1006:T1006),$Q$1006:$U$1006,0)), HYPERLINK("#",""), HYPERLINK(CONCATENATE("#Metadata!", ADDRESS(INDEX($L$2:$L$1001,MATCH(ROWS($J$2:J736),$J$2:$J$1001,0),0), INDEX($Q$1004:$U$1004,1,MATCH(COLUMNS($Q$1006:T1006),$Q$1006:$U$1006,0)))),"Fix")))</f>
        <v xml:space="preserve"> </v>
      </c>
      <c r="F736" s="3" t="str">
        <f ca="1">IF(OR(INDEX($K$2:$K$1001,MATCH(ROWS($J$2:J736),$J$2:$J$1001,0),1)&gt;=100000,INDEX($Q$1005:$U$1005,1,MATCH(COLUMNS($Q$1006:U1006),$Q$1006:$U$1006,0))&gt;=100000), " ",IF(INDEX($Q$2:$U$1001,MATCH(ROWS($J$2:J736),$J$2:$J$1001,0),MATCH(COLUMNS($Q$1006:U1006),$Q$1006:$U$1006,0)), HYPERLINK("#",""), HYPERLINK(CONCATENATE("#Metadata!", ADDRESS(INDEX($L$2:$L$1001,MATCH(ROWS($J$2:J736),$J$2:$J$1001,0),0), INDEX($Q$1004:$U$1004,1,MATCH(COLUMNS($Q$1006:U1006),$Q$1006:$U$1006,0)))),"Fix")))</f>
        <v xml:space="preserve"> </v>
      </c>
      <c r="J736">
        <f ca="1"/>
        <v>735</v>
      </c>
      <c r="K736">
        <v>100736</v>
      </c>
      <c r="L736">
        <v>736</v>
      </c>
      <c r="M736" t="b">
        <f t="shared" si="11"/>
        <v>1</v>
      </c>
      <c r="N736" t="b">
        <f>COUNTBLANK(Metadata!B736:F736)=COLUMNS(Metadata!B736:F736)</f>
        <v>1</v>
      </c>
      <c r="O736" t="str">
        <v/>
      </c>
      <c r="Q736" t="b">
        <f ca="1"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R736" t="b">
        <f>IF(Metadata!C736="",FALSE,TRUE)</f>
        <v>0</v>
      </c>
      <c r="S736" t="b">
        <f>OR(AND(IF(Metadata!D736="",FALSE,TRUE),EXACT(Metadata!D736,"missing: not collected")),AND(IF(Metadata!D736="",FALSE,TRUE),OR(EXACT(Metadata!D736,"t"),EXACT(Metadata!D736,"f"))))</f>
        <v>0</v>
      </c>
      <c r="T736" t="b">
        <f>AND(IF(Metadata!E736="",FALSE,TRUE),OR(EXACT(Metadata!E736,"a"),EXACT(Metadata!E736,"b")))</f>
        <v>0</v>
      </c>
      <c r="U736" t="b">
        <f>OR(AND(IF(Metadata!F736="",FALSE,TRUE),OR(EXACT(Metadata!F736,"missing: not collected"),EXACT(Metadata!F736,"missing: not provided"))),AND(IF(Metadata!F736="",FALSE,TRUE),OR(EXACT(Metadata!F736,"lo"),EXACT(Metadata!F736,"med"),EXACT(Metadata!F736,"hi"))))</f>
        <v>0</v>
      </c>
    </row>
    <row r="737" spans="1:21" x14ac:dyDescent="0.2">
      <c r="A737" s="4" t="str">
        <f ca="1">IF(B737=" "," ",HYPERLINK(CONCATENATE("#metadata!",ADDRESS(INDEX($L$2:$L$1001,MATCH(ROWS($J$2:J737),$J$2:$J$1001,0),0),1)),INDEX($O$2:$O$1001,MATCH(ROWS($J$2:J737),$J$2:$J$1001,0),0)))</f>
        <v xml:space="preserve"> </v>
      </c>
      <c r="B737" s="3" t="str">
        <f ca="1">IF(OR(INDEX($K$2:$K$1001,MATCH(ROWS($J$2:J737),$J$2:$J$1001,0),1)&gt;=100000,INDEX($Q$1005:$U$1005,1,MATCH(COLUMNS($Q$1006:Q1006),$Q$1006:$U$1006,0))&gt;=100000), " ",IF(INDEX($Q$2:$U$1001,MATCH(ROWS($J$2:J737),$J$2:$J$1001,0),MATCH(COLUMNS($Q$1006:Q1006),$Q$1006:$U$1006,0)), HYPERLINK("#",""), HYPERLINK(CONCATENATE("#Metadata!", ADDRESS(INDEX($L$2:$L$1001,MATCH(ROWS($J$2:J737),$J$2:$J$1001,0),0), INDEX($Q$1004:$U$1004,1,MATCH(COLUMNS($Q$1006:Q1006),$Q$1006:$U$1006,0)))),"Fix")))</f>
        <v xml:space="preserve"> </v>
      </c>
      <c r="C737" s="3" t="str">
        <f ca="1">IF(OR(INDEX($K$2:$K$1001,MATCH(ROWS($J$2:J737),$J$2:$J$1001,0),1)&gt;=100000,INDEX($Q$1005:$U$1005,1,MATCH(COLUMNS($Q$1006:R1006),$Q$1006:$U$1006,0))&gt;=100000), " ",IF(INDEX($Q$2:$U$1001,MATCH(ROWS($J$2:J737),$J$2:$J$1001,0),MATCH(COLUMNS($Q$1006:R1006),$Q$1006:$U$1006,0)), HYPERLINK("#",""), HYPERLINK(CONCATENATE("#Metadata!", ADDRESS(INDEX($L$2:$L$1001,MATCH(ROWS($J$2:J737),$J$2:$J$1001,0),0), INDEX($Q$1004:$U$1004,1,MATCH(COLUMNS($Q$1006:R1006),$Q$1006:$U$1006,0)))),"Fix")))</f>
        <v xml:space="preserve"> </v>
      </c>
      <c r="D737" s="3" t="str">
        <f ca="1">IF(OR(INDEX($K$2:$K$1001,MATCH(ROWS($J$2:J737),$J$2:$J$1001,0),1)&gt;=100000,INDEX($Q$1005:$U$1005,1,MATCH(COLUMNS($Q$1006:S1006),$Q$1006:$U$1006,0))&gt;=100000), " ",IF(INDEX($Q$2:$U$1001,MATCH(ROWS($J$2:J737),$J$2:$J$1001,0),MATCH(COLUMNS($Q$1006:S1006),$Q$1006:$U$1006,0)), HYPERLINK("#",""), HYPERLINK(CONCATENATE("#Metadata!", ADDRESS(INDEX($L$2:$L$1001,MATCH(ROWS($J$2:J737),$J$2:$J$1001,0),0), INDEX($Q$1004:$U$1004,1,MATCH(COLUMNS($Q$1006:S1006),$Q$1006:$U$1006,0)))),"Fix")))</f>
        <v xml:space="preserve"> </v>
      </c>
      <c r="E737" s="3" t="str">
        <f ca="1">IF(OR(INDEX($K$2:$K$1001,MATCH(ROWS($J$2:J737),$J$2:$J$1001,0),1)&gt;=100000,INDEX($Q$1005:$U$1005,1,MATCH(COLUMNS($Q$1006:T1006),$Q$1006:$U$1006,0))&gt;=100000), " ",IF(INDEX($Q$2:$U$1001,MATCH(ROWS($J$2:J737),$J$2:$J$1001,0),MATCH(COLUMNS($Q$1006:T1006),$Q$1006:$U$1006,0)), HYPERLINK("#",""), HYPERLINK(CONCATENATE("#Metadata!", ADDRESS(INDEX($L$2:$L$1001,MATCH(ROWS($J$2:J737),$J$2:$J$1001,0),0), INDEX($Q$1004:$U$1004,1,MATCH(COLUMNS($Q$1006:T1006),$Q$1006:$U$1006,0)))),"Fix")))</f>
        <v xml:space="preserve"> </v>
      </c>
      <c r="F737" s="3" t="str">
        <f ca="1">IF(OR(INDEX($K$2:$K$1001,MATCH(ROWS($J$2:J737),$J$2:$J$1001,0),1)&gt;=100000,INDEX($Q$1005:$U$1005,1,MATCH(COLUMNS($Q$1006:U1006),$Q$1006:$U$1006,0))&gt;=100000), " ",IF(INDEX($Q$2:$U$1001,MATCH(ROWS($J$2:J737),$J$2:$J$1001,0),MATCH(COLUMNS($Q$1006:U1006),$Q$1006:$U$1006,0)), HYPERLINK("#",""), HYPERLINK(CONCATENATE("#Metadata!", ADDRESS(INDEX($L$2:$L$1001,MATCH(ROWS($J$2:J737),$J$2:$J$1001,0),0), INDEX($Q$1004:$U$1004,1,MATCH(COLUMNS($Q$1006:U1006),$Q$1006:$U$1006,0)))),"Fix")))</f>
        <v xml:space="preserve"> </v>
      </c>
      <c r="J737">
        <f ca="1"/>
        <v>736</v>
      </c>
      <c r="K737">
        <v>100737</v>
      </c>
      <c r="L737">
        <v>737</v>
      </c>
      <c r="M737" t="b">
        <f t="shared" si="11"/>
        <v>1</v>
      </c>
      <c r="N737" t="b">
        <f>COUNTBLANK(Metadata!B737:F737)=COLUMNS(Metadata!B737:F737)</f>
        <v>1</v>
      </c>
      <c r="O737" t="str">
        <v/>
      </c>
      <c r="Q737" t="b">
        <f ca="1"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R737" t="b">
        <f>IF(Metadata!C737="",FALSE,TRUE)</f>
        <v>0</v>
      </c>
      <c r="S737" t="b">
        <f>OR(AND(IF(Metadata!D737="",FALSE,TRUE),EXACT(Metadata!D737,"missing: not collected")),AND(IF(Metadata!D737="",FALSE,TRUE),OR(EXACT(Metadata!D737,"t"),EXACT(Metadata!D737,"f"))))</f>
        <v>0</v>
      </c>
      <c r="T737" t="b">
        <f>AND(IF(Metadata!E737="",FALSE,TRUE),OR(EXACT(Metadata!E737,"a"),EXACT(Metadata!E737,"b")))</f>
        <v>0</v>
      </c>
      <c r="U737" t="b">
        <f>OR(AND(IF(Metadata!F737="",FALSE,TRUE),OR(EXACT(Metadata!F737,"missing: not collected"),EXACT(Metadata!F737,"missing: not provided"))),AND(IF(Metadata!F737="",FALSE,TRUE),OR(EXACT(Metadata!F737,"lo"),EXACT(Metadata!F737,"med"),EXACT(Metadata!F737,"hi"))))</f>
        <v>0</v>
      </c>
    </row>
    <row r="738" spans="1:21" x14ac:dyDescent="0.2">
      <c r="A738" s="4" t="str">
        <f ca="1">IF(B738=" "," ",HYPERLINK(CONCATENATE("#metadata!",ADDRESS(INDEX($L$2:$L$1001,MATCH(ROWS($J$2:J738),$J$2:$J$1001,0),0),1)),INDEX($O$2:$O$1001,MATCH(ROWS($J$2:J738),$J$2:$J$1001,0),0)))</f>
        <v xml:space="preserve"> </v>
      </c>
      <c r="B738" s="3" t="str">
        <f ca="1">IF(OR(INDEX($K$2:$K$1001,MATCH(ROWS($J$2:J738),$J$2:$J$1001,0),1)&gt;=100000,INDEX($Q$1005:$U$1005,1,MATCH(COLUMNS($Q$1006:Q1006),$Q$1006:$U$1006,0))&gt;=100000), " ",IF(INDEX($Q$2:$U$1001,MATCH(ROWS($J$2:J738),$J$2:$J$1001,0),MATCH(COLUMNS($Q$1006:Q1006),$Q$1006:$U$1006,0)), HYPERLINK("#",""), HYPERLINK(CONCATENATE("#Metadata!", ADDRESS(INDEX($L$2:$L$1001,MATCH(ROWS($J$2:J738),$J$2:$J$1001,0),0), INDEX($Q$1004:$U$1004,1,MATCH(COLUMNS($Q$1006:Q1006),$Q$1006:$U$1006,0)))),"Fix")))</f>
        <v xml:space="preserve"> </v>
      </c>
      <c r="C738" s="3" t="str">
        <f ca="1">IF(OR(INDEX($K$2:$K$1001,MATCH(ROWS($J$2:J738),$J$2:$J$1001,0),1)&gt;=100000,INDEX($Q$1005:$U$1005,1,MATCH(COLUMNS($Q$1006:R1006),$Q$1006:$U$1006,0))&gt;=100000), " ",IF(INDEX($Q$2:$U$1001,MATCH(ROWS($J$2:J738),$J$2:$J$1001,0),MATCH(COLUMNS($Q$1006:R1006),$Q$1006:$U$1006,0)), HYPERLINK("#",""), HYPERLINK(CONCATENATE("#Metadata!", ADDRESS(INDEX($L$2:$L$1001,MATCH(ROWS($J$2:J738),$J$2:$J$1001,0),0), INDEX($Q$1004:$U$1004,1,MATCH(COLUMNS($Q$1006:R1006),$Q$1006:$U$1006,0)))),"Fix")))</f>
        <v xml:space="preserve"> </v>
      </c>
      <c r="D738" s="3" t="str">
        <f ca="1">IF(OR(INDEX($K$2:$K$1001,MATCH(ROWS($J$2:J738),$J$2:$J$1001,0),1)&gt;=100000,INDEX($Q$1005:$U$1005,1,MATCH(COLUMNS($Q$1006:S1006),$Q$1006:$U$1006,0))&gt;=100000), " ",IF(INDEX($Q$2:$U$1001,MATCH(ROWS($J$2:J738),$J$2:$J$1001,0),MATCH(COLUMNS($Q$1006:S1006),$Q$1006:$U$1006,0)), HYPERLINK("#",""), HYPERLINK(CONCATENATE("#Metadata!", ADDRESS(INDEX($L$2:$L$1001,MATCH(ROWS($J$2:J738),$J$2:$J$1001,0),0), INDEX($Q$1004:$U$1004,1,MATCH(COLUMNS($Q$1006:S1006),$Q$1006:$U$1006,0)))),"Fix")))</f>
        <v xml:space="preserve"> </v>
      </c>
      <c r="E738" s="3" t="str">
        <f ca="1">IF(OR(INDEX($K$2:$K$1001,MATCH(ROWS($J$2:J738),$J$2:$J$1001,0),1)&gt;=100000,INDEX($Q$1005:$U$1005,1,MATCH(COLUMNS($Q$1006:T1006),$Q$1006:$U$1006,0))&gt;=100000), " ",IF(INDEX($Q$2:$U$1001,MATCH(ROWS($J$2:J738),$J$2:$J$1001,0),MATCH(COLUMNS($Q$1006:T1006),$Q$1006:$U$1006,0)), HYPERLINK("#",""), HYPERLINK(CONCATENATE("#Metadata!", ADDRESS(INDEX($L$2:$L$1001,MATCH(ROWS($J$2:J738),$J$2:$J$1001,0),0), INDEX($Q$1004:$U$1004,1,MATCH(COLUMNS($Q$1006:T1006),$Q$1006:$U$1006,0)))),"Fix")))</f>
        <v xml:space="preserve"> </v>
      </c>
      <c r="F738" s="3" t="str">
        <f ca="1">IF(OR(INDEX($K$2:$K$1001,MATCH(ROWS($J$2:J738),$J$2:$J$1001,0),1)&gt;=100000,INDEX($Q$1005:$U$1005,1,MATCH(COLUMNS($Q$1006:U1006),$Q$1006:$U$1006,0))&gt;=100000), " ",IF(INDEX($Q$2:$U$1001,MATCH(ROWS($J$2:J738),$J$2:$J$1001,0),MATCH(COLUMNS($Q$1006:U1006),$Q$1006:$U$1006,0)), HYPERLINK("#",""), HYPERLINK(CONCATENATE("#Metadata!", ADDRESS(INDEX($L$2:$L$1001,MATCH(ROWS($J$2:J738),$J$2:$J$1001,0),0), INDEX($Q$1004:$U$1004,1,MATCH(COLUMNS($Q$1006:U1006),$Q$1006:$U$1006,0)))),"Fix")))</f>
        <v xml:space="preserve"> </v>
      </c>
      <c r="J738">
        <f ca="1"/>
        <v>737</v>
      </c>
      <c r="K738">
        <v>100738</v>
      </c>
      <c r="L738">
        <v>738</v>
      </c>
      <c r="M738" t="b">
        <f t="shared" si="11"/>
        <v>1</v>
      </c>
      <c r="N738" t="b">
        <f>COUNTBLANK(Metadata!B738:F738)=COLUMNS(Metadata!B738:F738)</f>
        <v>1</v>
      </c>
      <c r="O738" t="str">
        <v/>
      </c>
      <c r="Q738" t="b">
        <f ca="1"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R738" t="b">
        <f>IF(Metadata!C738="",FALSE,TRUE)</f>
        <v>0</v>
      </c>
      <c r="S738" t="b">
        <f>OR(AND(IF(Metadata!D738="",FALSE,TRUE),EXACT(Metadata!D738,"missing: not collected")),AND(IF(Metadata!D738="",FALSE,TRUE),OR(EXACT(Metadata!D738,"t"),EXACT(Metadata!D738,"f"))))</f>
        <v>0</v>
      </c>
      <c r="T738" t="b">
        <f>AND(IF(Metadata!E738="",FALSE,TRUE),OR(EXACT(Metadata!E738,"a"),EXACT(Metadata!E738,"b")))</f>
        <v>0</v>
      </c>
      <c r="U738" t="b">
        <f>OR(AND(IF(Metadata!F738="",FALSE,TRUE),OR(EXACT(Metadata!F738,"missing: not collected"),EXACT(Metadata!F738,"missing: not provided"))),AND(IF(Metadata!F738="",FALSE,TRUE),OR(EXACT(Metadata!F738,"lo"),EXACT(Metadata!F738,"med"),EXACT(Metadata!F738,"hi"))))</f>
        <v>0</v>
      </c>
    </row>
    <row r="739" spans="1:21" x14ac:dyDescent="0.2">
      <c r="A739" s="4" t="str">
        <f ca="1">IF(B739=" "," ",HYPERLINK(CONCATENATE("#metadata!",ADDRESS(INDEX($L$2:$L$1001,MATCH(ROWS($J$2:J739),$J$2:$J$1001,0),0),1)),INDEX($O$2:$O$1001,MATCH(ROWS($J$2:J739),$J$2:$J$1001,0),0)))</f>
        <v xml:space="preserve"> </v>
      </c>
      <c r="B739" s="3" t="str">
        <f ca="1">IF(OR(INDEX($K$2:$K$1001,MATCH(ROWS($J$2:J739),$J$2:$J$1001,0),1)&gt;=100000,INDEX($Q$1005:$U$1005,1,MATCH(COLUMNS($Q$1006:Q1006),$Q$1006:$U$1006,0))&gt;=100000), " ",IF(INDEX($Q$2:$U$1001,MATCH(ROWS($J$2:J739),$J$2:$J$1001,0),MATCH(COLUMNS($Q$1006:Q1006),$Q$1006:$U$1006,0)), HYPERLINK("#",""), HYPERLINK(CONCATENATE("#Metadata!", ADDRESS(INDEX($L$2:$L$1001,MATCH(ROWS($J$2:J739),$J$2:$J$1001,0),0), INDEX($Q$1004:$U$1004,1,MATCH(COLUMNS($Q$1006:Q1006),$Q$1006:$U$1006,0)))),"Fix")))</f>
        <v xml:space="preserve"> </v>
      </c>
      <c r="C739" s="3" t="str">
        <f ca="1">IF(OR(INDEX($K$2:$K$1001,MATCH(ROWS($J$2:J739),$J$2:$J$1001,0),1)&gt;=100000,INDEX($Q$1005:$U$1005,1,MATCH(COLUMNS($Q$1006:R1006),$Q$1006:$U$1006,0))&gt;=100000), " ",IF(INDEX($Q$2:$U$1001,MATCH(ROWS($J$2:J739),$J$2:$J$1001,0),MATCH(COLUMNS($Q$1006:R1006),$Q$1006:$U$1006,0)), HYPERLINK("#",""), HYPERLINK(CONCATENATE("#Metadata!", ADDRESS(INDEX($L$2:$L$1001,MATCH(ROWS($J$2:J739),$J$2:$J$1001,0),0), INDEX($Q$1004:$U$1004,1,MATCH(COLUMNS($Q$1006:R1006),$Q$1006:$U$1006,0)))),"Fix")))</f>
        <v xml:space="preserve"> </v>
      </c>
      <c r="D739" s="3" t="str">
        <f ca="1">IF(OR(INDEX($K$2:$K$1001,MATCH(ROWS($J$2:J739),$J$2:$J$1001,0),1)&gt;=100000,INDEX($Q$1005:$U$1005,1,MATCH(COLUMNS($Q$1006:S1006),$Q$1006:$U$1006,0))&gt;=100000), " ",IF(INDEX($Q$2:$U$1001,MATCH(ROWS($J$2:J739),$J$2:$J$1001,0),MATCH(COLUMNS($Q$1006:S1006),$Q$1006:$U$1006,0)), HYPERLINK("#",""), HYPERLINK(CONCATENATE("#Metadata!", ADDRESS(INDEX($L$2:$L$1001,MATCH(ROWS($J$2:J739),$J$2:$J$1001,0),0), INDEX($Q$1004:$U$1004,1,MATCH(COLUMNS($Q$1006:S1006),$Q$1006:$U$1006,0)))),"Fix")))</f>
        <v xml:space="preserve"> </v>
      </c>
      <c r="E739" s="3" t="str">
        <f ca="1">IF(OR(INDEX($K$2:$K$1001,MATCH(ROWS($J$2:J739),$J$2:$J$1001,0),1)&gt;=100000,INDEX($Q$1005:$U$1005,1,MATCH(COLUMNS($Q$1006:T1006),$Q$1006:$U$1006,0))&gt;=100000), " ",IF(INDEX($Q$2:$U$1001,MATCH(ROWS($J$2:J739),$J$2:$J$1001,0),MATCH(COLUMNS($Q$1006:T1006),$Q$1006:$U$1006,0)), HYPERLINK("#",""), HYPERLINK(CONCATENATE("#Metadata!", ADDRESS(INDEX($L$2:$L$1001,MATCH(ROWS($J$2:J739),$J$2:$J$1001,0),0), INDEX($Q$1004:$U$1004,1,MATCH(COLUMNS($Q$1006:T1006),$Q$1006:$U$1006,0)))),"Fix")))</f>
        <v xml:space="preserve"> </v>
      </c>
      <c r="F739" s="3" t="str">
        <f ca="1">IF(OR(INDEX($K$2:$K$1001,MATCH(ROWS($J$2:J739),$J$2:$J$1001,0),1)&gt;=100000,INDEX($Q$1005:$U$1005,1,MATCH(COLUMNS($Q$1006:U1006),$Q$1006:$U$1006,0))&gt;=100000), " ",IF(INDEX($Q$2:$U$1001,MATCH(ROWS($J$2:J739),$J$2:$J$1001,0),MATCH(COLUMNS($Q$1006:U1006),$Q$1006:$U$1006,0)), HYPERLINK("#",""), HYPERLINK(CONCATENATE("#Metadata!", ADDRESS(INDEX($L$2:$L$1001,MATCH(ROWS($J$2:J739),$J$2:$J$1001,0),0), INDEX($Q$1004:$U$1004,1,MATCH(COLUMNS($Q$1006:U1006),$Q$1006:$U$1006,0)))),"Fix")))</f>
        <v xml:space="preserve"> </v>
      </c>
      <c r="J739">
        <f ca="1"/>
        <v>738</v>
      </c>
      <c r="K739">
        <v>100739</v>
      </c>
      <c r="L739">
        <v>739</v>
      </c>
      <c r="M739" t="b">
        <f t="shared" si="11"/>
        <v>1</v>
      </c>
      <c r="N739" t="b">
        <f>COUNTBLANK(Metadata!B739:F739)=COLUMNS(Metadata!B739:F739)</f>
        <v>1</v>
      </c>
      <c r="O739" t="str">
        <v/>
      </c>
      <c r="Q739" t="b">
        <f ca="1"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R739" t="b">
        <f>IF(Metadata!C739="",FALSE,TRUE)</f>
        <v>0</v>
      </c>
      <c r="S739" t="b">
        <f>OR(AND(IF(Metadata!D739="",FALSE,TRUE),EXACT(Metadata!D739,"missing: not collected")),AND(IF(Metadata!D739="",FALSE,TRUE),OR(EXACT(Metadata!D739,"t"),EXACT(Metadata!D739,"f"))))</f>
        <v>0</v>
      </c>
      <c r="T739" t="b">
        <f>AND(IF(Metadata!E739="",FALSE,TRUE),OR(EXACT(Metadata!E739,"a"),EXACT(Metadata!E739,"b")))</f>
        <v>0</v>
      </c>
      <c r="U739" t="b">
        <f>OR(AND(IF(Metadata!F739="",FALSE,TRUE),OR(EXACT(Metadata!F739,"missing: not collected"),EXACT(Metadata!F739,"missing: not provided"))),AND(IF(Metadata!F739="",FALSE,TRUE),OR(EXACT(Metadata!F739,"lo"),EXACT(Metadata!F739,"med"),EXACT(Metadata!F739,"hi"))))</f>
        <v>0</v>
      </c>
    </row>
    <row r="740" spans="1:21" x14ac:dyDescent="0.2">
      <c r="A740" s="4" t="str">
        <f ca="1">IF(B740=" "," ",HYPERLINK(CONCATENATE("#metadata!",ADDRESS(INDEX($L$2:$L$1001,MATCH(ROWS($J$2:J740),$J$2:$J$1001,0),0),1)),INDEX($O$2:$O$1001,MATCH(ROWS($J$2:J740),$J$2:$J$1001,0),0)))</f>
        <v xml:space="preserve"> </v>
      </c>
      <c r="B740" s="3" t="str">
        <f ca="1">IF(OR(INDEX($K$2:$K$1001,MATCH(ROWS($J$2:J740),$J$2:$J$1001,0),1)&gt;=100000,INDEX($Q$1005:$U$1005,1,MATCH(COLUMNS($Q$1006:Q1006),$Q$1006:$U$1006,0))&gt;=100000), " ",IF(INDEX($Q$2:$U$1001,MATCH(ROWS($J$2:J740),$J$2:$J$1001,0),MATCH(COLUMNS($Q$1006:Q1006),$Q$1006:$U$1006,0)), HYPERLINK("#",""), HYPERLINK(CONCATENATE("#Metadata!", ADDRESS(INDEX($L$2:$L$1001,MATCH(ROWS($J$2:J740),$J$2:$J$1001,0),0), INDEX($Q$1004:$U$1004,1,MATCH(COLUMNS($Q$1006:Q1006),$Q$1006:$U$1006,0)))),"Fix")))</f>
        <v xml:space="preserve"> </v>
      </c>
      <c r="C740" s="3" t="str">
        <f ca="1">IF(OR(INDEX($K$2:$K$1001,MATCH(ROWS($J$2:J740),$J$2:$J$1001,0),1)&gt;=100000,INDEX($Q$1005:$U$1005,1,MATCH(COLUMNS($Q$1006:R1006),$Q$1006:$U$1006,0))&gt;=100000), " ",IF(INDEX($Q$2:$U$1001,MATCH(ROWS($J$2:J740),$J$2:$J$1001,0),MATCH(COLUMNS($Q$1006:R1006),$Q$1006:$U$1006,0)), HYPERLINK("#",""), HYPERLINK(CONCATENATE("#Metadata!", ADDRESS(INDEX($L$2:$L$1001,MATCH(ROWS($J$2:J740),$J$2:$J$1001,0),0), INDEX($Q$1004:$U$1004,1,MATCH(COLUMNS($Q$1006:R1006),$Q$1006:$U$1006,0)))),"Fix")))</f>
        <v xml:space="preserve"> </v>
      </c>
      <c r="D740" s="3" t="str">
        <f ca="1">IF(OR(INDEX($K$2:$K$1001,MATCH(ROWS($J$2:J740),$J$2:$J$1001,0),1)&gt;=100000,INDEX($Q$1005:$U$1005,1,MATCH(COLUMNS($Q$1006:S1006),$Q$1006:$U$1006,0))&gt;=100000), " ",IF(INDEX($Q$2:$U$1001,MATCH(ROWS($J$2:J740),$J$2:$J$1001,0),MATCH(COLUMNS($Q$1006:S1006),$Q$1006:$U$1006,0)), HYPERLINK("#",""), HYPERLINK(CONCATENATE("#Metadata!", ADDRESS(INDEX($L$2:$L$1001,MATCH(ROWS($J$2:J740),$J$2:$J$1001,0),0), INDEX($Q$1004:$U$1004,1,MATCH(COLUMNS($Q$1006:S1006),$Q$1006:$U$1006,0)))),"Fix")))</f>
        <v xml:space="preserve"> </v>
      </c>
      <c r="E740" s="3" t="str">
        <f ca="1">IF(OR(INDEX($K$2:$K$1001,MATCH(ROWS($J$2:J740),$J$2:$J$1001,0),1)&gt;=100000,INDEX($Q$1005:$U$1005,1,MATCH(COLUMNS($Q$1006:T1006),$Q$1006:$U$1006,0))&gt;=100000), " ",IF(INDEX($Q$2:$U$1001,MATCH(ROWS($J$2:J740),$J$2:$J$1001,0),MATCH(COLUMNS($Q$1006:T1006),$Q$1006:$U$1006,0)), HYPERLINK("#",""), HYPERLINK(CONCATENATE("#Metadata!", ADDRESS(INDEX($L$2:$L$1001,MATCH(ROWS($J$2:J740),$J$2:$J$1001,0),0), INDEX($Q$1004:$U$1004,1,MATCH(COLUMNS($Q$1006:T1006),$Q$1006:$U$1006,0)))),"Fix")))</f>
        <v xml:space="preserve"> </v>
      </c>
      <c r="F740" s="3" t="str">
        <f ca="1">IF(OR(INDEX($K$2:$K$1001,MATCH(ROWS($J$2:J740),$J$2:$J$1001,0),1)&gt;=100000,INDEX($Q$1005:$U$1005,1,MATCH(COLUMNS($Q$1006:U1006),$Q$1006:$U$1006,0))&gt;=100000), " ",IF(INDEX($Q$2:$U$1001,MATCH(ROWS($J$2:J740),$J$2:$J$1001,0),MATCH(COLUMNS($Q$1006:U1006),$Q$1006:$U$1006,0)), HYPERLINK("#",""), HYPERLINK(CONCATENATE("#Metadata!", ADDRESS(INDEX($L$2:$L$1001,MATCH(ROWS($J$2:J740),$J$2:$J$1001,0),0), INDEX($Q$1004:$U$1004,1,MATCH(COLUMNS($Q$1006:U1006),$Q$1006:$U$1006,0)))),"Fix")))</f>
        <v xml:space="preserve"> </v>
      </c>
      <c r="J740">
        <f ca="1"/>
        <v>739</v>
      </c>
      <c r="K740">
        <v>100740</v>
      </c>
      <c r="L740">
        <v>740</v>
      </c>
      <c r="M740" t="b">
        <f t="shared" si="11"/>
        <v>1</v>
      </c>
      <c r="N740" t="b">
        <f>COUNTBLANK(Metadata!B740:F740)=COLUMNS(Metadata!B740:F740)</f>
        <v>1</v>
      </c>
      <c r="O740" t="str">
        <v/>
      </c>
      <c r="Q740" t="b">
        <f ca="1"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R740" t="b">
        <f>IF(Metadata!C740="",FALSE,TRUE)</f>
        <v>0</v>
      </c>
      <c r="S740" t="b">
        <f>OR(AND(IF(Metadata!D740="",FALSE,TRUE),EXACT(Metadata!D740,"missing: not collected")),AND(IF(Metadata!D740="",FALSE,TRUE),OR(EXACT(Metadata!D740,"t"),EXACT(Metadata!D740,"f"))))</f>
        <v>0</v>
      </c>
      <c r="T740" t="b">
        <f>AND(IF(Metadata!E740="",FALSE,TRUE),OR(EXACT(Metadata!E740,"a"),EXACT(Metadata!E740,"b")))</f>
        <v>0</v>
      </c>
      <c r="U740" t="b">
        <f>OR(AND(IF(Metadata!F740="",FALSE,TRUE),OR(EXACT(Metadata!F740,"missing: not collected"),EXACT(Metadata!F740,"missing: not provided"))),AND(IF(Metadata!F740="",FALSE,TRUE),OR(EXACT(Metadata!F740,"lo"),EXACT(Metadata!F740,"med"),EXACT(Metadata!F740,"hi"))))</f>
        <v>0</v>
      </c>
    </row>
    <row r="741" spans="1:21" x14ac:dyDescent="0.2">
      <c r="A741" s="4" t="str">
        <f ca="1">IF(B741=" "," ",HYPERLINK(CONCATENATE("#metadata!",ADDRESS(INDEX($L$2:$L$1001,MATCH(ROWS($J$2:J741),$J$2:$J$1001,0),0),1)),INDEX($O$2:$O$1001,MATCH(ROWS($J$2:J741),$J$2:$J$1001,0),0)))</f>
        <v xml:space="preserve"> </v>
      </c>
      <c r="B741" s="3" t="str">
        <f ca="1">IF(OR(INDEX($K$2:$K$1001,MATCH(ROWS($J$2:J741),$J$2:$J$1001,0),1)&gt;=100000,INDEX($Q$1005:$U$1005,1,MATCH(COLUMNS($Q$1006:Q1006),$Q$1006:$U$1006,0))&gt;=100000), " ",IF(INDEX($Q$2:$U$1001,MATCH(ROWS($J$2:J741),$J$2:$J$1001,0),MATCH(COLUMNS($Q$1006:Q1006),$Q$1006:$U$1006,0)), HYPERLINK("#",""), HYPERLINK(CONCATENATE("#Metadata!", ADDRESS(INDEX($L$2:$L$1001,MATCH(ROWS($J$2:J741),$J$2:$J$1001,0),0), INDEX($Q$1004:$U$1004,1,MATCH(COLUMNS($Q$1006:Q1006),$Q$1006:$U$1006,0)))),"Fix")))</f>
        <v xml:space="preserve"> </v>
      </c>
      <c r="C741" s="3" t="str">
        <f ca="1">IF(OR(INDEX($K$2:$K$1001,MATCH(ROWS($J$2:J741),$J$2:$J$1001,0),1)&gt;=100000,INDEX($Q$1005:$U$1005,1,MATCH(COLUMNS($Q$1006:R1006),$Q$1006:$U$1006,0))&gt;=100000), " ",IF(INDEX($Q$2:$U$1001,MATCH(ROWS($J$2:J741),$J$2:$J$1001,0),MATCH(COLUMNS($Q$1006:R1006),$Q$1006:$U$1006,0)), HYPERLINK("#",""), HYPERLINK(CONCATENATE("#Metadata!", ADDRESS(INDEX($L$2:$L$1001,MATCH(ROWS($J$2:J741),$J$2:$J$1001,0),0), INDEX($Q$1004:$U$1004,1,MATCH(COLUMNS($Q$1006:R1006),$Q$1006:$U$1006,0)))),"Fix")))</f>
        <v xml:space="preserve"> </v>
      </c>
      <c r="D741" s="3" t="str">
        <f ca="1">IF(OR(INDEX($K$2:$K$1001,MATCH(ROWS($J$2:J741),$J$2:$J$1001,0),1)&gt;=100000,INDEX($Q$1005:$U$1005,1,MATCH(COLUMNS($Q$1006:S1006),$Q$1006:$U$1006,0))&gt;=100000), " ",IF(INDEX($Q$2:$U$1001,MATCH(ROWS($J$2:J741),$J$2:$J$1001,0),MATCH(COLUMNS($Q$1006:S1006),$Q$1006:$U$1006,0)), HYPERLINK("#",""), HYPERLINK(CONCATENATE("#Metadata!", ADDRESS(INDEX($L$2:$L$1001,MATCH(ROWS($J$2:J741),$J$2:$J$1001,0),0), INDEX($Q$1004:$U$1004,1,MATCH(COLUMNS($Q$1006:S1006),$Q$1006:$U$1006,0)))),"Fix")))</f>
        <v xml:space="preserve"> </v>
      </c>
      <c r="E741" s="3" t="str">
        <f ca="1">IF(OR(INDEX($K$2:$K$1001,MATCH(ROWS($J$2:J741),$J$2:$J$1001,0),1)&gt;=100000,INDEX($Q$1005:$U$1005,1,MATCH(COLUMNS($Q$1006:T1006),$Q$1006:$U$1006,0))&gt;=100000), " ",IF(INDEX($Q$2:$U$1001,MATCH(ROWS($J$2:J741),$J$2:$J$1001,0),MATCH(COLUMNS($Q$1006:T1006),$Q$1006:$U$1006,0)), HYPERLINK("#",""), HYPERLINK(CONCATENATE("#Metadata!", ADDRESS(INDEX($L$2:$L$1001,MATCH(ROWS($J$2:J741),$J$2:$J$1001,0),0), INDEX($Q$1004:$U$1004,1,MATCH(COLUMNS($Q$1006:T1006),$Q$1006:$U$1006,0)))),"Fix")))</f>
        <v xml:space="preserve"> </v>
      </c>
      <c r="F741" s="3" t="str">
        <f ca="1">IF(OR(INDEX($K$2:$K$1001,MATCH(ROWS($J$2:J741),$J$2:$J$1001,0),1)&gt;=100000,INDEX($Q$1005:$U$1005,1,MATCH(COLUMNS($Q$1006:U1006),$Q$1006:$U$1006,0))&gt;=100000), " ",IF(INDEX($Q$2:$U$1001,MATCH(ROWS($J$2:J741),$J$2:$J$1001,0),MATCH(COLUMNS($Q$1006:U1006),$Q$1006:$U$1006,0)), HYPERLINK("#",""), HYPERLINK(CONCATENATE("#Metadata!", ADDRESS(INDEX($L$2:$L$1001,MATCH(ROWS($J$2:J741),$J$2:$J$1001,0),0), INDEX($Q$1004:$U$1004,1,MATCH(COLUMNS($Q$1006:U1006),$Q$1006:$U$1006,0)))),"Fix")))</f>
        <v xml:space="preserve"> </v>
      </c>
      <c r="J741">
        <f ca="1"/>
        <v>740</v>
      </c>
      <c r="K741">
        <v>100741</v>
      </c>
      <c r="L741">
        <v>741</v>
      </c>
      <c r="M741" t="b">
        <f t="shared" si="11"/>
        <v>1</v>
      </c>
      <c r="N741" t="b">
        <f>COUNTBLANK(Metadata!B741:F741)=COLUMNS(Metadata!B741:F741)</f>
        <v>1</v>
      </c>
      <c r="O741" t="str">
        <v/>
      </c>
      <c r="Q741" t="b">
        <f ca="1"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R741" t="b">
        <f>IF(Metadata!C741="",FALSE,TRUE)</f>
        <v>0</v>
      </c>
      <c r="S741" t="b">
        <f>OR(AND(IF(Metadata!D741="",FALSE,TRUE),EXACT(Metadata!D741,"missing: not collected")),AND(IF(Metadata!D741="",FALSE,TRUE),OR(EXACT(Metadata!D741,"t"),EXACT(Metadata!D741,"f"))))</f>
        <v>0</v>
      </c>
      <c r="T741" t="b">
        <f>AND(IF(Metadata!E741="",FALSE,TRUE),OR(EXACT(Metadata!E741,"a"),EXACT(Metadata!E741,"b")))</f>
        <v>0</v>
      </c>
      <c r="U741" t="b">
        <f>OR(AND(IF(Metadata!F741="",FALSE,TRUE),OR(EXACT(Metadata!F741,"missing: not collected"),EXACT(Metadata!F741,"missing: not provided"))),AND(IF(Metadata!F741="",FALSE,TRUE),OR(EXACT(Metadata!F741,"lo"),EXACT(Metadata!F741,"med"),EXACT(Metadata!F741,"hi"))))</f>
        <v>0</v>
      </c>
    </row>
    <row r="742" spans="1:21" x14ac:dyDescent="0.2">
      <c r="A742" s="4" t="str">
        <f ca="1">IF(B742=" "," ",HYPERLINK(CONCATENATE("#metadata!",ADDRESS(INDEX($L$2:$L$1001,MATCH(ROWS($J$2:J742),$J$2:$J$1001,0),0),1)),INDEX($O$2:$O$1001,MATCH(ROWS($J$2:J742),$J$2:$J$1001,0),0)))</f>
        <v xml:space="preserve"> </v>
      </c>
      <c r="B742" s="3" t="str">
        <f ca="1">IF(OR(INDEX($K$2:$K$1001,MATCH(ROWS($J$2:J742),$J$2:$J$1001,0),1)&gt;=100000,INDEX($Q$1005:$U$1005,1,MATCH(COLUMNS($Q$1006:Q1006),$Q$1006:$U$1006,0))&gt;=100000), " ",IF(INDEX($Q$2:$U$1001,MATCH(ROWS($J$2:J742),$J$2:$J$1001,0),MATCH(COLUMNS($Q$1006:Q1006),$Q$1006:$U$1006,0)), HYPERLINK("#",""), HYPERLINK(CONCATENATE("#Metadata!", ADDRESS(INDEX($L$2:$L$1001,MATCH(ROWS($J$2:J742),$J$2:$J$1001,0),0), INDEX($Q$1004:$U$1004,1,MATCH(COLUMNS($Q$1006:Q1006),$Q$1006:$U$1006,0)))),"Fix")))</f>
        <v xml:space="preserve"> </v>
      </c>
      <c r="C742" s="3" t="str">
        <f ca="1">IF(OR(INDEX($K$2:$K$1001,MATCH(ROWS($J$2:J742),$J$2:$J$1001,0),1)&gt;=100000,INDEX($Q$1005:$U$1005,1,MATCH(COLUMNS($Q$1006:R1006),$Q$1006:$U$1006,0))&gt;=100000), " ",IF(INDEX($Q$2:$U$1001,MATCH(ROWS($J$2:J742),$J$2:$J$1001,0),MATCH(COLUMNS($Q$1006:R1006),$Q$1006:$U$1006,0)), HYPERLINK("#",""), HYPERLINK(CONCATENATE("#Metadata!", ADDRESS(INDEX($L$2:$L$1001,MATCH(ROWS($J$2:J742),$J$2:$J$1001,0),0), INDEX($Q$1004:$U$1004,1,MATCH(COLUMNS($Q$1006:R1006),$Q$1006:$U$1006,0)))),"Fix")))</f>
        <v xml:space="preserve"> </v>
      </c>
      <c r="D742" s="3" t="str">
        <f ca="1">IF(OR(INDEX($K$2:$K$1001,MATCH(ROWS($J$2:J742),$J$2:$J$1001,0),1)&gt;=100000,INDEX($Q$1005:$U$1005,1,MATCH(COLUMNS($Q$1006:S1006),$Q$1006:$U$1006,0))&gt;=100000), " ",IF(INDEX($Q$2:$U$1001,MATCH(ROWS($J$2:J742),$J$2:$J$1001,0),MATCH(COLUMNS($Q$1006:S1006),$Q$1006:$U$1006,0)), HYPERLINK("#",""), HYPERLINK(CONCATENATE("#Metadata!", ADDRESS(INDEX($L$2:$L$1001,MATCH(ROWS($J$2:J742),$J$2:$J$1001,0),0), INDEX($Q$1004:$U$1004,1,MATCH(COLUMNS($Q$1006:S1006),$Q$1006:$U$1006,0)))),"Fix")))</f>
        <v xml:space="preserve"> </v>
      </c>
      <c r="E742" s="3" t="str">
        <f ca="1">IF(OR(INDEX($K$2:$K$1001,MATCH(ROWS($J$2:J742),$J$2:$J$1001,0),1)&gt;=100000,INDEX($Q$1005:$U$1005,1,MATCH(COLUMNS($Q$1006:T1006),$Q$1006:$U$1006,0))&gt;=100000), " ",IF(INDEX($Q$2:$U$1001,MATCH(ROWS($J$2:J742),$J$2:$J$1001,0),MATCH(COLUMNS($Q$1006:T1006),$Q$1006:$U$1006,0)), HYPERLINK("#",""), HYPERLINK(CONCATENATE("#Metadata!", ADDRESS(INDEX($L$2:$L$1001,MATCH(ROWS($J$2:J742),$J$2:$J$1001,0),0), INDEX($Q$1004:$U$1004,1,MATCH(COLUMNS($Q$1006:T1006),$Q$1006:$U$1006,0)))),"Fix")))</f>
        <v xml:space="preserve"> </v>
      </c>
      <c r="F742" s="3" t="str">
        <f ca="1">IF(OR(INDEX($K$2:$K$1001,MATCH(ROWS($J$2:J742),$J$2:$J$1001,0),1)&gt;=100000,INDEX($Q$1005:$U$1005,1,MATCH(COLUMNS($Q$1006:U1006),$Q$1006:$U$1006,0))&gt;=100000), " ",IF(INDEX($Q$2:$U$1001,MATCH(ROWS($J$2:J742),$J$2:$J$1001,0),MATCH(COLUMNS($Q$1006:U1006),$Q$1006:$U$1006,0)), HYPERLINK("#",""), HYPERLINK(CONCATENATE("#Metadata!", ADDRESS(INDEX($L$2:$L$1001,MATCH(ROWS($J$2:J742),$J$2:$J$1001,0),0), INDEX($Q$1004:$U$1004,1,MATCH(COLUMNS($Q$1006:U1006),$Q$1006:$U$1006,0)))),"Fix")))</f>
        <v xml:space="preserve"> </v>
      </c>
      <c r="J742">
        <f ca="1"/>
        <v>741</v>
      </c>
      <c r="K742">
        <v>100742</v>
      </c>
      <c r="L742">
        <v>742</v>
      </c>
      <c r="M742" t="b">
        <f t="shared" si="11"/>
        <v>1</v>
      </c>
      <c r="N742" t="b">
        <f>COUNTBLANK(Metadata!B742:F742)=COLUMNS(Metadata!B742:F742)</f>
        <v>1</v>
      </c>
      <c r="O742" t="str">
        <v/>
      </c>
      <c r="Q742" t="b">
        <f ca="1"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R742" t="b">
        <f>IF(Metadata!C742="",FALSE,TRUE)</f>
        <v>0</v>
      </c>
      <c r="S742" t="b">
        <f>OR(AND(IF(Metadata!D742="",FALSE,TRUE),EXACT(Metadata!D742,"missing: not collected")),AND(IF(Metadata!D742="",FALSE,TRUE),OR(EXACT(Metadata!D742,"t"),EXACT(Metadata!D742,"f"))))</f>
        <v>0</v>
      </c>
      <c r="T742" t="b">
        <f>AND(IF(Metadata!E742="",FALSE,TRUE),OR(EXACT(Metadata!E742,"a"),EXACT(Metadata!E742,"b")))</f>
        <v>0</v>
      </c>
      <c r="U742" t="b">
        <f>OR(AND(IF(Metadata!F742="",FALSE,TRUE),OR(EXACT(Metadata!F742,"missing: not collected"),EXACT(Metadata!F742,"missing: not provided"))),AND(IF(Metadata!F742="",FALSE,TRUE),OR(EXACT(Metadata!F742,"lo"),EXACT(Metadata!F742,"med"),EXACT(Metadata!F742,"hi"))))</f>
        <v>0</v>
      </c>
    </row>
    <row r="743" spans="1:21" x14ac:dyDescent="0.2">
      <c r="A743" s="4" t="str">
        <f ca="1">IF(B743=" "," ",HYPERLINK(CONCATENATE("#metadata!",ADDRESS(INDEX($L$2:$L$1001,MATCH(ROWS($J$2:J743),$J$2:$J$1001,0),0),1)),INDEX($O$2:$O$1001,MATCH(ROWS($J$2:J743),$J$2:$J$1001,0),0)))</f>
        <v xml:space="preserve"> </v>
      </c>
      <c r="B743" s="3" t="str">
        <f ca="1">IF(OR(INDEX($K$2:$K$1001,MATCH(ROWS($J$2:J743),$J$2:$J$1001,0),1)&gt;=100000,INDEX($Q$1005:$U$1005,1,MATCH(COLUMNS($Q$1006:Q1006),$Q$1006:$U$1006,0))&gt;=100000), " ",IF(INDEX($Q$2:$U$1001,MATCH(ROWS($J$2:J743),$J$2:$J$1001,0),MATCH(COLUMNS($Q$1006:Q1006),$Q$1006:$U$1006,0)), HYPERLINK("#",""), HYPERLINK(CONCATENATE("#Metadata!", ADDRESS(INDEX($L$2:$L$1001,MATCH(ROWS($J$2:J743),$J$2:$J$1001,0),0), INDEX($Q$1004:$U$1004,1,MATCH(COLUMNS($Q$1006:Q1006),$Q$1006:$U$1006,0)))),"Fix")))</f>
        <v xml:space="preserve"> </v>
      </c>
      <c r="C743" s="3" t="str">
        <f ca="1">IF(OR(INDEX($K$2:$K$1001,MATCH(ROWS($J$2:J743),$J$2:$J$1001,0),1)&gt;=100000,INDEX($Q$1005:$U$1005,1,MATCH(COLUMNS($Q$1006:R1006),$Q$1006:$U$1006,0))&gt;=100000), " ",IF(INDEX($Q$2:$U$1001,MATCH(ROWS($J$2:J743),$J$2:$J$1001,0),MATCH(COLUMNS($Q$1006:R1006),$Q$1006:$U$1006,0)), HYPERLINK("#",""), HYPERLINK(CONCATENATE("#Metadata!", ADDRESS(INDEX($L$2:$L$1001,MATCH(ROWS($J$2:J743),$J$2:$J$1001,0),0), INDEX($Q$1004:$U$1004,1,MATCH(COLUMNS($Q$1006:R1006),$Q$1006:$U$1006,0)))),"Fix")))</f>
        <v xml:space="preserve"> </v>
      </c>
      <c r="D743" s="3" t="str">
        <f ca="1">IF(OR(INDEX($K$2:$K$1001,MATCH(ROWS($J$2:J743),$J$2:$J$1001,0),1)&gt;=100000,INDEX($Q$1005:$U$1005,1,MATCH(COLUMNS($Q$1006:S1006),$Q$1006:$U$1006,0))&gt;=100000), " ",IF(INDEX($Q$2:$U$1001,MATCH(ROWS($J$2:J743),$J$2:$J$1001,0),MATCH(COLUMNS($Q$1006:S1006),$Q$1006:$U$1006,0)), HYPERLINK("#",""), HYPERLINK(CONCATENATE("#Metadata!", ADDRESS(INDEX($L$2:$L$1001,MATCH(ROWS($J$2:J743),$J$2:$J$1001,0),0), INDEX($Q$1004:$U$1004,1,MATCH(COLUMNS($Q$1006:S1006),$Q$1006:$U$1006,0)))),"Fix")))</f>
        <v xml:space="preserve"> </v>
      </c>
      <c r="E743" s="3" t="str">
        <f ca="1">IF(OR(INDEX($K$2:$K$1001,MATCH(ROWS($J$2:J743),$J$2:$J$1001,0),1)&gt;=100000,INDEX($Q$1005:$U$1005,1,MATCH(COLUMNS($Q$1006:T1006),$Q$1006:$U$1006,0))&gt;=100000), " ",IF(INDEX($Q$2:$U$1001,MATCH(ROWS($J$2:J743),$J$2:$J$1001,0),MATCH(COLUMNS($Q$1006:T1006),$Q$1006:$U$1006,0)), HYPERLINK("#",""), HYPERLINK(CONCATENATE("#Metadata!", ADDRESS(INDEX($L$2:$L$1001,MATCH(ROWS($J$2:J743),$J$2:$J$1001,0),0), INDEX($Q$1004:$U$1004,1,MATCH(COLUMNS($Q$1006:T1006),$Q$1006:$U$1006,0)))),"Fix")))</f>
        <v xml:space="preserve"> </v>
      </c>
      <c r="F743" s="3" t="str">
        <f ca="1">IF(OR(INDEX($K$2:$K$1001,MATCH(ROWS($J$2:J743),$J$2:$J$1001,0),1)&gt;=100000,INDEX($Q$1005:$U$1005,1,MATCH(COLUMNS($Q$1006:U1006),$Q$1006:$U$1006,0))&gt;=100000), " ",IF(INDEX($Q$2:$U$1001,MATCH(ROWS($J$2:J743),$J$2:$J$1001,0),MATCH(COLUMNS($Q$1006:U1006),$Q$1006:$U$1006,0)), HYPERLINK("#",""), HYPERLINK(CONCATENATE("#Metadata!", ADDRESS(INDEX($L$2:$L$1001,MATCH(ROWS($J$2:J743),$J$2:$J$1001,0),0), INDEX($Q$1004:$U$1004,1,MATCH(COLUMNS($Q$1006:U1006),$Q$1006:$U$1006,0)))),"Fix")))</f>
        <v xml:space="preserve"> </v>
      </c>
      <c r="J743">
        <f ca="1"/>
        <v>742</v>
      </c>
      <c r="K743">
        <v>100743</v>
      </c>
      <c r="L743">
        <v>743</v>
      </c>
      <c r="M743" t="b">
        <f t="shared" si="11"/>
        <v>1</v>
      </c>
      <c r="N743" t="b">
        <f>COUNTBLANK(Metadata!B743:F743)=COLUMNS(Metadata!B743:F743)</f>
        <v>1</v>
      </c>
      <c r="O743" t="str">
        <v/>
      </c>
      <c r="Q743" t="b">
        <f ca="1"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R743" t="b">
        <f>IF(Metadata!C743="",FALSE,TRUE)</f>
        <v>0</v>
      </c>
      <c r="S743" t="b">
        <f>OR(AND(IF(Metadata!D743="",FALSE,TRUE),EXACT(Metadata!D743,"missing: not collected")),AND(IF(Metadata!D743="",FALSE,TRUE),OR(EXACT(Metadata!D743,"t"),EXACT(Metadata!D743,"f"))))</f>
        <v>0</v>
      </c>
      <c r="T743" t="b">
        <f>AND(IF(Metadata!E743="",FALSE,TRUE),OR(EXACT(Metadata!E743,"a"),EXACT(Metadata!E743,"b")))</f>
        <v>0</v>
      </c>
      <c r="U743" t="b">
        <f>OR(AND(IF(Metadata!F743="",FALSE,TRUE),OR(EXACT(Metadata!F743,"missing: not collected"),EXACT(Metadata!F743,"missing: not provided"))),AND(IF(Metadata!F743="",FALSE,TRUE),OR(EXACT(Metadata!F743,"lo"),EXACT(Metadata!F743,"med"),EXACT(Metadata!F743,"hi"))))</f>
        <v>0</v>
      </c>
    </row>
    <row r="744" spans="1:21" x14ac:dyDescent="0.2">
      <c r="A744" s="4" t="str">
        <f ca="1">IF(B744=" "," ",HYPERLINK(CONCATENATE("#metadata!",ADDRESS(INDEX($L$2:$L$1001,MATCH(ROWS($J$2:J744),$J$2:$J$1001,0),0),1)),INDEX($O$2:$O$1001,MATCH(ROWS($J$2:J744),$J$2:$J$1001,0),0)))</f>
        <v xml:space="preserve"> </v>
      </c>
      <c r="B744" s="3" t="str">
        <f ca="1">IF(OR(INDEX($K$2:$K$1001,MATCH(ROWS($J$2:J744),$J$2:$J$1001,0),1)&gt;=100000,INDEX($Q$1005:$U$1005,1,MATCH(COLUMNS($Q$1006:Q1006),$Q$1006:$U$1006,0))&gt;=100000), " ",IF(INDEX($Q$2:$U$1001,MATCH(ROWS($J$2:J744),$J$2:$J$1001,0),MATCH(COLUMNS($Q$1006:Q1006),$Q$1006:$U$1006,0)), HYPERLINK("#",""), HYPERLINK(CONCATENATE("#Metadata!", ADDRESS(INDEX($L$2:$L$1001,MATCH(ROWS($J$2:J744),$J$2:$J$1001,0),0), INDEX($Q$1004:$U$1004,1,MATCH(COLUMNS($Q$1006:Q1006),$Q$1006:$U$1006,0)))),"Fix")))</f>
        <v xml:space="preserve"> </v>
      </c>
      <c r="C744" s="3" t="str">
        <f ca="1">IF(OR(INDEX($K$2:$K$1001,MATCH(ROWS($J$2:J744),$J$2:$J$1001,0),1)&gt;=100000,INDEX($Q$1005:$U$1005,1,MATCH(COLUMNS($Q$1006:R1006),$Q$1006:$U$1006,0))&gt;=100000), " ",IF(INDEX($Q$2:$U$1001,MATCH(ROWS($J$2:J744),$J$2:$J$1001,0),MATCH(COLUMNS($Q$1006:R1006),$Q$1006:$U$1006,0)), HYPERLINK("#",""), HYPERLINK(CONCATENATE("#Metadata!", ADDRESS(INDEX($L$2:$L$1001,MATCH(ROWS($J$2:J744),$J$2:$J$1001,0),0), INDEX($Q$1004:$U$1004,1,MATCH(COLUMNS($Q$1006:R1006),$Q$1006:$U$1006,0)))),"Fix")))</f>
        <v xml:space="preserve"> </v>
      </c>
      <c r="D744" s="3" t="str">
        <f ca="1">IF(OR(INDEX($K$2:$K$1001,MATCH(ROWS($J$2:J744),$J$2:$J$1001,0),1)&gt;=100000,INDEX($Q$1005:$U$1005,1,MATCH(COLUMNS($Q$1006:S1006),$Q$1006:$U$1006,0))&gt;=100000), " ",IF(INDEX($Q$2:$U$1001,MATCH(ROWS($J$2:J744),$J$2:$J$1001,0),MATCH(COLUMNS($Q$1006:S1006),$Q$1006:$U$1006,0)), HYPERLINK("#",""), HYPERLINK(CONCATENATE("#Metadata!", ADDRESS(INDEX($L$2:$L$1001,MATCH(ROWS($J$2:J744),$J$2:$J$1001,0),0), INDEX($Q$1004:$U$1004,1,MATCH(COLUMNS($Q$1006:S1006),$Q$1006:$U$1006,0)))),"Fix")))</f>
        <v xml:space="preserve"> </v>
      </c>
      <c r="E744" s="3" t="str">
        <f ca="1">IF(OR(INDEX($K$2:$K$1001,MATCH(ROWS($J$2:J744),$J$2:$J$1001,0),1)&gt;=100000,INDEX($Q$1005:$U$1005,1,MATCH(COLUMNS($Q$1006:T1006),$Q$1006:$U$1006,0))&gt;=100000), " ",IF(INDEX($Q$2:$U$1001,MATCH(ROWS($J$2:J744),$J$2:$J$1001,0),MATCH(COLUMNS($Q$1006:T1006),$Q$1006:$U$1006,0)), HYPERLINK("#",""), HYPERLINK(CONCATENATE("#Metadata!", ADDRESS(INDEX($L$2:$L$1001,MATCH(ROWS($J$2:J744),$J$2:$J$1001,0),0), INDEX($Q$1004:$U$1004,1,MATCH(COLUMNS($Q$1006:T1006),$Q$1006:$U$1006,0)))),"Fix")))</f>
        <v xml:space="preserve"> </v>
      </c>
      <c r="F744" s="3" t="str">
        <f ca="1">IF(OR(INDEX($K$2:$K$1001,MATCH(ROWS($J$2:J744),$J$2:$J$1001,0),1)&gt;=100000,INDEX($Q$1005:$U$1005,1,MATCH(COLUMNS($Q$1006:U1006),$Q$1006:$U$1006,0))&gt;=100000), " ",IF(INDEX($Q$2:$U$1001,MATCH(ROWS($J$2:J744),$J$2:$J$1001,0),MATCH(COLUMNS($Q$1006:U1006),$Q$1006:$U$1006,0)), HYPERLINK("#",""), HYPERLINK(CONCATENATE("#Metadata!", ADDRESS(INDEX($L$2:$L$1001,MATCH(ROWS($J$2:J744),$J$2:$J$1001,0),0), INDEX($Q$1004:$U$1004,1,MATCH(COLUMNS($Q$1006:U1006),$Q$1006:$U$1006,0)))),"Fix")))</f>
        <v xml:space="preserve"> </v>
      </c>
      <c r="J744">
        <f ca="1"/>
        <v>743</v>
      </c>
      <c r="K744">
        <v>100744</v>
      </c>
      <c r="L744">
        <v>744</v>
      </c>
      <c r="M744" t="b">
        <f t="shared" si="11"/>
        <v>1</v>
      </c>
      <c r="N744" t="b">
        <f>COUNTBLANK(Metadata!B744:F744)=COLUMNS(Metadata!B744:F744)</f>
        <v>1</v>
      </c>
      <c r="O744" t="str">
        <v/>
      </c>
      <c r="Q744" t="b">
        <f ca="1"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R744" t="b">
        <f>IF(Metadata!C744="",FALSE,TRUE)</f>
        <v>0</v>
      </c>
      <c r="S744" t="b">
        <f>OR(AND(IF(Metadata!D744="",FALSE,TRUE),EXACT(Metadata!D744,"missing: not collected")),AND(IF(Metadata!D744="",FALSE,TRUE),OR(EXACT(Metadata!D744,"t"),EXACT(Metadata!D744,"f"))))</f>
        <v>0</v>
      </c>
      <c r="T744" t="b">
        <f>AND(IF(Metadata!E744="",FALSE,TRUE),OR(EXACT(Metadata!E744,"a"),EXACT(Metadata!E744,"b")))</f>
        <v>0</v>
      </c>
      <c r="U744" t="b">
        <f>OR(AND(IF(Metadata!F744="",FALSE,TRUE),OR(EXACT(Metadata!F744,"missing: not collected"),EXACT(Metadata!F744,"missing: not provided"))),AND(IF(Metadata!F744="",FALSE,TRUE),OR(EXACT(Metadata!F744,"lo"),EXACT(Metadata!F744,"med"),EXACT(Metadata!F744,"hi"))))</f>
        <v>0</v>
      </c>
    </row>
    <row r="745" spans="1:21" x14ac:dyDescent="0.2">
      <c r="A745" s="4" t="str">
        <f ca="1">IF(B745=" "," ",HYPERLINK(CONCATENATE("#metadata!",ADDRESS(INDEX($L$2:$L$1001,MATCH(ROWS($J$2:J745),$J$2:$J$1001,0),0),1)),INDEX($O$2:$O$1001,MATCH(ROWS($J$2:J745),$J$2:$J$1001,0),0)))</f>
        <v xml:space="preserve"> </v>
      </c>
      <c r="B745" s="3" t="str">
        <f ca="1">IF(OR(INDEX($K$2:$K$1001,MATCH(ROWS($J$2:J745),$J$2:$J$1001,0),1)&gt;=100000,INDEX($Q$1005:$U$1005,1,MATCH(COLUMNS($Q$1006:Q1006),$Q$1006:$U$1006,0))&gt;=100000), " ",IF(INDEX($Q$2:$U$1001,MATCH(ROWS($J$2:J745),$J$2:$J$1001,0),MATCH(COLUMNS($Q$1006:Q1006),$Q$1006:$U$1006,0)), HYPERLINK("#",""), HYPERLINK(CONCATENATE("#Metadata!", ADDRESS(INDEX($L$2:$L$1001,MATCH(ROWS($J$2:J745),$J$2:$J$1001,0),0), INDEX($Q$1004:$U$1004,1,MATCH(COLUMNS($Q$1006:Q1006),$Q$1006:$U$1006,0)))),"Fix")))</f>
        <v xml:space="preserve"> </v>
      </c>
      <c r="C745" s="3" t="str">
        <f ca="1">IF(OR(INDEX($K$2:$K$1001,MATCH(ROWS($J$2:J745),$J$2:$J$1001,0),1)&gt;=100000,INDEX($Q$1005:$U$1005,1,MATCH(COLUMNS($Q$1006:R1006),$Q$1006:$U$1006,0))&gt;=100000), " ",IF(INDEX($Q$2:$U$1001,MATCH(ROWS($J$2:J745),$J$2:$J$1001,0),MATCH(COLUMNS($Q$1006:R1006),$Q$1006:$U$1006,0)), HYPERLINK("#",""), HYPERLINK(CONCATENATE("#Metadata!", ADDRESS(INDEX($L$2:$L$1001,MATCH(ROWS($J$2:J745),$J$2:$J$1001,0),0), INDEX($Q$1004:$U$1004,1,MATCH(COLUMNS($Q$1006:R1006),$Q$1006:$U$1006,0)))),"Fix")))</f>
        <v xml:space="preserve"> </v>
      </c>
      <c r="D745" s="3" t="str">
        <f ca="1">IF(OR(INDEX($K$2:$K$1001,MATCH(ROWS($J$2:J745),$J$2:$J$1001,0),1)&gt;=100000,INDEX($Q$1005:$U$1005,1,MATCH(COLUMNS($Q$1006:S1006),$Q$1006:$U$1006,0))&gt;=100000), " ",IF(INDEX($Q$2:$U$1001,MATCH(ROWS($J$2:J745),$J$2:$J$1001,0),MATCH(COLUMNS($Q$1006:S1006),$Q$1006:$U$1006,0)), HYPERLINK("#",""), HYPERLINK(CONCATENATE("#Metadata!", ADDRESS(INDEX($L$2:$L$1001,MATCH(ROWS($J$2:J745),$J$2:$J$1001,0),0), INDEX($Q$1004:$U$1004,1,MATCH(COLUMNS($Q$1006:S1006),$Q$1006:$U$1006,0)))),"Fix")))</f>
        <v xml:space="preserve"> </v>
      </c>
      <c r="E745" s="3" t="str">
        <f ca="1">IF(OR(INDEX($K$2:$K$1001,MATCH(ROWS($J$2:J745),$J$2:$J$1001,0),1)&gt;=100000,INDEX($Q$1005:$U$1005,1,MATCH(COLUMNS($Q$1006:T1006),$Q$1006:$U$1006,0))&gt;=100000), " ",IF(INDEX($Q$2:$U$1001,MATCH(ROWS($J$2:J745),$J$2:$J$1001,0),MATCH(COLUMNS($Q$1006:T1006),$Q$1006:$U$1006,0)), HYPERLINK("#",""), HYPERLINK(CONCATENATE("#Metadata!", ADDRESS(INDEX($L$2:$L$1001,MATCH(ROWS($J$2:J745),$J$2:$J$1001,0),0), INDEX($Q$1004:$U$1004,1,MATCH(COLUMNS($Q$1006:T1006),$Q$1006:$U$1006,0)))),"Fix")))</f>
        <v xml:space="preserve"> </v>
      </c>
      <c r="F745" s="3" t="str">
        <f ca="1">IF(OR(INDEX($K$2:$K$1001,MATCH(ROWS($J$2:J745),$J$2:$J$1001,0),1)&gt;=100000,INDEX($Q$1005:$U$1005,1,MATCH(COLUMNS($Q$1006:U1006),$Q$1006:$U$1006,0))&gt;=100000), " ",IF(INDEX($Q$2:$U$1001,MATCH(ROWS($J$2:J745),$J$2:$J$1001,0),MATCH(COLUMNS($Q$1006:U1006),$Q$1006:$U$1006,0)), HYPERLINK("#",""), HYPERLINK(CONCATENATE("#Metadata!", ADDRESS(INDEX($L$2:$L$1001,MATCH(ROWS($J$2:J745),$J$2:$J$1001,0),0), INDEX($Q$1004:$U$1004,1,MATCH(COLUMNS($Q$1006:U1006),$Q$1006:$U$1006,0)))),"Fix")))</f>
        <v xml:space="preserve"> </v>
      </c>
      <c r="J745">
        <f ca="1"/>
        <v>744</v>
      </c>
      <c r="K745">
        <v>100745</v>
      </c>
      <c r="L745">
        <v>745</v>
      </c>
      <c r="M745" t="b">
        <f t="shared" si="11"/>
        <v>1</v>
      </c>
      <c r="N745" t="b">
        <f>COUNTBLANK(Metadata!B745:F745)=COLUMNS(Metadata!B745:F745)</f>
        <v>1</v>
      </c>
      <c r="O745" t="str">
        <v/>
      </c>
      <c r="Q745" t="b">
        <f ca="1"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R745" t="b">
        <f>IF(Metadata!C745="",FALSE,TRUE)</f>
        <v>0</v>
      </c>
      <c r="S745" t="b">
        <f>OR(AND(IF(Metadata!D745="",FALSE,TRUE),EXACT(Metadata!D745,"missing: not collected")),AND(IF(Metadata!D745="",FALSE,TRUE),OR(EXACT(Metadata!D745,"t"),EXACT(Metadata!D745,"f"))))</f>
        <v>0</v>
      </c>
      <c r="T745" t="b">
        <f>AND(IF(Metadata!E745="",FALSE,TRUE),OR(EXACT(Metadata!E745,"a"),EXACT(Metadata!E745,"b")))</f>
        <v>0</v>
      </c>
      <c r="U745" t="b">
        <f>OR(AND(IF(Metadata!F745="",FALSE,TRUE),OR(EXACT(Metadata!F745,"missing: not collected"),EXACT(Metadata!F745,"missing: not provided"))),AND(IF(Metadata!F745="",FALSE,TRUE),OR(EXACT(Metadata!F745,"lo"),EXACT(Metadata!F745,"med"),EXACT(Metadata!F745,"hi"))))</f>
        <v>0</v>
      </c>
    </row>
    <row r="746" spans="1:21" x14ac:dyDescent="0.2">
      <c r="A746" s="4" t="str">
        <f ca="1">IF(B746=" "," ",HYPERLINK(CONCATENATE("#metadata!",ADDRESS(INDEX($L$2:$L$1001,MATCH(ROWS($J$2:J746),$J$2:$J$1001,0),0),1)),INDEX($O$2:$O$1001,MATCH(ROWS($J$2:J746),$J$2:$J$1001,0),0)))</f>
        <v xml:space="preserve"> </v>
      </c>
      <c r="B746" s="3" t="str">
        <f ca="1">IF(OR(INDEX($K$2:$K$1001,MATCH(ROWS($J$2:J746),$J$2:$J$1001,0),1)&gt;=100000,INDEX($Q$1005:$U$1005,1,MATCH(COLUMNS($Q$1006:Q1006),$Q$1006:$U$1006,0))&gt;=100000), " ",IF(INDEX($Q$2:$U$1001,MATCH(ROWS($J$2:J746),$J$2:$J$1001,0),MATCH(COLUMNS($Q$1006:Q1006),$Q$1006:$U$1006,0)), HYPERLINK("#",""), HYPERLINK(CONCATENATE("#Metadata!", ADDRESS(INDEX($L$2:$L$1001,MATCH(ROWS($J$2:J746),$J$2:$J$1001,0),0), INDEX($Q$1004:$U$1004,1,MATCH(COLUMNS($Q$1006:Q1006),$Q$1006:$U$1006,0)))),"Fix")))</f>
        <v xml:space="preserve"> </v>
      </c>
      <c r="C746" s="3" t="str">
        <f ca="1">IF(OR(INDEX($K$2:$K$1001,MATCH(ROWS($J$2:J746),$J$2:$J$1001,0),1)&gt;=100000,INDEX($Q$1005:$U$1005,1,MATCH(COLUMNS($Q$1006:R1006),$Q$1006:$U$1006,0))&gt;=100000), " ",IF(INDEX($Q$2:$U$1001,MATCH(ROWS($J$2:J746),$J$2:$J$1001,0),MATCH(COLUMNS($Q$1006:R1006),$Q$1006:$U$1006,0)), HYPERLINK("#",""), HYPERLINK(CONCATENATE("#Metadata!", ADDRESS(INDEX($L$2:$L$1001,MATCH(ROWS($J$2:J746),$J$2:$J$1001,0),0), INDEX($Q$1004:$U$1004,1,MATCH(COLUMNS($Q$1006:R1006),$Q$1006:$U$1006,0)))),"Fix")))</f>
        <v xml:space="preserve"> </v>
      </c>
      <c r="D746" s="3" t="str">
        <f ca="1">IF(OR(INDEX($K$2:$K$1001,MATCH(ROWS($J$2:J746),$J$2:$J$1001,0),1)&gt;=100000,INDEX($Q$1005:$U$1005,1,MATCH(COLUMNS($Q$1006:S1006),$Q$1006:$U$1006,0))&gt;=100000), " ",IF(INDEX($Q$2:$U$1001,MATCH(ROWS($J$2:J746),$J$2:$J$1001,0),MATCH(COLUMNS($Q$1006:S1006),$Q$1006:$U$1006,0)), HYPERLINK("#",""), HYPERLINK(CONCATENATE("#Metadata!", ADDRESS(INDEX($L$2:$L$1001,MATCH(ROWS($J$2:J746),$J$2:$J$1001,0),0), INDEX($Q$1004:$U$1004,1,MATCH(COLUMNS($Q$1006:S1006),$Q$1006:$U$1006,0)))),"Fix")))</f>
        <v xml:space="preserve"> </v>
      </c>
      <c r="E746" s="3" t="str">
        <f ca="1">IF(OR(INDEX($K$2:$K$1001,MATCH(ROWS($J$2:J746),$J$2:$J$1001,0),1)&gt;=100000,INDEX($Q$1005:$U$1005,1,MATCH(COLUMNS($Q$1006:T1006),$Q$1006:$U$1006,0))&gt;=100000), " ",IF(INDEX($Q$2:$U$1001,MATCH(ROWS($J$2:J746),$J$2:$J$1001,0),MATCH(COLUMNS($Q$1006:T1006),$Q$1006:$U$1006,0)), HYPERLINK("#",""), HYPERLINK(CONCATENATE("#Metadata!", ADDRESS(INDEX($L$2:$L$1001,MATCH(ROWS($J$2:J746),$J$2:$J$1001,0),0), INDEX($Q$1004:$U$1004,1,MATCH(COLUMNS($Q$1006:T1006),$Q$1006:$U$1006,0)))),"Fix")))</f>
        <v xml:space="preserve"> </v>
      </c>
      <c r="F746" s="3" t="str">
        <f ca="1">IF(OR(INDEX($K$2:$K$1001,MATCH(ROWS($J$2:J746),$J$2:$J$1001,0),1)&gt;=100000,INDEX($Q$1005:$U$1005,1,MATCH(COLUMNS($Q$1006:U1006),$Q$1006:$U$1006,0))&gt;=100000), " ",IF(INDEX($Q$2:$U$1001,MATCH(ROWS($J$2:J746),$J$2:$J$1001,0),MATCH(COLUMNS($Q$1006:U1006),$Q$1006:$U$1006,0)), HYPERLINK("#",""), HYPERLINK(CONCATENATE("#Metadata!", ADDRESS(INDEX($L$2:$L$1001,MATCH(ROWS($J$2:J746),$J$2:$J$1001,0),0), INDEX($Q$1004:$U$1004,1,MATCH(COLUMNS($Q$1006:U1006),$Q$1006:$U$1006,0)))),"Fix")))</f>
        <v xml:space="preserve"> </v>
      </c>
      <c r="J746">
        <f ca="1"/>
        <v>745</v>
      </c>
      <c r="K746">
        <v>100746</v>
      </c>
      <c r="L746">
        <v>746</v>
      </c>
      <c r="M746" t="b">
        <f t="shared" si="11"/>
        <v>1</v>
      </c>
      <c r="N746" t="b">
        <f>COUNTBLANK(Metadata!B746:F746)=COLUMNS(Metadata!B746:F746)</f>
        <v>1</v>
      </c>
      <c r="O746" t="str">
        <v/>
      </c>
      <c r="Q746" t="b">
        <f ca="1"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R746" t="b">
        <f>IF(Metadata!C746="",FALSE,TRUE)</f>
        <v>0</v>
      </c>
      <c r="S746" t="b">
        <f>OR(AND(IF(Metadata!D746="",FALSE,TRUE),EXACT(Metadata!D746,"missing: not collected")),AND(IF(Metadata!D746="",FALSE,TRUE),OR(EXACT(Metadata!D746,"t"),EXACT(Metadata!D746,"f"))))</f>
        <v>0</v>
      </c>
      <c r="T746" t="b">
        <f>AND(IF(Metadata!E746="",FALSE,TRUE),OR(EXACT(Metadata!E746,"a"),EXACT(Metadata!E746,"b")))</f>
        <v>0</v>
      </c>
      <c r="U746" t="b">
        <f>OR(AND(IF(Metadata!F746="",FALSE,TRUE),OR(EXACT(Metadata!F746,"missing: not collected"),EXACT(Metadata!F746,"missing: not provided"))),AND(IF(Metadata!F746="",FALSE,TRUE),OR(EXACT(Metadata!F746,"lo"),EXACT(Metadata!F746,"med"),EXACT(Metadata!F746,"hi"))))</f>
        <v>0</v>
      </c>
    </row>
    <row r="747" spans="1:21" x14ac:dyDescent="0.2">
      <c r="A747" s="4" t="str">
        <f ca="1">IF(B747=" "," ",HYPERLINK(CONCATENATE("#metadata!",ADDRESS(INDEX($L$2:$L$1001,MATCH(ROWS($J$2:J747),$J$2:$J$1001,0),0),1)),INDEX($O$2:$O$1001,MATCH(ROWS($J$2:J747),$J$2:$J$1001,0),0)))</f>
        <v xml:space="preserve"> </v>
      </c>
      <c r="B747" s="3" t="str">
        <f ca="1">IF(OR(INDEX($K$2:$K$1001,MATCH(ROWS($J$2:J747),$J$2:$J$1001,0),1)&gt;=100000,INDEX($Q$1005:$U$1005,1,MATCH(COLUMNS($Q$1006:Q1006),$Q$1006:$U$1006,0))&gt;=100000), " ",IF(INDEX($Q$2:$U$1001,MATCH(ROWS($J$2:J747),$J$2:$J$1001,0),MATCH(COLUMNS($Q$1006:Q1006),$Q$1006:$U$1006,0)), HYPERLINK("#",""), HYPERLINK(CONCATENATE("#Metadata!", ADDRESS(INDEX($L$2:$L$1001,MATCH(ROWS($J$2:J747),$J$2:$J$1001,0),0), INDEX($Q$1004:$U$1004,1,MATCH(COLUMNS($Q$1006:Q1006),$Q$1006:$U$1006,0)))),"Fix")))</f>
        <v xml:space="preserve"> </v>
      </c>
      <c r="C747" s="3" t="str">
        <f ca="1">IF(OR(INDEX($K$2:$K$1001,MATCH(ROWS($J$2:J747),$J$2:$J$1001,0),1)&gt;=100000,INDEX($Q$1005:$U$1005,1,MATCH(COLUMNS($Q$1006:R1006),$Q$1006:$U$1006,0))&gt;=100000), " ",IF(INDEX($Q$2:$U$1001,MATCH(ROWS($J$2:J747),$J$2:$J$1001,0),MATCH(COLUMNS($Q$1006:R1006),$Q$1006:$U$1006,0)), HYPERLINK("#",""), HYPERLINK(CONCATENATE("#Metadata!", ADDRESS(INDEX($L$2:$L$1001,MATCH(ROWS($J$2:J747),$J$2:$J$1001,0),0), INDEX($Q$1004:$U$1004,1,MATCH(COLUMNS($Q$1006:R1006),$Q$1006:$U$1006,0)))),"Fix")))</f>
        <v xml:space="preserve"> </v>
      </c>
      <c r="D747" s="3" t="str">
        <f ca="1">IF(OR(INDEX($K$2:$K$1001,MATCH(ROWS($J$2:J747),$J$2:$J$1001,0),1)&gt;=100000,INDEX($Q$1005:$U$1005,1,MATCH(COLUMNS($Q$1006:S1006),$Q$1006:$U$1006,0))&gt;=100000), " ",IF(INDEX($Q$2:$U$1001,MATCH(ROWS($J$2:J747),$J$2:$J$1001,0),MATCH(COLUMNS($Q$1006:S1006),$Q$1006:$U$1006,0)), HYPERLINK("#",""), HYPERLINK(CONCATENATE("#Metadata!", ADDRESS(INDEX($L$2:$L$1001,MATCH(ROWS($J$2:J747),$J$2:$J$1001,0),0), INDEX($Q$1004:$U$1004,1,MATCH(COLUMNS($Q$1006:S1006),$Q$1006:$U$1006,0)))),"Fix")))</f>
        <v xml:space="preserve"> </v>
      </c>
      <c r="E747" s="3" t="str">
        <f ca="1">IF(OR(INDEX($K$2:$K$1001,MATCH(ROWS($J$2:J747),$J$2:$J$1001,0),1)&gt;=100000,INDEX($Q$1005:$U$1005,1,MATCH(COLUMNS($Q$1006:T1006),$Q$1006:$U$1006,0))&gt;=100000), " ",IF(INDEX($Q$2:$U$1001,MATCH(ROWS($J$2:J747),$J$2:$J$1001,0),MATCH(COLUMNS($Q$1006:T1006),$Q$1006:$U$1006,0)), HYPERLINK("#",""), HYPERLINK(CONCATENATE("#Metadata!", ADDRESS(INDEX($L$2:$L$1001,MATCH(ROWS($J$2:J747),$J$2:$J$1001,0),0), INDEX($Q$1004:$U$1004,1,MATCH(COLUMNS($Q$1006:T1006),$Q$1006:$U$1006,0)))),"Fix")))</f>
        <v xml:space="preserve"> </v>
      </c>
      <c r="F747" s="3" t="str">
        <f ca="1">IF(OR(INDEX($K$2:$K$1001,MATCH(ROWS($J$2:J747),$J$2:$J$1001,0),1)&gt;=100000,INDEX($Q$1005:$U$1005,1,MATCH(COLUMNS($Q$1006:U1006),$Q$1006:$U$1006,0))&gt;=100000), " ",IF(INDEX($Q$2:$U$1001,MATCH(ROWS($J$2:J747),$J$2:$J$1001,0),MATCH(COLUMNS($Q$1006:U1006),$Q$1006:$U$1006,0)), HYPERLINK("#",""), HYPERLINK(CONCATENATE("#Metadata!", ADDRESS(INDEX($L$2:$L$1001,MATCH(ROWS($J$2:J747),$J$2:$J$1001,0),0), INDEX($Q$1004:$U$1004,1,MATCH(COLUMNS($Q$1006:U1006),$Q$1006:$U$1006,0)))),"Fix")))</f>
        <v xml:space="preserve"> </v>
      </c>
      <c r="J747">
        <f ca="1"/>
        <v>746</v>
      </c>
      <c r="K747">
        <v>100747</v>
      </c>
      <c r="L747">
        <v>747</v>
      </c>
      <c r="M747" t="b">
        <f t="shared" si="11"/>
        <v>1</v>
      </c>
      <c r="N747" t="b">
        <f>COUNTBLANK(Metadata!B747:F747)=COLUMNS(Metadata!B747:F747)</f>
        <v>1</v>
      </c>
      <c r="O747" t="str">
        <v/>
      </c>
      <c r="Q747" t="b">
        <f ca="1"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R747" t="b">
        <f>IF(Metadata!C747="",FALSE,TRUE)</f>
        <v>0</v>
      </c>
      <c r="S747" t="b">
        <f>OR(AND(IF(Metadata!D747="",FALSE,TRUE),EXACT(Metadata!D747,"missing: not collected")),AND(IF(Metadata!D747="",FALSE,TRUE),OR(EXACT(Metadata!D747,"t"),EXACT(Metadata!D747,"f"))))</f>
        <v>0</v>
      </c>
      <c r="T747" t="b">
        <f>AND(IF(Metadata!E747="",FALSE,TRUE),OR(EXACT(Metadata!E747,"a"),EXACT(Metadata!E747,"b")))</f>
        <v>0</v>
      </c>
      <c r="U747" t="b">
        <f>OR(AND(IF(Metadata!F747="",FALSE,TRUE),OR(EXACT(Metadata!F747,"missing: not collected"),EXACT(Metadata!F747,"missing: not provided"))),AND(IF(Metadata!F747="",FALSE,TRUE),OR(EXACT(Metadata!F747,"lo"),EXACT(Metadata!F747,"med"),EXACT(Metadata!F747,"hi"))))</f>
        <v>0</v>
      </c>
    </row>
    <row r="748" spans="1:21" x14ac:dyDescent="0.2">
      <c r="A748" s="4" t="str">
        <f ca="1">IF(B748=" "," ",HYPERLINK(CONCATENATE("#metadata!",ADDRESS(INDEX($L$2:$L$1001,MATCH(ROWS($J$2:J748),$J$2:$J$1001,0),0),1)),INDEX($O$2:$O$1001,MATCH(ROWS($J$2:J748),$J$2:$J$1001,0),0)))</f>
        <v xml:space="preserve"> </v>
      </c>
      <c r="B748" s="3" t="str">
        <f ca="1">IF(OR(INDEX($K$2:$K$1001,MATCH(ROWS($J$2:J748),$J$2:$J$1001,0),1)&gt;=100000,INDEX($Q$1005:$U$1005,1,MATCH(COLUMNS($Q$1006:Q1006),$Q$1006:$U$1006,0))&gt;=100000), " ",IF(INDEX($Q$2:$U$1001,MATCH(ROWS($J$2:J748),$J$2:$J$1001,0),MATCH(COLUMNS($Q$1006:Q1006),$Q$1006:$U$1006,0)), HYPERLINK("#",""), HYPERLINK(CONCATENATE("#Metadata!", ADDRESS(INDEX($L$2:$L$1001,MATCH(ROWS($J$2:J748),$J$2:$J$1001,0),0), INDEX($Q$1004:$U$1004,1,MATCH(COLUMNS($Q$1006:Q1006),$Q$1006:$U$1006,0)))),"Fix")))</f>
        <v xml:space="preserve"> </v>
      </c>
      <c r="C748" s="3" t="str">
        <f ca="1">IF(OR(INDEX($K$2:$K$1001,MATCH(ROWS($J$2:J748),$J$2:$J$1001,0),1)&gt;=100000,INDEX($Q$1005:$U$1005,1,MATCH(COLUMNS($Q$1006:R1006),$Q$1006:$U$1006,0))&gt;=100000), " ",IF(INDEX($Q$2:$U$1001,MATCH(ROWS($J$2:J748),$J$2:$J$1001,0),MATCH(COLUMNS($Q$1006:R1006),$Q$1006:$U$1006,0)), HYPERLINK("#",""), HYPERLINK(CONCATENATE("#Metadata!", ADDRESS(INDEX($L$2:$L$1001,MATCH(ROWS($J$2:J748),$J$2:$J$1001,0),0), INDEX($Q$1004:$U$1004,1,MATCH(COLUMNS($Q$1006:R1006),$Q$1006:$U$1006,0)))),"Fix")))</f>
        <v xml:space="preserve"> </v>
      </c>
      <c r="D748" s="3" t="str">
        <f ca="1">IF(OR(INDEX($K$2:$K$1001,MATCH(ROWS($J$2:J748),$J$2:$J$1001,0),1)&gt;=100000,INDEX($Q$1005:$U$1005,1,MATCH(COLUMNS($Q$1006:S1006),$Q$1006:$U$1006,0))&gt;=100000), " ",IF(INDEX($Q$2:$U$1001,MATCH(ROWS($J$2:J748),$J$2:$J$1001,0),MATCH(COLUMNS($Q$1006:S1006),$Q$1006:$U$1006,0)), HYPERLINK("#",""), HYPERLINK(CONCATENATE("#Metadata!", ADDRESS(INDEX($L$2:$L$1001,MATCH(ROWS($J$2:J748),$J$2:$J$1001,0),0), INDEX($Q$1004:$U$1004,1,MATCH(COLUMNS($Q$1006:S1006),$Q$1006:$U$1006,0)))),"Fix")))</f>
        <v xml:space="preserve"> </v>
      </c>
      <c r="E748" s="3" t="str">
        <f ca="1">IF(OR(INDEX($K$2:$K$1001,MATCH(ROWS($J$2:J748),$J$2:$J$1001,0),1)&gt;=100000,INDEX($Q$1005:$U$1005,1,MATCH(COLUMNS($Q$1006:T1006),$Q$1006:$U$1006,0))&gt;=100000), " ",IF(INDEX($Q$2:$U$1001,MATCH(ROWS($J$2:J748),$J$2:$J$1001,0),MATCH(COLUMNS($Q$1006:T1006),$Q$1006:$U$1006,0)), HYPERLINK("#",""), HYPERLINK(CONCATENATE("#Metadata!", ADDRESS(INDEX($L$2:$L$1001,MATCH(ROWS($J$2:J748),$J$2:$J$1001,0),0), INDEX($Q$1004:$U$1004,1,MATCH(COLUMNS($Q$1006:T1006),$Q$1006:$U$1006,0)))),"Fix")))</f>
        <v xml:space="preserve"> </v>
      </c>
      <c r="F748" s="3" t="str">
        <f ca="1">IF(OR(INDEX($K$2:$K$1001,MATCH(ROWS($J$2:J748),$J$2:$J$1001,0),1)&gt;=100000,INDEX($Q$1005:$U$1005,1,MATCH(COLUMNS($Q$1006:U1006),$Q$1006:$U$1006,0))&gt;=100000), " ",IF(INDEX($Q$2:$U$1001,MATCH(ROWS($J$2:J748),$J$2:$J$1001,0),MATCH(COLUMNS($Q$1006:U1006),$Q$1006:$U$1006,0)), HYPERLINK("#",""), HYPERLINK(CONCATENATE("#Metadata!", ADDRESS(INDEX($L$2:$L$1001,MATCH(ROWS($J$2:J748),$J$2:$J$1001,0),0), INDEX($Q$1004:$U$1004,1,MATCH(COLUMNS($Q$1006:U1006),$Q$1006:$U$1006,0)))),"Fix")))</f>
        <v xml:space="preserve"> </v>
      </c>
      <c r="J748">
        <f ca="1"/>
        <v>747</v>
      </c>
      <c r="K748">
        <v>100748</v>
      </c>
      <c r="L748">
        <v>748</v>
      </c>
      <c r="M748" t="b">
        <f t="shared" si="11"/>
        <v>1</v>
      </c>
      <c r="N748" t="b">
        <f>COUNTBLANK(Metadata!B748:F748)=COLUMNS(Metadata!B748:F748)</f>
        <v>1</v>
      </c>
      <c r="O748" t="str">
        <v/>
      </c>
      <c r="Q748" t="b">
        <f ca="1"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R748" t="b">
        <f>IF(Metadata!C748="",FALSE,TRUE)</f>
        <v>0</v>
      </c>
      <c r="S748" t="b">
        <f>OR(AND(IF(Metadata!D748="",FALSE,TRUE),EXACT(Metadata!D748,"missing: not collected")),AND(IF(Metadata!D748="",FALSE,TRUE),OR(EXACT(Metadata!D748,"t"),EXACT(Metadata!D748,"f"))))</f>
        <v>0</v>
      </c>
      <c r="T748" t="b">
        <f>AND(IF(Metadata!E748="",FALSE,TRUE),OR(EXACT(Metadata!E748,"a"),EXACT(Metadata!E748,"b")))</f>
        <v>0</v>
      </c>
      <c r="U748" t="b">
        <f>OR(AND(IF(Metadata!F748="",FALSE,TRUE),OR(EXACT(Metadata!F748,"missing: not collected"),EXACT(Metadata!F748,"missing: not provided"))),AND(IF(Metadata!F748="",FALSE,TRUE),OR(EXACT(Metadata!F748,"lo"),EXACT(Metadata!F748,"med"),EXACT(Metadata!F748,"hi"))))</f>
        <v>0</v>
      </c>
    </row>
    <row r="749" spans="1:21" x14ac:dyDescent="0.2">
      <c r="A749" s="4" t="str">
        <f ca="1">IF(B749=" "," ",HYPERLINK(CONCATENATE("#metadata!",ADDRESS(INDEX($L$2:$L$1001,MATCH(ROWS($J$2:J749),$J$2:$J$1001,0),0),1)),INDEX($O$2:$O$1001,MATCH(ROWS($J$2:J749),$J$2:$J$1001,0),0)))</f>
        <v xml:space="preserve"> </v>
      </c>
      <c r="B749" s="3" t="str">
        <f ca="1">IF(OR(INDEX($K$2:$K$1001,MATCH(ROWS($J$2:J749),$J$2:$J$1001,0),1)&gt;=100000,INDEX($Q$1005:$U$1005,1,MATCH(COLUMNS($Q$1006:Q1006),$Q$1006:$U$1006,0))&gt;=100000), " ",IF(INDEX($Q$2:$U$1001,MATCH(ROWS($J$2:J749),$J$2:$J$1001,0),MATCH(COLUMNS($Q$1006:Q1006),$Q$1006:$U$1006,0)), HYPERLINK("#",""), HYPERLINK(CONCATENATE("#Metadata!", ADDRESS(INDEX($L$2:$L$1001,MATCH(ROWS($J$2:J749),$J$2:$J$1001,0),0), INDEX($Q$1004:$U$1004,1,MATCH(COLUMNS($Q$1006:Q1006),$Q$1006:$U$1006,0)))),"Fix")))</f>
        <v xml:space="preserve"> </v>
      </c>
      <c r="C749" s="3" t="str">
        <f ca="1">IF(OR(INDEX($K$2:$K$1001,MATCH(ROWS($J$2:J749),$J$2:$J$1001,0),1)&gt;=100000,INDEX($Q$1005:$U$1005,1,MATCH(COLUMNS($Q$1006:R1006),$Q$1006:$U$1006,0))&gt;=100000), " ",IF(INDEX($Q$2:$U$1001,MATCH(ROWS($J$2:J749),$J$2:$J$1001,0),MATCH(COLUMNS($Q$1006:R1006),$Q$1006:$U$1006,0)), HYPERLINK("#",""), HYPERLINK(CONCATENATE("#Metadata!", ADDRESS(INDEX($L$2:$L$1001,MATCH(ROWS($J$2:J749),$J$2:$J$1001,0),0), INDEX($Q$1004:$U$1004,1,MATCH(COLUMNS($Q$1006:R1006),$Q$1006:$U$1006,0)))),"Fix")))</f>
        <v xml:space="preserve"> </v>
      </c>
      <c r="D749" s="3" t="str">
        <f ca="1">IF(OR(INDEX($K$2:$K$1001,MATCH(ROWS($J$2:J749),$J$2:$J$1001,0),1)&gt;=100000,INDEX($Q$1005:$U$1005,1,MATCH(COLUMNS($Q$1006:S1006),$Q$1006:$U$1006,0))&gt;=100000), " ",IF(INDEX($Q$2:$U$1001,MATCH(ROWS($J$2:J749),$J$2:$J$1001,0),MATCH(COLUMNS($Q$1006:S1006),$Q$1006:$U$1006,0)), HYPERLINK("#",""), HYPERLINK(CONCATENATE("#Metadata!", ADDRESS(INDEX($L$2:$L$1001,MATCH(ROWS($J$2:J749),$J$2:$J$1001,0),0), INDEX($Q$1004:$U$1004,1,MATCH(COLUMNS($Q$1006:S1006),$Q$1006:$U$1006,0)))),"Fix")))</f>
        <v xml:space="preserve"> </v>
      </c>
      <c r="E749" s="3" t="str">
        <f ca="1">IF(OR(INDEX($K$2:$K$1001,MATCH(ROWS($J$2:J749),$J$2:$J$1001,0),1)&gt;=100000,INDEX($Q$1005:$U$1005,1,MATCH(COLUMNS($Q$1006:T1006),$Q$1006:$U$1006,0))&gt;=100000), " ",IF(INDEX($Q$2:$U$1001,MATCH(ROWS($J$2:J749),$J$2:$J$1001,0),MATCH(COLUMNS($Q$1006:T1006),$Q$1006:$U$1006,0)), HYPERLINK("#",""), HYPERLINK(CONCATENATE("#Metadata!", ADDRESS(INDEX($L$2:$L$1001,MATCH(ROWS($J$2:J749),$J$2:$J$1001,0),0), INDEX($Q$1004:$U$1004,1,MATCH(COLUMNS($Q$1006:T1006),$Q$1006:$U$1006,0)))),"Fix")))</f>
        <v xml:space="preserve"> </v>
      </c>
      <c r="F749" s="3" t="str">
        <f ca="1">IF(OR(INDEX($K$2:$K$1001,MATCH(ROWS($J$2:J749),$J$2:$J$1001,0),1)&gt;=100000,INDEX($Q$1005:$U$1005,1,MATCH(COLUMNS($Q$1006:U1006),$Q$1006:$U$1006,0))&gt;=100000), " ",IF(INDEX($Q$2:$U$1001,MATCH(ROWS($J$2:J749),$J$2:$J$1001,0),MATCH(COLUMNS($Q$1006:U1006),$Q$1006:$U$1006,0)), HYPERLINK("#",""), HYPERLINK(CONCATENATE("#Metadata!", ADDRESS(INDEX($L$2:$L$1001,MATCH(ROWS($J$2:J749),$J$2:$J$1001,0),0), INDEX($Q$1004:$U$1004,1,MATCH(COLUMNS($Q$1006:U1006),$Q$1006:$U$1006,0)))),"Fix")))</f>
        <v xml:space="preserve"> </v>
      </c>
      <c r="J749">
        <f ca="1"/>
        <v>748</v>
      </c>
      <c r="K749">
        <v>100749</v>
      </c>
      <c r="L749">
        <v>749</v>
      </c>
      <c r="M749" t="b">
        <f t="shared" si="11"/>
        <v>1</v>
      </c>
      <c r="N749" t="b">
        <f>COUNTBLANK(Metadata!B749:F749)=COLUMNS(Metadata!B749:F749)</f>
        <v>1</v>
      </c>
      <c r="O749" t="str">
        <v/>
      </c>
      <c r="Q749" t="b">
        <f ca="1"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R749" t="b">
        <f>IF(Metadata!C749="",FALSE,TRUE)</f>
        <v>0</v>
      </c>
      <c r="S749" t="b">
        <f>OR(AND(IF(Metadata!D749="",FALSE,TRUE),EXACT(Metadata!D749,"missing: not collected")),AND(IF(Metadata!D749="",FALSE,TRUE),OR(EXACT(Metadata!D749,"t"),EXACT(Metadata!D749,"f"))))</f>
        <v>0</v>
      </c>
      <c r="T749" t="b">
        <f>AND(IF(Metadata!E749="",FALSE,TRUE),OR(EXACT(Metadata!E749,"a"),EXACT(Metadata!E749,"b")))</f>
        <v>0</v>
      </c>
      <c r="U749" t="b">
        <f>OR(AND(IF(Metadata!F749="",FALSE,TRUE),OR(EXACT(Metadata!F749,"missing: not collected"),EXACT(Metadata!F749,"missing: not provided"))),AND(IF(Metadata!F749="",FALSE,TRUE),OR(EXACT(Metadata!F749,"lo"),EXACT(Metadata!F749,"med"),EXACT(Metadata!F749,"hi"))))</f>
        <v>0</v>
      </c>
    </row>
    <row r="750" spans="1:21" x14ac:dyDescent="0.2">
      <c r="A750" s="4" t="str">
        <f ca="1">IF(B750=" "," ",HYPERLINK(CONCATENATE("#metadata!",ADDRESS(INDEX($L$2:$L$1001,MATCH(ROWS($J$2:J750),$J$2:$J$1001,0),0),1)),INDEX($O$2:$O$1001,MATCH(ROWS($J$2:J750),$J$2:$J$1001,0),0)))</f>
        <v xml:space="preserve"> </v>
      </c>
      <c r="B750" s="3" t="str">
        <f ca="1">IF(OR(INDEX($K$2:$K$1001,MATCH(ROWS($J$2:J750),$J$2:$J$1001,0),1)&gt;=100000,INDEX($Q$1005:$U$1005,1,MATCH(COLUMNS($Q$1006:Q1006),$Q$1006:$U$1006,0))&gt;=100000), " ",IF(INDEX($Q$2:$U$1001,MATCH(ROWS($J$2:J750),$J$2:$J$1001,0),MATCH(COLUMNS($Q$1006:Q1006),$Q$1006:$U$1006,0)), HYPERLINK("#",""), HYPERLINK(CONCATENATE("#Metadata!", ADDRESS(INDEX($L$2:$L$1001,MATCH(ROWS($J$2:J750),$J$2:$J$1001,0),0), INDEX($Q$1004:$U$1004,1,MATCH(COLUMNS($Q$1006:Q1006),$Q$1006:$U$1006,0)))),"Fix")))</f>
        <v xml:space="preserve"> </v>
      </c>
      <c r="C750" s="3" t="str">
        <f ca="1">IF(OR(INDEX($K$2:$K$1001,MATCH(ROWS($J$2:J750),$J$2:$J$1001,0),1)&gt;=100000,INDEX($Q$1005:$U$1005,1,MATCH(COLUMNS($Q$1006:R1006),$Q$1006:$U$1006,0))&gt;=100000), " ",IF(INDEX($Q$2:$U$1001,MATCH(ROWS($J$2:J750),$J$2:$J$1001,0),MATCH(COLUMNS($Q$1006:R1006),$Q$1006:$U$1006,0)), HYPERLINK("#",""), HYPERLINK(CONCATENATE("#Metadata!", ADDRESS(INDEX($L$2:$L$1001,MATCH(ROWS($J$2:J750),$J$2:$J$1001,0),0), INDEX($Q$1004:$U$1004,1,MATCH(COLUMNS($Q$1006:R1006),$Q$1006:$U$1006,0)))),"Fix")))</f>
        <v xml:space="preserve"> </v>
      </c>
      <c r="D750" s="3" t="str">
        <f ca="1">IF(OR(INDEX($K$2:$K$1001,MATCH(ROWS($J$2:J750),$J$2:$J$1001,0),1)&gt;=100000,INDEX($Q$1005:$U$1005,1,MATCH(COLUMNS($Q$1006:S1006),$Q$1006:$U$1006,0))&gt;=100000), " ",IF(INDEX($Q$2:$U$1001,MATCH(ROWS($J$2:J750),$J$2:$J$1001,0),MATCH(COLUMNS($Q$1006:S1006),$Q$1006:$U$1006,0)), HYPERLINK("#",""), HYPERLINK(CONCATENATE("#Metadata!", ADDRESS(INDEX($L$2:$L$1001,MATCH(ROWS($J$2:J750),$J$2:$J$1001,0),0), INDEX($Q$1004:$U$1004,1,MATCH(COLUMNS($Q$1006:S1006),$Q$1006:$U$1006,0)))),"Fix")))</f>
        <v xml:space="preserve"> </v>
      </c>
      <c r="E750" s="3" t="str">
        <f ca="1">IF(OR(INDEX($K$2:$K$1001,MATCH(ROWS($J$2:J750),$J$2:$J$1001,0),1)&gt;=100000,INDEX($Q$1005:$U$1005,1,MATCH(COLUMNS($Q$1006:T1006),$Q$1006:$U$1006,0))&gt;=100000), " ",IF(INDEX($Q$2:$U$1001,MATCH(ROWS($J$2:J750),$J$2:$J$1001,0),MATCH(COLUMNS($Q$1006:T1006),$Q$1006:$U$1006,0)), HYPERLINK("#",""), HYPERLINK(CONCATENATE("#Metadata!", ADDRESS(INDEX($L$2:$L$1001,MATCH(ROWS($J$2:J750),$J$2:$J$1001,0),0), INDEX($Q$1004:$U$1004,1,MATCH(COLUMNS($Q$1006:T1006),$Q$1006:$U$1006,0)))),"Fix")))</f>
        <v xml:space="preserve"> </v>
      </c>
      <c r="F750" s="3" t="str">
        <f ca="1">IF(OR(INDEX($K$2:$K$1001,MATCH(ROWS($J$2:J750),$J$2:$J$1001,0),1)&gt;=100000,INDEX($Q$1005:$U$1005,1,MATCH(COLUMNS($Q$1006:U1006),$Q$1006:$U$1006,0))&gt;=100000), " ",IF(INDEX($Q$2:$U$1001,MATCH(ROWS($J$2:J750),$J$2:$J$1001,0),MATCH(COLUMNS($Q$1006:U1006),$Q$1006:$U$1006,0)), HYPERLINK("#",""), HYPERLINK(CONCATENATE("#Metadata!", ADDRESS(INDEX($L$2:$L$1001,MATCH(ROWS($J$2:J750),$J$2:$J$1001,0),0), INDEX($Q$1004:$U$1004,1,MATCH(COLUMNS($Q$1006:U1006),$Q$1006:$U$1006,0)))),"Fix")))</f>
        <v xml:space="preserve"> </v>
      </c>
      <c r="J750">
        <f ca="1"/>
        <v>749</v>
      </c>
      <c r="K750">
        <v>100750</v>
      </c>
      <c r="L750">
        <v>750</v>
      </c>
      <c r="M750" t="b">
        <f t="shared" si="11"/>
        <v>1</v>
      </c>
      <c r="N750" t="b">
        <f>COUNTBLANK(Metadata!B750:F750)=COLUMNS(Metadata!B750:F750)</f>
        <v>1</v>
      </c>
      <c r="O750" t="str">
        <v/>
      </c>
      <c r="Q750" t="b">
        <f ca="1"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R750" t="b">
        <f>IF(Metadata!C750="",FALSE,TRUE)</f>
        <v>0</v>
      </c>
      <c r="S750" t="b">
        <f>OR(AND(IF(Metadata!D750="",FALSE,TRUE),EXACT(Metadata!D750,"missing: not collected")),AND(IF(Metadata!D750="",FALSE,TRUE),OR(EXACT(Metadata!D750,"t"),EXACT(Metadata!D750,"f"))))</f>
        <v>0</v>
      </c>
      <c r="T750" t="b">
        <f>AND(IF(Metadata!E750="",FALSE,TRUE),OR(EXACT(Metadata!E750,"a"),EXACT(Metadata!E750,"b")))</f>
        <v>0</v>
      </c>
      <c r="U750" t="b">
        <f>OR(AND(IF(Metadata!F750="",FALSE,TRUE),OR(EXACT(Metadata!F750,"missing: not collected"),EXACT(Metadata!F750,"missing: not provided"))),AND(IF(Metadata!F750="",FALSE,TRUE),OR(EXACT(Metadata!F750,"lo"),EXACT(Metadata!F750,"med"),EXACT(Metadata!F750,"hi"))))</f>
        <v>0</v>
      </c>
    </row>
    <row r="751" spans="1:21" x14ac:dyDescent="0.2">
      <c r="A751" s="4" t="str">
        <f ca="1">IF(B751=" "," ",HYPERLINK(CONCATENATE("#metadata!",ADDRESS(INDEX($L$2:$L$1001,MATCH(ROWS($J$2:J751),$J$2:$J$1001,0),0),1)),INDEX($O$2:$O$1001,MATCH(ROWS($J$2:J751),$J$2:$J$1001,0),0)))</f>
        <v xml:space="preserve"> </v>
      </c>
      <c r="B751" s="3" t="str">
        <f ca="1">IF(OR(INDEX($K$2:$K$1001,MATCH(ROWS($J$2:J751),$J$2:$J$1001,0),1)&gt;=100000,INDEX($Q$1005:$U$1005,1,MATCH(COLUMNS($Q$1006:Q1006),$Q$1006:$U$1006,0))&gt;=100000), " ",IF(INDEX($Q$2:$U$1001,MATCH(ROWS($J$2:J751),$J$2:$J$1001,0),MATCH(COLUMNS($Q$1006:Q1006),$Q$1006:$U$1006,0)), HYPERLINK("#",""), HYPERLINK(CONCATENATE("#Metadata!", ADDRESS(INDEX($L$2:$L$1001,MATCH(ROWS($J$2:J751),$J$2:$J$1001,0),0), INDEX($Q$1004:$U$1004,1,MATCH(COLUMNS($Q$1006:Q1006),$Q$1006:$U$1006,0)))),"Fix")))</f>
        <v xml:space="preserve"> </v>
      </c>
      <c r="C751" s="3" t="str">
        <f ca="1">IF(OR(INDEX($K$2:$K$1001,MATCH(ROWS($J$2:J751),$J$2:$J$1001,0),1)&gt;=100000,INDEX($Q$1005:$U$1005,1,MATCH(COLUMNS($Q$1006:R1006),$Q$1006:$U$1006,0))&gt;=100000), " ",IF(INDEX($Q$2:$U$1001,MATCH(ROWS($J$2:J751),$J$2:$J$1001,0),MATCH(COLUMNS($Q$1006:R1006),$Q$1006:$U$1006,0)), HYPERLINK("#",""), HYPERLINK(CONCATENATE("#Metadata!", ADDRESS(INDEX($L$2:$L$1001,MATCH(ROWS($J$2:J751),$J$2:$J$1001,0),0), INDEX($Q$1004:$U$1004,1,MATCH(COLUMNS($Q$1006:R1006),$Q$1006:$U$1006,0)))),"Fix")))</f>
        <v xml:space="preserve"> </v>
      </c>
      <c r="D751" s="3" t="str">
        <f ca="1">IF(OR(INDEX($K$2:$K$1001,MATCH(ROWS($J$2:J751),$J$2:$J$1001,0),1)&gt;=100000,INDEX($Q$1005:$U$1005,1,MATCH(COLUMNS($Q$1006:S1006),$Q$1006:$U$1006,0))&gt;=100000), " ",IF(INDEX($Q$2:$U$1001,MATCH(ROWS($J$2:J751),$J$2:$J$1001,0),MATCH(COLUMNS($Q$1006:S1006),$Q$1006:$U$1006,0)), HYPERLINK("#",""), HYPERLINK(CONCATENATE("#Metadata!", ADDRESS(INDEX($L$2:$L$1001,MATCH(ROWS($J$2:J751),$J$2:$J$1001,0),0), INDEX($Q$1004:$U$1004,1,MATCH(COLUMNS($Q$1006:S1006),$Q$1006:$U$1006,0)))),"Fix")))</f>
        <v xml:space="preserve"> </v>
      </c>
      <c r="E751" s="3" t="str">
        <f ca="1">IF(OR(INDEX($K$2:$K$1001,MATCH(ROWS($J$2:J751),$J$2:$J$1001,0),1)&gt;=100000,INDEX($Q$1005:$U$1005,1,MATCH(COLUMNS($Q$1006:T1006),$Q$1006:$U$1006,0))&gt;=100000), " ",IF(INDEX($Q$2:$U$1001,MATCH(ROWS($J$2:J751),$J$2:$J$1001,0),MATCH(COLUMNS($Q$1006:T1006),$Q$1006:$U$1006,0)), HYPERLINK("#",""), HYPERLINK(CONCATENATE("#Metadata!", ADDRESS(INDEX($L$2:$L$1001,MATCH(ROWS($J$2:J751),$J$2:$J$1001,0),0), INDEX($Q$1004:$U$1004,1,MATCH(COLUMNS($Q$1006:T1006),$Q$1006:$U$1006,0)))),"Fix")))</f>
        <v xml:space="preserve"> </v>
      </c>
      <c r="F751" s="3" t="str">
        <f ca="1">IF(OR(INDEX($K$2:$K$1001,MATCH(ROWS($J$2:J751),$J$2:$J$1001,0),1)&gt;=100000,INDEX($Q$1005:$U$1005,1,MATCH(COLUMNS($Q$1006:U1006),$Q$1006:$U$1006,0))&gt;=100000), " ",IF(INDEX($Q$2:$U$1001,MATCH(ROWS($J$2:J751),$J$2:$J$1001,0),MATCH(COLUMNS($Q$1006:U1006),$Q$1006:$U$1006,0)), HYPERLINK("#",""), HYPERLINK(CONCATENATE("#Metadata!", ADDRESS(INDEX($L$2:$L$1001,MATCH(ROWS($J$2:J751),$J$2:$J$1001,0),0), INDEX($Q$1004:$U$1004,1,MATCH(COLUMNS($Q$1006:U1006),$Q$1006:$U$1006,0)))),"Fix")))</f>
        <v xml:space="preserve"> </v>
      </c>
      <c r="J751">
        <f ca="1"/>
        <v>750</v>
      </c>
      <c r="K751">
        <v>100751</v>
      </c>
      <c r="L751">
        <v>751</v>
      </c>
      <c r="M751" t="b">
        <f t="shared" si="11"/>
        <v>1</v>
      </c>
      <c r="N751" t="b">
        <f>COUNTBLANK(Metadata!B751:F751)=COLUMNS(Metadata!B751:F751)</f>
        <v>1</v>
      </c>
      <c r="O751" t="str">
        <v/>
      </c>
      <c r="Q751" t="b">
        <f ca="1"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R751" t="b">
        <f>IF(Metadata!C751="",FALSE,TRUE)</f>
        <v>0</v>
      </c>
      <c r="S751" t="b">
        <f>OR(AND(IF(Metadata!D751="",FALSE,TRUE),EXACT(Metadata!D751,"missing: not collected")),AND(IF(Metadata!D751="",FALSE,TRUE),OR(EXACT(Metadata!D751,"t"),EXACT(Metadata!D751,"f"))))</f>
        <v>0</v>
      </c>
      <c r="T751" t="b">
        <f>AND(IF(Metadata!E751="",FALSE,TRUE),OR(EXACT(Metadata!E751,"a"),EXACT(Metadata!E751,"b")))</f>
        <v>0</v>
      </c>
      <c r="U751" t="b">
        <f>OR(AND(IF(Metadata!F751="",FALSE,TRUE),OR(EXACT(Metadata!F751,"missing: not collected"),EXACT(Metadata!F751,"missing: not provided"))),AND(IF(Metadata!F751="",FALSE,TRUE),OR(EXACT(Metadata!F751,"lo"),EXACT(Metadata!F751,"med"),EXACT(Metadata!F751,"hi"))))</f>
        <v>0</v>
      </c>
    </row>
    <row r="752" spans="1:21" x14ac:dyDescent="0.2">
      <c r="A752" s="4" t="str">
        <f ca="1">IF(B752=" "," ",HYPERLINK(CONCATENATE("#metadata!",ADDRESS(INDEX($L$2:$L$1001,MATCH(ROWS($J$2:J752),$J$2:$J$1001,0),0),1)),INDEX($O$2:$O$1001,MATCH(ROWS($J$2:J752),$J$2:$J$1001,0),0)))</f>
        <v xml:space="preserve"> </v>
      </c>
      <c r="B752" s="3" t="str">
        <f ca="1">IF(OR(INDEX($K$2:$K$1001,MATCH(ROWS($J$2:J752),$J$2:$J$1001,0),1)&gt;=100000,INDEX($Q$1005:$U$1005,1,MATCH(COLUMNS($Q$1006:Q1006),$Q$1006:$U$1006,0))&gt;=100000), " ",IF(INDEX($Q$2:$U$1001,MATCH(ROWS($J$2:J752),$J$2:$J$1001,0),MATCH(COLUMNS($Q$1006:Q1006),$Q$1006:$U$1006,0)), HYPERLINK("#",""), HYPERLINK(CONCATENATE("#Metadata!", ADDRESS(INDEX($L$2:$L$1001,MATCH(ROWS($J$2:J752),$J$2:$J$1001,0),0), INDEX($Q$1004:$U$1004,1,MATCH(COLUMNS($Q$1006:Q1006),$Q$1006:$U$1006,0)))),"Fix")))</f>
        <v xml:space="preserve"> </v>
      </c>
      <c r="C752" s="3" t="str">
        <f ca="1">IF(OR(INDEX($K$2:$K$1001,MATCH(ROWS($J$2:J752),$J$2:$J$1001,0),1)&gt;=100000,INDEX($Q$1005:$U$1005,1,MATCH(COLUMNS($Q$1006:R1006),$Q$1006:$U$1006,0))&gt;=100000), " ",IF(INDEX($Q$2:$U$1001,MATCH(ROWS($J$2:J752),$J$2:$J$1001,0),MATCH(COLUMNS($Q$1006:R1006),$Q$1006:$U$1006,0)), HYPERLINK("#",""), HYPERLINK(CONCATENATE("#Metadata!", ADDRESS(INDEX($L$2:$L$1001,MATCH(ROWS($J$2:J752),$J$2:$J$1001,0),0), INDEX($Q$1004:$U$1004,1,MATCH(COLUMNS($Q$1006:R1006),$Q$1006:$U$1006,0)))),"Fix")))</f>
        <v xml:space="preserve"> </v>
      </c>
      <c r="D752" s="3" t="str">
        <f ca="1">IF(OR(INDEX($K$2:$K$1001,MATCH(ROWS($J$2:J752),$J$2:$J$1001,0),1)&gt;=100000,INDEX($Q$1005:$U$1005,1,MATCH(COLUMNS($Q$1006:S1006),$Q$1006:$U$1006,0))&gt;=100000), " ",IF(INDEX($Q$2:$U$1001,MATCH(ROWS($J$2:J752),$J$2:$J$1001,0),MATCH(COLUMNS($Q$1006:S1006),$Q$1006:$U$1006,0)), HYPERLINK("#",""), HYPERLINK(CONCATENATE("#Metadata!", ADDRESS(INDEX($L$2:$L$1001,MATCH(ROWS($J$2:J752),$J$2:$J$1001,0),0), INDEX($Q$1004:$U$1004,1,MATCH(COLUMNS($Q$1006:S1006),$Q$1006:$U$1006,0)))),"Fix")))</f>
        <v xml:space="preserve"> </v>
      </c>
      <c r="E752" s="3" t="str">
        <f ca="1">IF(OR(INDEX($K$2:$K$1001,MATCH(ROWS($J$2:J752),$J$2:$J$1001,0),1)&gt;=100000,INDEX($Q$1005:$U$1005,1,MATCH(COLUMNS($Q$1006:T1006),$Q$1006:$U$1006,0))&gt;=100000), " ",IF(INDEX($Q$2:$U$1001,MATCH(ROWS($J$2:J752),$J$2:$J$1001,0),MATCH(COLUMNS($Q$1006:T1006),$Q$1006:$U$1006,0)), HYPERLINK("#",""), HYPERLINK(CONCATENATE("#Metadata!", ADDRESS(INDEX($L$2:$L$1001,MATCH(ROWS($J$2:J752),$J$2:$J$1001,0),0), INDEX($Q$1004:$U$1004,1,MATCH(COLUMNS($Q$1006:T1006),$Q$1006:$U$1006,0)))),"Fix")))</f>
        <v xml:space="preserve"> </v>
      </c>
      <c r="F752" s="3" t="str">
        <f ca="1">IF(OR(INDEX($K$2:$K$1001,MATCH(ROWS($J$2:J752),$J$2:$J$1001,0),1)&gt;=100000,INDEX($Q$1005:$U$1005,1,MATCH(COLUMNS($Q$1006:U1006),$Q$1006:$U$1006,0))&gt;=100000), " ",IF(INDEX($Q$2:$U$1001,MATCH(ROWS($J$2:J752),$J$2:$J$1001,0),MATCH(COLUMNS($Q$1006:U1006),$Q$1006:$U$1006,0)), HYPERLINK("#",""), HYPERLINK(CONCATENATE("#Metadata!", ADDRESS(INDEX($L$2:$L$1001,MATCH(ROWS($J$2:J752),$J$2:$J$1001,0),0), INDEX($Q$1004:$U$1004,1,MATCH(COLUMNS($Q$1006:U1006),$Q$1006:$U$1006,0)))),"Fix")))</f>
        <v xml:space="preserve"> </v>
      </c>
      <c r="J752">
        <f ca="1"/>
        <v>751</v>
      </c>
      <c r="K752">
        <v>100752</v>
      </c>
      <c r="L752">
        <v>752</v>
      </c>
      <c r="M752" t="b">
        <f t="shared" si="11"/>
        <v>1</v>
      </c>
      <c r="N752" t="b">
        <f>COUNTBLANK(Metadata!B752:F752)=COLUMNS(Metadata!B752:F752)</f>
        <v>1</v>
      </c>
      <c r="O752" t="str">
        <v/>
      </c>
      <c r="Q752" t="b">
        <f ca="1"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R752" t="b">
        <f>IF(Metadata!C752="",FALSE,TRUE)</f>
        <v>0</v>
      </c>
      <c r="S752" t="b">
        <f>OR(AND(IF(Metadata!D752="",FALSE,TRUE),EXACT(Metadata!D752,"missing: not collected")),AND(IF(Metadata!D752="",FALSE,TRUE),OR(EXACT(Metadata!D752,"t"),EXACT(Metadata!D752,"f"))))</f>
        <v>0</v>
      </c>
      <c r="T752" t="b">
        <f>AND(IF(Metadata!E752="",FALSE,TRUE),OR(EXACT(Metadata!E752,"a"),EXACT(Metadata!E752,"b")))</f>
        <v>0</v>
      </c>
      <c r="U752" t="b">
        <f>OR(AND(IF(Metadata!F752="",FALSE,TRUE),OR(EXACT(Metadata!F752,"missing: not collected"),EXACT(Metadata!F752,"missing: not provided"))),AND(IF(Metadata!F752="",FALSE,TRUE),OR(EXACT(Metadata!F752,"lo"),EXACT(Metadata!F752,"med"),EXACT(Metadata!F752,"hi"))))</f>
        <v>0</v>
      </c>
    </row>
    <row r="753" spans="1:21" x14ac:dyDescent="0.2">
      <c r="A753" s="4" t="str">
        <f ca="1">IF(B753=" "," ",HYPERLINK(CONCATENATE("#metadata!",ADDRESS(INDEX($L$2:$L$1001,MATCH(ROWS($J$2:J753),$J$2:$J$1001,0),0),1)),INDEX($O$2:$O$1001,MATCH(ROWS($J$2:J753),$J$2:$J$1001,0),0)))</f>
        <v xml:space="preserve"> </v>
      </c>
      <c r="B753" s="3" t="str">
        <f ca="1">IF(OR(INDEX($K$2:$K$1001,MATCH(ROWS($J$2:J753),$J$2:$J$1001,0),1)&gt;=100000,INDEX($Q$1005:$U$1005,1,MATCH(COLUMNS($Q$1006:Q1006),$Q$1006:$U$1006,0))&gt;=100000), " ",IF(INDEX($Q$2:$U$1001,MATCH(ROWS($J$2:J753),$J$2:$J$1001,0),MATCH(COLUMNS($Q$1006:Q1006),$Q$1006:$U$1006,0)), HYPERLINK("#",""), HYPERLINK(CONCATENATE("#Metadata!", ADDRESS(INDEX($L$2:$L$1001,MATCH(ROWS($J$2:J753),$J$2:$J$1001,0),0), INDEX($Q$1004:$U$1004,1,MATCH(COLUMNS($Q$1006:Q1006),$Q$1006:$U$1006,0)))),"Fix")))</f>
        <v xml:space="preserve"> </v>
      </c>
      <c r="C753" s="3" t="str">
        <f ca="1">IF(OR(INDEX($K$2:$K$1001,MATCH(ROWS($J$2:J753),$J$2:$J$1001,0),1)&gt;=100000,INDEX($Q$1005:$U$1005,1,MATCH(COLUMNS($Q$1006:R1006),$Q$1006:$U$1006,0))&gt;=100000), " ",IF(INDEX($Q$2:$U$1001,MATCH(ROWS($J$2:J753),$J$2:$J$1001,0),MATCH(COLUMNS($Q$1006:R1006),$Q$1006:$U$1006,0)), HYPERLINK("#",""), HYPERLINK(CONCATENATE("#Metadata!", ADDRESS(INDEX($L$2:$L$1001,MATCH(ROWS($J$2:J753),$J$2:$J$1001,0),0), INDEX($Q$1004:$U$1004,1,MATCH(COLUMNS($Q$1006:R1006),$Q$1006:$U$1006,0)))),"Fix")))</f>
        <v xml:space="preserve"> </v>
      </c>
      <c r="D753" s="3" t="str">
        <f ca="1">IF(OR(INDEX($K$2:$K$1001,MATCH(ROWS($J$2:J753),$J$2:$J$1001,0),1)&gt;=100000,INDEX($Q$1005:$U$1005,1,MATCH(COLUMNS($Q$1006:S1006),$Q$1006:$U$1006,0))&gt;=100000), " ",IF(INDEX($Q$2:$U$1001,MATCH(ROWS($J$2:J753),$J$2:$J$1001,0),MATCH(COLUMNS($Q$1006:S1006),$Q$1006:$U$1006,0)), HYPERLINK("#",""), HYPERLINK(CONCATENATE("#Metadata!", ADDRESS(INDEX($L$2:$L$1001,MATCH(ROWS($J$2:J753),$J$2:$J$1001,0),0), INDEX($Q$1004:$U$1004,1,MATCH(COLUMNS($Q$1006:S1006),$Q$1006:$U$1006,0)))),"Fix")))</f>
        <v xml:space="preserve"> </v>
      </c>
      <c r="E753" s="3" t="str">
        <f ca="1">IF(OR(INDEX($K$2:$K$1001,MATCH(ROWS($J$2:J753),$J$2:$J$1001,0),1)&gt;=100000,INDEX($Q$1005:$U$1005,1,MATCH(COLUMNS($Q$1006:T1006),$Q$1006:$U$1006,0))&gt;=100000), " ",IF(INDEX($Q$2:$U$1001,MATCH(ROWS($J$2:J753),$J$2:$J$1001,0),MATCH(COLUMNS($Q$1006:T1006),$Q$1006:$U$1006,0)), HYPERLINK("#",""), HYPERLINK(CONCATENATE("#Metadata!", ADDRESS(INDEX($L$2:$L$1001,MATCH(ROWS($J$2:J753),$J$2:$J$1001,0),0), INDEX($Q$1004:$U$1004,1,MATCH(COLUMNS($Q$1006:T1006),$Q$1006:$U$1006,0)))),"Fix")))</f>
        <v xml:space="preserve"> </v>
      </c>
      <c r="F753" s="3" t="str">
        <f ca="1">IF(OR(INDEX($K$2:$K$1001,MATCH(ROWS($J$2:J753),$J$2:$J$1001,0),1)&gt;=100000,INDEX($Q$1005:$U$1005,1,MATCH(COLUMNS($Q$1006:U1006),$Q$1006:$U$1006,0))&gt;=100000), " ",IF(INDEX($Q$2:$U$1001,MATCH(ROWS($J$2:J753),$J$2:$J$1001,0),MATCH(COLUMNS($Q$1006:U1006),$Q$1006:$U$1006,0)), HYPERLINK("#",""), HYPERLINK(CONCATENATE("#Metadata!", ADDRESS(INDEX($L$2:$L$1001,MATCH(ROWS($J$2:J753),$J$2:$J$1001,0),0), INDEX($Q$1004:$U$1004,1,MATCH(COLUMNS($Q$1006:U1006),$Q$1006:$U$1006,0)))),"Fix")))</f>
        <v xml:space="preserve"> </v>
      </c>
      <c r="J753">
        <f ca="1"/>
        <v>752</v>
      </c>
      <c r="K753">
        <v>100753</v>
      </c>
      <c r="L753">
        <v>753</v>
      </c>
      <c r="M753" t="b">
        <f t="shared" si="11"/>
        <v>1</v>
      </c>
      <c r="N753" t="b">
        <f>COUNTBLANK(Metadata!B753:F753)=COLUMNS(Metadata!B753:F753)</f>
        <v>1</v>
      </c>
      <c r="O753" t="str">
        <v/>
      </c>
      <c r="Q753" t="b">
        <f ca="1"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R753" t="b">
        <f>IF(Metadata!C753="",FALSE,TRUE)</f>
        <v>0</v>
      </c>
      <c r="S753" t="b">
        <f>OR(AND(IF(Metadata!D753="",FALSE,TRUE),EXACT(Metadata!D753,"missing: not collected")),AND(IF(Metadata!D753="",FALSE,TRUE),OR(EXACT(Metadata!D753,"t"),EXACT(Metadata!D753,"f"))))</f>
        <v>0</v>
      </c>
      <c r="T753" t="b">
        <f>AND(IF(Metadata!E753="",FALSE,TRUE),OR(EXACT(Metadata!E753,"a"),EXACT(Metadata!E753,"b")))</f>
        <v>0</v>
      </c>
      <c r="U753" t="b">
        <f>OR(AND(IF(Metadata!F753="",FALSE,TRUE),OR(EXACT(Metadata!F753,"missing: not collected"),EXACT(Metadata!F753,"missing: not provided"))),AND(IF(Metadata!F753="",FALSE,TRUE),OR(EXACT(Metadata!F753,"lo"),EXACT(Metadata!F753,"med"),EXACT(Metadata!F753,"hi"))))</f>
        <v>0</v>
      </c>
    </row>
    <row r="754" spans="1:21" x14ac:dyDescent="0.2">
      <c r="A754" s="4" t="str">
        <f ca="1">IF(B754=" "," ",HYPERLINK(CONCATENATE("#metadata!",ADDRESS(INDEX($L$2:$L$1001,MATCH(ROWS($J$2:J754),$J$2:$J$1001,0),0),1)),INDEX($O$2:$O$1001,MATCH(ROWS($J$2:J754),$J$2:$J$1001,0),0)))</f>
        <v xml:space="preserve"> </v>
      </c>
      <c r="B754" s="3" t="str">
        <f ca="1">IF(OR(INDEX($K$2:$K$1001,MATCH(ROWS($J$2:J754),$J$2:$J$1001,0),1)&gt;=100000,INDEX($Q$1005:$U$1005,1,MATCH(COLUMNS($Q$1006:Q1006),$Q$1006:$U$1006,0))&gt;=100000), " ",IF(INDEX($Q$2:$U$1001,MATCH(ROWS($J$2:J754),$J$2:$J$1001,0),MATCH(COLUMNS($Q$1006:Q1006),$Q$1006:$U$1006,0)), HYPERLINK("#",""), HYPERLINK(CONCATENATE("#Metadata!", ADDRESS(INDEX($L$2:$L$1001,MATCH(ROWS($J$2:J754),$J$2:$J$1001,0),0), INDEX($Q$1004:$U$1004,1,MATCH(COLUMNS($Q$1006:Q1006),$Q$1006:$U$1006,0)))),"Fix")))</f>
        <v xml:space="preserve"> </v>
      </c>
      <c r="C754" s="3" t="str">
        <f ca="1">IF(OR(INDEX($K$2:$K$1001,MATCH(ROWS($J$2:J754),$J$2:$J$1001,0),1)&gt;=100000,INDEX($Q$1005:$U$1005,1,MATCH(COLUMNS($Q$1006:R1006),$Q$1006:$U$1006,0))&gt;=100000), " ",IF(INDEX($Q$2:$U$1001,MATCH(ROWS($J$2:J754),$J$2:$J$1001,0),MATCH(COLUMNS($Q$1006:R1006),$Q$1006:$U$1006,0)), HYPERLINK("#",""), HYPERLINK(CONCATENATE("#Metadata!", ADDRESS(INDEX($L$2:$L$1001,MATCH(ROWS($J$2:J754),$J$2:$J$1001,0),0), INDEX($Q$1004:$U$1004,1,MATCH(COLUMNS($Q$1006:R1006),$Q$1006:$U$1006,0)))),"Fix")))</f>
        <v xml:space="preserve"> </v>
      </c>
      <c r="D754" s="3" t="str">
        <f ca="1">IF(OR(INDEX($K$2:$K$1001,MATCH(ROWS($J$2:J754),$J$2:$J$1001,0),1)&gt;=100000,INDEX($Q$1005:$U$1005,1,MATCH(COLUMNS($Q$1006:S1006),$Q$1006:$U$1006,0))&gt;=100000), " ",IF(INDEX($Q$2:$U$1001,MATCH(ROWS($J$2:J754),$J$2:$J$1001,0),MATCH(COLUMNS($Q$1006:S1006),$Q$1006:$U$1006,0)), HYPERLINK("#",""), HYPERLINK(CONCATENATE("#Metadata!", ADDRESS(INDEX($L$2:$L$1001,MATCH(ROWS($J$2:J754),$J$2:$J$1001,0),0), INDEX($Q$1004:$U$1004,1,MATCH(COLUMNS($Q$1006:S1006),$Q$1006:$U$1006,0)))),"Fix")))</f>
        <v xml:space="preserve"> </v>
      </c>
      <c r="E754" s="3" t="str">
        <f ca="1">IF(OR(INDEX($K$2:$K$1001,MATCH(ROWS($J$2:J754),$J$2:$J$1001,0),1)&gt;=100000,INDEX($Q$1005:$U$1005,1,MATCH(COLUMNS($Q$1006:T1006),$Q$1006:$U$1006,0))&gt;=100000), " ",IF(INDEX($Q$2:$U$1001,MATCH(ROWS($J$2:J754),$J$2:$J$1001,0),MATCH(COLUMNS($Q$1006:T1006),$Q$1006:$U$1006,0)), HYPERLINK("#",""), HYPERLINK(CONCATENATE("#Metadata!", ADDRESS(INDEX($L$2:$L$1001,MATCH(ROWS($J$2:J754),$J$2:$J$1001,0),0), INDEX($Q$1004:$U$1004,1,MATCH(COLUMNS($Q$1006:T1006),$Q$1006:$U$1006,0)))),"Fix")))</f>
        <v xml:space="preserve"> </v>
      </c>
      <c r="F754" s="3" t="str">
        <f ca="1">IF(OR(INDEX($K$2:$K$1001,MATCH(ROWS($J$2:J754),$J$2:$J$1001,0),1)&gt;=100000,INDEX($Q$1005:$U$1005,1,MATCH(COLUMNS($Q$1006:U1006),$Q$1006:$U$1006,0))&gt;=100000), " ",IF(INDEX($Q$2:$U$1001,MATCH(ROWS($J$2:J754),$J$2:$J$1001,0),MATCH(COLUMNS($Q$1006:U1006),$Q$1006:$U$1006,0)), HYPERLINK("#",""), HYPERLINK(CONCATENATE("#Metadata!", ADDRESS(INDEX($L$2:$L$1001,MATCH(ROWS($J$2:J754),$J$2:$J$1001,0),0), INDEX($Q$1004:$U$1004,1,MATCH(COLUMNS($Q$1006:U1006),$Q$1006:$U$1006,0)))),"Fix")))</f>
        <v xml:space="preserve"> </v>
      </c>
      <c r="J754">
        <f ca="1"/>
        <v>753</v>
      </c>
      <c r="K754">
        <v>100754</v>
      </c>
      <c r="L754">
        <v>754</v>
      </c>
      <c r="M754" t="b">
        <f t="shared" si="11"/>
        <v>1</v>
      </c>
      <c r="N754" t="b">
        <f>COUNTBLANK(Metadata!B754:F754)=COLUMNS(Metadata!B754:F754)</f>
        <v>1</v>
      </c>
      <c r="O754" t="str">
        <v/>
      </c>
      <c r="Q754" t="b">
        <f ca="1"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R754" t="b">
        <f>IF(Metadata!C754="",FALSE,TRUE)</f>
        <v>0</v>
      </c>
      <c r="S754" t="b">
        <f>OR(AND(IF(Metadata!D754="",FALSE,TRUE),EXACT(Metadata!D754,"missing: not collected")),AND(IF(Metadata!D754="",FALSE,TRUE),OR(EXACT(Metadata!D754,"t"),EXACT(Metadata!D754,"f"))))</f>
        <v>0</v>
      </c>
      <c r="T754" t="b">
        <f>AND(IF(Metadata!E754="",FALSE,TRUE),OR(EXACT(Metadata!E754,"a"),EXACT(Metadata!E754,"b")))</f>
        <v>0</v>
      </c>
      <c r="U754" t="b">
        <f>OR(AND(IF(Metadata!F754="",FALSE,TRUE),OR(EXACT(Metadata!F754,"missing: not collected"),EXACT(Metadata!F754,"missing: not provided"))),AND(IF(Metadata!F754="",FALSE,TRUE),OR(EXACT(Metadata!F754,"lo"),EXACT(Metadata!F754,"med"),EXACT(Metadata!F754,"hi"))))</f>
        <v>0</v>
      </c>
    </row>
    <row r="755" spans="1:21" x14ac:dyDescent="0.2">
      <c r="A755" s="4" t="str">
        <f ca="1">IF(B755=" "," ",HYPERLINK(CONCATENATE("#metadata!",ADDRESS(INDEX($L$2:$L$1001,MATCH(ROWS($J$2:J755),$J$2:$J$1001,0),0),1)),INDEX($O$2:$O$1001,MATCH(ROWS($J$2:J755),$J$2:$J$1001,0),0)))</f>
        <v xml:space="preserve"> </v>
      </c>
      <c r="B755" s="3" t="str">
        <f ca="1">IF(OR(INDEX($K$2:$K$1001,MATCH(ROWS($J$2:J755),$J$2:$J$1001,0),1)&gt;=100000,INDEX($Q$1005:$U$1005,1,MATCH(COLUMNS($Q$1006:Q1006),$Q$1006:$U$1006,0))&gt;=100000), " ",IF(INDEX($Q$2:$U$1001,MATCH(ROWS($J$2:J755),$J$2:$J$1001,0),MATCH(COLUMNS($Q$1006:Q1006),$Q$1006:$U$1006,0)), HYPERLINK("#",""), HYPERLINK(CONCATENATE("#Metadata!", ADDRESS(INDEX($L$2:$L$1001,MATCH(ROWS($J$2:J755),$J$2:$J$1001,0),0), INDEX($Q$1004:$U$1004,1,MATCH(COLUMNS($Q$1006:Q1006),$Q$1006:$U$1006,0)))),"Fix")))</f>
        <v xml:space="preserve"> </v>
      </c>
      <c r="C755" s="3" t="str">
        <f ca="1">IF(OR(INDEX($K$2:$K$1001,MATCH(ROWS($J$2:J755),$J$2:$J$1001,0),1)&gt;=100000,INDEX($Q$1005:$U$1005,1,MATCH(COLUMNS($Q$1006:R1006),$Q$1006:$U$1006,0))&gt;=100000), " ",IF(INDEX($Q$2:$U$1001,MATCH(ROWS($J$2:J755),$J$2:$J$1001,0),MATCH(COLUMNS($Q$1006:R1006),$Q$1006:$U$1006,0)), HYPERLINK("#",""), HYPERLINK(CONCATENATE("#Metadata!", ADDRESS(INDEX($L$2:$L$1001,MATCH(ROWS($J$2:J755),$J$2:$J$1001,0),0), INDEX($Q$1004:$U$1004,1,MATCH(COLUMNS($Q$1006:R1006),$Q$1006:$U$1006,0)))),"Fix")))</f>
        <v xml:space="preserve"> </v>
      </c>
      <c r="D755" s="3" t="str">
        <f ca="1">IF(OR(INDEX($K$2:$K$1001,MATCH(ROWS($J$2:J755),$J$2:$J$1001,0),1)&gt;=100000,INDEX($Q$1005:$U$1005,1,MATCH(COLUMNS($Q$1006:S1006),$Q$1006:$U$1006,0))&gt;=100000), " ",IF(INDEX($Q$2:$U$1001,MATCH(ROWS($J$2:J755),$J$2:$J$1001,0),MATCH(COLUMNS($Q$1006:S1006),$Q$1006:$U$1006,0)), HYPERLINK("#",""), HYPERLINK(CONCATENATE("#Metadata!", ADDRESS(INDEX($L$2:$L$1001,MATCH(ROWS($J$2:J755),$J$2:$J$1001,0),0), INDEX($Q$1004:$U$1004,1,MATCH(COLUMNS($Q$1006:S1006),$Q$1006:$U$1006,0)))),"Fix")))</f>
        <v xml:space="preserve"> </v>
      </c>
      <c r="E755" s="3" t="str">
        <f ca="1">IF(OR(INDEX($K$2:$K$1001,MATCH(ROWS($J$2:J755),$J$2:$J$1001,0),1)&gt;=100000,INDEX($Q$1005:$U$1005,1,MATCH(COLUMNS($Q$1006:T1006),$Q$1006:$U$1006,0))&gt;=100000), " ",IF(INDEX($Q$2:$U$1001,MATCH(ROWS($J$2:J755),$J$2:$J$1001,0),MATCH(COLUMNS($Q$1006:T1006),$Q$1006:$U$1006,0)), HYPERLINK("#",""), HYPERLINK(CONCATENATE("#Metadata!", ADDRESS(INDEX($L$2:$L$1001,MATCH(ROWS($J$2:J755),$J$2:$J$1001,0),0), INDEX($Q$1004:$U$1004,1,MATCH(COLUMNS($Q$1006:T1006),$Q$1006:$U$1006,0)))),"Fix")))</f>
        <v xml:space="preserve"> </v>
      </c>
      <c r="F755" s="3" t="str">
        <f ca="1">IF(OR(INDEX($K$2:$K$1001,MATCH(ROWS($J$2:J755),$J$2:$J$1001,0),1)&gt;=100000,INDEX($Q$1005:$U$1005,1,MATCH(COLUMNS($Q$1006:U1006),$Q$1006:$U$1006,0))&gt;=100000), " ",IF(INDEX($Q$2:$U$1001,MATCH(ROWS($J$2:J755),$J$2:$J$1001,0),MATCH(COLUMNS($Q$1006:U1006),$Q$1006:$U$1006,0)), HYPERLINK("#",""), HYPERLINK(CONCATENATE("#Metadata!", ADDRESS(INDEX($L$2:$L$1001,MATCH(ROWS($J$2:J755),$J$2:$J$1001,0),0), INDEX($Q$1004:$U$1004,1,MATCH(COLUMNS($Q$1006:U1006),$Q$1006:$U$1006,0)))),"Fix")))</f>
        <v xml:space="preserve"> </v>
      </c>
      <c r="J755">
        <f ca="1"/>
        <v>754</v>
      </c>
      <c r="K755">
        <v>100755</v>
      </c>
      <c r="L755">
        <v>755</v>
      </c>
      <c r="M755" t="b">
        <f t="shared" si="11"/>
        <v>1</v>
      </c>
      <c r="N755" t="b">
        <f>COUNTBLANK(Metadata!B755:F755)=COLUMNS(Metadata!B755:F755)</f>
        <v>1</v>
      </c>
      <c r="O755" t="str">
        <v/>
      </c>
      <c r="Q755" t="b">
        <f ca="1"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R755" t="b">
        <f>IF(Metadata!C755="",FALSE,TRUE)</f>
        <v>0</v>
      </c>
      <c r="S755" t="b">
        <f>OR(AND(IF(Metadata!D755="",FALSE,TRUE),EXACT(Metadata!D755,"missing: not collected")),AND(IF(Metadata!D755="",FALSE,TRUE),OR(EXACT(Metadata!D755,"t"),EXACT(Metadata!D755,"f"))))</f>
        <v>0</v>
      </c>
      <c r="T755" t="b">
        <f>AND(IF(Metadata!E755="",FALSE,TRUE),OR(EXACT(Metadata!E755,"a"),EXACT(Metadata!E755,"b")))</f>
        <v>0</v>
      </c>
      <c r="U755" t="b">
        <f>OR(AND(IF(Metadata!F755="",FALSE,TRUE),OR(EXACT(Metadata!F755,"missing: not collected"),EXACT(Metadata!F755,"missing: not provided"))),AND(IF(Metadata!F755="",FALSE,TRUE),OR(EXACT(Metadata!F755,"lo"),EXACT(Metadata!F755,"med"),EXACT(Metadata!F755,"hi"))))</f>
        <v>0</v>
      </c>
    </row>
    <row r="756" spans="1:21" x14ac:dyDescent="0.2">
      <c r="A756" s="4" t="str">
        <f ca="1">IF(B756=" "," ",HYPERLINK(CONCATENATE("#metadata!",ADDRESS(INDEX($L$2:$L$1001,MATCH(ROWS($J$2:J756),$J$2:$J$1001,0),0),1)),INDEX($O$2:$O$1001,MATCH(ROWS($J$2:J756),$J$2:$J$1001,0),0)))</f>
        <v xml:space="preserve"> </v>
      </c>
      <c r="B756" s="3" t="str">
        <f ca="1">IF(OR(INDEX($K$2:$K$1001,MATCH(ROWS($J$2:J756),$J$2:$J$1001,0),1)&gt;=100000,INDEX($Q$1005:$U$1005,1,MATCH(COLUMNS($Q$1006:Q1006),$Q$1006:$U$1006,0))&gt;=100000), " ",IF(INDEX($Q$2:$U$1001,MATCH(ROWS($J$2:J756),$J$2:$J$1001,0),MATCH(COLUMNS($Q$1006:Q1006),$Q$1006:$U$1006,0)), HYPERLINK("#",""), HYPERLINK(CONCATENATE("#Metadata!", ADDRESS(INDEX($L$2:$L$1001,MATCH(ROWS($J$2:J756),$J$2:$J$1001,0),0), INDEX($Q$1004:$U$1004,1,MATCH(COLUMNS($Q$1006:Q1006),$Q$1006:$U$1006,0)))),"Fix")))</f>
        <v xml:space="preserve"> </v>
      </c>
      <c r="C756" s="3" t="str">
        <f ca="1">IF(OR(INDEX($K$2:$K$1001,MATCH(ROWS($J$2:J756),$J$2:$J$1001,0),1)&gt;=100000,INDEX($Q$1005:$U$1005,1,MATCH(COLUMNS($Q$1006:R1006),$Q$1006:$U$1006,0))&gt;=100000), " ",IF(INDEX($Q$2:$U$1001,MATCH(ROWS($J$2:J756),$J$2:$J$1001,0),MATCH(COLUMNS($Q$1006:R1006),$Q$1006:$U$1006,0)), HYPERLINK("#",""), HYPERLINK(CONCATENATE("#Metadata!", ADDRESS(INDEX($L$2:$L$1001,MATCH(ROWS($J$2:J756),$J$2:$J$1001,0),0), INDEX($Q$1004:$U$1004,1,MATCH(COLUMNS($Q$1006:R1006),$Q$1006:$U$1006,0)))),"Fix")))</f>
        <v xml:space="preserve"> </v>
      </c>
      <c r="D756" s="3" t="str">
        <f ca="1">IF(OR(INDEX($K$2:$K$1001,MATCH(ROWS($J$2:J756),$J$2:$J$1001,0),1)&gt;=100000,INDEX($Q$1005:$U$1005,1,MATCH(COLUMNS($Q$1006:S1006),$Q$1006:$U$1006,0))&gt;=100000), " ",IF(INDEX($Q$2:$U$1001,MATCH(ROWS($J$2:J756),$J$2:$J$1001,0),MATCH(COLUMNS($Q$1006:S1006),$Q$1006:$U$1006,0)), HYPERLINK("#",""), HYPERLINK(CONCATENATE("#Metadata!", ADDRESS(INDEX($L$2:$L$1001,MATCH(ROWS($J$2:J756),$J$2:$J$1001,0),0), INDEX($Q$1004:$U$1004,1,MATCH(COLUMNS($Q$1006:S1006),$Q$1006:$U$1006,0)))),"Fix")))</f>
        <v xml:space="preserve"> </v>
      </c>
      <c r="E756" s="3" t="str">
        <f ca="1">IF(OR(INDEX($K$2:$K$1001,MATCH(ROWS($J$2:J756),$J$2:$J$1001,0),1)&gt;=100000,INDEX($Q$1005:$U$1005,1,MATCH(COLUMNS($Q$1006:T1006),$Q$1006:$U$1006,0))&gt;=100000), " ",IF(INDEX($Q$2:$U$1001,MATCH(ROWS($J$2:J756),$J$2:$J$1001,0),MATCH(COLUMNS($Q$1006:T1006),$Q$1006:$U$1006,0)), HYPERLINK("#",""), HYPERLINK(CONCATENATE("#Metadata!", ADDRESS(INDEX($L$2:$L$1001,MATCH(ROWS($J$2:J756),$J$2:$J$1001,0),0), INDEX($Q$1004:$U$1004,1,MATCH(COLUMNS($Q$1006:T1006),$Q$1006:$U$1006,0)))),"Fix")))</f>
        <v xml:space="preserve"> </v>
      </c>
      <c r="F756" s="3" t="str">
        <f ca="1">IF(OR(INDEX($K$2:$K$1001,MATCH(ROWS($J$2:J756),$J$2:$J$1001,0),1)&gt;=100000,INDEX($Q$1005:$U$1005,1,MATCH(COLUMNS($Q$1006:U1006),$Q$1006:$U$1006,0))&gt;=100000), " ",IF(INDEX($Q$2:$U$1001,MATCH(ROWS($J$2:J756),$J$2:$J$1001,0),MATCH(COLUMNS($Q$1006:U1006),$Q$1006:$U$1006,0)), HYPERLINK("#",""), HYPERLINK(CONCATENATE("#Metadata!", ADDRESS(INDEX($L$2:$L$1001,MATCH(ROWS($J$2:J756),$J$2:$J$1001,0),0), INDEX($Q$1004:$U$1004,1,MATCH(COLUMNS($Q$1006:U1006),$Q$1006:$U$1006,0)))),"Fix")))</f>
        <v xml:space="preserve"> </v>
      </c>
      <c r="J756">
        <f ca="1"/>
        <v>755</v>
      </c>
      <c r="K756">
        <v>100756</v>
      </c>
      <c r="L756">
        <v>756</v>
      </c>
      <c r="M756" t="b">
        <f t="shared" si="11"/>
        <v>1</v>
      </c>
      <c r="N756" t="b">
        <f>COUNTBLANK(Metadata!B756:F756)=COLUMNS(Metadata!B756:F756)</f>
        <v>1</v>
      </c>
      <c r="O756" t="str">
        <v/>
      </c>
      <c r="Q756" t="b">
        <f ca="1"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R756" t="b">
        <f>IF(Metadata!C756="",FALSE,TRUE)</f>
        <v>0</v>
      </c>
      <c r="S756" t="b">
        <f>OR(AND(IF(Metadata!D756="",FALSE,TRUE),EXACT(Metadata!D756,"missing: not collected")),AND(IF(Metadata!D756="",FALSE,TRUE),OR(EXACT(Metadata!D756,"t"),EXACT(Metadata!D756,"f"))))</f>
        <v>0</v>
      </c>
      <c r="T756" t="b">
        <f>AND(IF(Metadata!E756="",FALSE,TRUE),OR(EXACT(Metadata!E756,"a"),EXACT(Metadata!E756,"b")))</f>
        <v>0</v>
      </c>
      <c r="U756" t="b">
        <f>OR(AND(IF(Metadata!F756="",FALSE,TRUE),OR(EXACT(Metadata!F756,"missing: not collected"),EXACT(Metadata!F756,"missing: not provided"))),AND(IF(Metadata!F756="",FALSE,TRUE),OR(EXACT(Metadata!F756,"lo"),EXACT(Metadata!F756,"med"),EXACT(Metadata!F756,"hi"))))</f>
        <v>0</v>
      </c>
    </row>
    <row r="757" spans="1:21" x14ac:dyDescent="0.2">
      <c r="A757" s="4" t="str">
        <f ca="1">IF(B757=" "," ",HYPERLINK(CONCATENATE("#metadata!",ADDRESS(INDEX($L$2:$L$1001,MATCH(ROWS($J$2:J757),$J$2:$J$1001,0),0),1)),INDEX($O$2:$O$1001,MATCH(ROWS($J$2:J757),$J$2:$J$1001,0),0)))</f>
        <v xml:space="preserve"> </v>
      </c>
      <c r="B757" s="3" t="str">
        <f ca="1">IF(OR(INDEX($K$2:$K$1001,MATCH(ROWS($J$2:J757),$J$2:$J$1001,0),1)&gt;=100000,INDEX($Q$1005:$U$1005,1,MATCH(COLUMNS($Q$1006:Q1006),$Q$1006:$U$1006,0))&gt;=100000), " ",IF(INDEX($Q$2:$U$1001,MATCH(ROWS($J$2:J757),$J$2:$J$1001,0),MATCH(COLUMNS($Q$1006:Q1006),$Q$1006:$U$1006,0)), HYPERLINK("#",""), HYPERLINK(CONCATENATE("#Metadata!", ADDRESS(INDEX($L$2:$L$1001,MATCH(ROWS($J$2:J757),$J$2:$J$1001,0),0), INDEX($Q$1004:$U$1004,1,MATCH(COLUMNS($Q$1006:Q1006),$Q$1006:$U$1006,0)))),"Fix")))</f>
        <v xml:space="preserve"> </v>
      </c>
      <c r="C757" s="3" t="str">
        <f ca="1">IF(OR(INDEX($K$2:$K$1001,MATCH(ROWS($J$2:J757),$J$2:$J$1001,0),1)&gt;=100000,INDEX($Q$1005:$U$1005,1,MATCH(COLUMNS($Q$1006:R1006),$Q$1006:$U$1006,0))&gt;=100000), " ",IF(INDEX($Q$2:$U$1001,MATCH(ROWS($J$2:J757),$J$2:$J$1001,0),MATCH(COLUMNS($Q$1006:R1006),$Q$1006:$U$1006,0)), HYPERLINK("#",""), HYPERLINK(CONCATENATE("#Metadata!", ADDRESS(INDEX($L$2:$L$1001,MATCH(ROWS($J$2:J757),$J$2:$J$1001,0),0), INDEX($Q$1004:$U$1004,1,MATCH(COLUMNS($Q$1006:R1006),$Q$1006:$U$1006,0)))),"Fix")))</f>
        <v xml:space="preserve"> </v>
      </c>
      <c r="D757" s="3" t="str">
        <f ca="1">IF(OR(INDEX($K$2:$K$1001,MATCH(ROWS($J$2:J757),$J$2:$J$1001,0),1)&gt;=100000,INDEX($Q$1005:$U$1005,1,MATCH(COLUMNS($Q$1006:S1006),$Q$1006:$U$1006,0))&gt;=100000), " ",IF(INDEX($Q$2:$U$1001,MATCH(ROWS($J$2:J757),$J$2:$J$1001,0),MATCH(COLUMNS($Q$1006:S1006),$Q$1006:$U$1006,0)), HYPERLINK("#",""), HYPERLINK(CONCATENATE("#Metadata!", ADDRESS(INDEX($L$2:$L$1001,MATCH(ROWS($J$2:J757),$J$2:$J$1001,0),0), INDEX($Q$1004:$U$1004,1,MATCH(COLUMNS($Q$1006:S1006),$Q$1006:$U$1006,0)))),"Fix")))</f>
        <v xml:space="preserve"> </v>
      </c>
      <c r="E757" s="3" t="str">
        <f ca="1">IF(OR(INDEX($K$2:$K$1001,MATCH(ROWS($J$2:J757),$J$2:$J$1001,0),1)&gt;=100000,INDEX($Q$1005:$U$1005,1,MATCH(COLUMNS($Q$1006:T1006),$Q$1006:$U$1006,0))&gt;=100000), " ",IF(INDEX($Q$2:$U$1001,MATCH(ROWS($J$2:J757),$J$2:$J$1001,0),MATCH(COLUMNS($Q$1006:T1006),$Q$1006:$U$1006,0)), HYPERLINK("#",""), HYPERLINK(CONCATENATE("#Metadata!", ADDRESS(INDEX($L$2:$L$1001,MATCH(ROWS($J$2:J757),$J$2:$J$1001,0),0), INDEX($Q$1004:$U$1004,1,MATCH(COLUMNS($Q$1006:T1006),$Q$1006:$U$1006,0)))),"Fix")))</f>
        <v xml:space="preserve"> </v>
      </c>
      <c r="F757" s="3" t="str">
        <f ca="1">IF(OR(INDEX($K$2:$K$1001,MATCH(ROWS($J$2:J757),$J$2:$J$1001,0),1)&gt;=100000,INDEX($Q$1005:$U$1005,1,MATCH(COLUMNS($Q$1006:U1006),$Q$1006:$U$1006,0))&gt;=100000), " ",IF(INDEX($Q$2:$U$1001,MATCH(ROWS($J$2:J757),$J$2:$J$1001,0),MATCH(COLUMNS($Q$1006:U1006),$Q$1006:$U$1006,0)), HYPERLINK("#",""), HYPERLINK(CONCATENATE("#Metadata!", ADDRESS(INDEX($L$2:$L$1001,MATCH(ROWS($J$2:J757),$J$2:$J$1001,0),0), INDEX($Q$1004:$U$1004,1,MATCH(COLUMNS($Q$1006:U1006),$Q$1006:$U$1006,0)))),"Fix")))</f>
        <v xml:space="preserve"> </v>
      </c>
      <c r="J757">
        <f ca="1"/>
        <v>756</v>
      </c>
      <c r="K757">
        <v>100757</v>
      </c>
      <c r="L757">
        <v>757</v>
      </c>
      <c r="M757" t="b">
        <f t="shared" si="11"/>
        <v>1</v>
      </c>
      <c r="N757" t="b">
        <f>COUNTBLANK(Metadata!B757:F757)=COLUMNS(Metadata!B757:F757)</f>
        <v>1</v>
      </c>
      <c r="O757" t="str">
        <v/>
      </c>
      <c r="Q757" t="b">
        <f ca="1"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R757" t="b">
        <f>IF(Metadata!C757="",FALSE,TRUE)</f>
        <v>0</v>
      </c>
      <c r="S757" t="b">
        <f>OR(AND(IF(Metadata!D757="",FALSE,TRUE),EXACT(Metadata!D757,"missing: not collected")),AND(IF(Metadata!D757="",FALSE,TRUE),OR(EXACT(Metadata!D757,"t"),EXACT(Metadata!D757,"f"))))</f>
        <v>0</v>
      </c>
      <c r="T757" t="b">
        <f>AND(IF(Metadata!E757="",FALSE,TRUE),OR(EXACT(Metadata!E757,"a"),EXACT(Metadata!E757,"b")))</f>
        <v>0</v>
      </c>
      <c r="U757" t="b">
        <f>OR(AND(IF(Metadata!F757="",FALSE,TRUE),OR(EXACT(Metadata!F757,"missing: not collected"),EXACT(Metadata!F757,"missing: not provided"))),AND(IF(Metadata!F757="",FALSE,TRUE),OR(EXACT(Metadata!F757,"lo"),EXACT(Metadata!F757,"med"),EXACT(Metadata!F757,"hi"))))</f>
        <v>0</v>
      </c>
    </row>
    <row r="758" spans="1:21" x14ac:dyDescent="0.2">
      <c r="A758" s="4" t="str">
        <f ca="1">IF(B758=" "," ",HYPERLINK(CONCATENATE("#metadata!",ADDRESS(INDEX($L$2:$L$1001,MATCH(ROWS($J$2:J758),$J$2:$J$1001,0),0),1)),INDEX($O$2:$O$1001,MATCH(ROWS($J$2:J758),$J$2:$J$1001,0),0)))</f>
        <v xml:space="preserve"> </v>
      </c>
      <c r="B758" s="3" t="str">
        <f ca="1">IF(OR(INDEX($K$2:$K$1001,MATCH(ROWS($J$2:J758),$J$2:$J$1001,0),1)&gt;=100000,INDEX($Q$1005:$U$1005,1,MATCH(COLUMNS($Q$1006:Q1006),$Q$1006:$U$1006,0))&gt;=100000), " ",IF(INDEX($Q$2:$U$1001,MATCH(ROWS($J$2:J758),$J$2:$J$1001,0),MATCH(COLUMNS($Q$1006:Q1006),$Q$1006:$U$1006,0)), HYPERLINK("#",""), HYPERLINK(CONCATENATE("#Metadata!", ADDRESS(INDEX($L$2:$L$1001,MATCH(ROWS($J$2:J758),$J$2:$J$1001,0),0), INDEX($Q$1004:$U$1004,1,MATCH(COLUMNS($Q$1006:Q1006),$Q$1006:$U$1006,0)))),"Fix")))</f>
        <v xml:space="preserve"> </v>
      </c>
      <c r="C758" s="3" t="str">
        <f ca="1">IF(OR(INDEX($K$2:$K$1001,MATCH(ROWS($J$2:J758),$J$2:$J$1001,0),1)&gt;=100000,INDEX($Q$1005:$U$1005,1,MATCH(COLUMNS($Q$1006:R1006),$Q$1006:$U$1006,0))&gt;=100000), " ",IF(INDEX($Q$2:$U$1001,MATCH(ROWS($J$2:J758),$J$2:$J$1001,0),MATCH(COLUMNS($Q$1006:R1006),$Q$1006:$U$1006,0)), HYPERLINK("#",""), HYPERLINK(CONCATENATE("#Metadata!", ADDRESS(INDEX($L$2:$L$1001,MATCH(ROWS($J$2:J758),$J$2:$J$1001,0),0), INDEX($Q$1004:$U$1004,1,MATCH(COLUMNS($Q$1006:R1006),$Q$1006:$U$1006,0)))),"Fix")))</f>
        <v xml:space="preserve"> </v>
      </c>
      <c r="D758" s="3" t="str">
        <f ca="1">IF(OR(INDEX($K$2:$K$1001,MATCH(ROWS($J$2:J758),$J$2:$J$1001,0),1)&gt;=100000,INDEX($Q$1005:$U$1005,1,MATCH(COLUMNS($Q$1006:S1006),$Q$1006:$U$1006,0))&gt;=100000), " ",IF(INDEX($Q$2:$U$1001,MATCH(ROWS($J$2:J758),$J$2:$J$1001,0),MATCH(COLUMNS($Q$1006:S1006),$Q$1006:$U$1006,0)), HYPERLINK("#",""), HYPERLINK(CONCATENATE("#Metadata!", ADDRESS(INDEX($L$2:$L$1001,MATCH(ROWS($J$2:J758),$J$2:$J$1001,0),0), INDEX($Q$1004:$U$1004,1,MATCH(COLUMNS($Q$1006:S1006),$Q$1006:$U$1006,0)))),"Fix")))</f>
        <v xml:space="preserve"> </v>
      </c>
      <c r="E758" s="3" t="str">
        <f ca="1">IF(OR(INDEX($K$2:$K$1001,MATCH(ROWS($J$2:J758),$J$2:$J$1001,0),1)&gt;=100000,INDEX($Q$1005:$U$1005,1,MATCH(COLUMNS($Q$1006:T1006),$Q$1006:$U$1006,0))&gt;=100000), " ",IF(INDEX($Q$2:$U$1001,MATCH(ROWS($J$2:J758),$J$2:$J$1001,0),MATCH(COLUMNS($Q$1006:T1006),$Q$1006:$U$1006,0)), HYPERLINK("#",""), HYPERLINK(CONCATENATE("#Metadata!", ADDRESS(INDEX($L$2:$L$1001,MATCH(ROWS($J$2:J758),$J$2:$J$1001,0),0), INDEX($Q$1004:$U$1004,1,MATCH(COLUMNS($Q$1006:T1006),$Q$1006:$U$1006,0)))),"Fix")))</f>
        <v xml:space="preserve"> </v>
      </c>
      <c r="F758" s="3" t="str">
        <f ca="1">IF(OR(INDEX($K$2:$K$1001,MATCH(ROWS($J$2:J758),$J$2:$J$1001,0),1)&gt;=100000,INDEX($Q$1005:$U$1005,1,MATCH(COLUMNS($Q$1006:U1006),$Q$1006:$U$1006,0))&gt;=100000), " ",IF(INDEX($Q$2:$U$1001,MATCH(ROWS($J$2:J758),$J$2:$J$1001,0),MATCH(COLUMNS($Q$1006:U1006),$Q$1006:$U$1006,0)), HYPERLINK("#",""), HYPERLINK(CONCATENATE("#Metadata!", ADDRESS(INDEX($L$2:$L$1001,MATCH(ROWS($J$2:J758),$J$2:$J$1001,0),0), INDEX($Q$1004:$U$1004,1,MATCH(COLUMNS($Q$1006:U1006),$Q$1006:$U$1006,0)))),"Fix")))</f>
        <v xml:space="preserve"> </v>
      </c>
      <c r="J758">
        <f ca="1"/>
        <v>757</v>
      </c>
      <c r="K758">
        <v>100758</v>
      </c>
      <c r="L758">
        <v>758</v>
      </c>
      <c r="M758" t="b">
        <f t="shared" si="11"/>
        <v>1</v>
      </c>
      <c r="N758" t="b">
        <f>COUNTBLANK(Metadata!B758:F758)=COLUMNS(Metadata!B758:F758)</f>
        <v>1</v>
      </c>
      <c r="O758" t="str">
        <v/>
      </c>
      <c r="Q758" t="b">
        <f ca="1"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R758" t="b">
        <f>IF(Metadata!C758="",FALSE,TRUE)</f>
        <v>0</v>
      </c>
      <c r="S758" t="b">
        <f>OR(AND(IF(Metadata!D758="",FALSE,TRUE),EXACT(Metadata!D758,"missing: not collected")),AND(IF(Metadata!D758="",FALSE,TRUE),OR(EXACT(Metadata!D758,"t"),EXACT(Metadata!D758,"f"))))</f>
        <v>0</v>
      </c>
      <c r="T758" t="b">
        <f>AND(IF(Metadata!E758="",FALSE,TRUE),OR(EXACT(Metadata!E758,"a"),EXACT(Metadata!E758,"b")))</f>
        <v>0</v>
      </c>
      <c r="U758" t="b">
        <f>OR(AND(IF(Metadata!F758="",FALSE,TRUE),OR(EXACT(Metadata!F758,"missing: not collected"),EXACT(Metadata!F758,"missing: not provided"))),AND(IF(Metadata!F758="",FALSE,TRUE),OR(EXACT(Metadata!F758,"lo"),EXACT(Metadata!F758,"med"),EXACT(Metadata!F758,"hi"))))</f>
        <v>0</v>
      </c>
    </row>
    <row r="759" spans="1:21" x14ac:dyDescent="0.2">
      <c r="A759" s="4" t="str">
        <f ca="1">IF(B759=" "," ",HYPERLINK(CONCATENATE("#metadata!",ADDRESS(INDEX($L$2:$L$1001,MATCH(ROWS($J$2:J759),$J$2:$J$1001,0),0),1)),INDEX($O$2:$O$1001,MATCH(ROWS($J$2:J759),$J$2:$J$1001,0),0)))</f>
        <v xml:space="preserve"> </v>
      </c>
      <c r="B759" s="3" t="str">
        <f ca="1">IF(OR(INDEX($K$2:$K$1001,MATCH(ROWS($J$2:J759),$J$2:$J$1001,0),1)&gt;=100000,INDEX($Q$1005:$U$1005,1,MATCH(COLUMNS($Q$1006:Q1006),$Q$1006:$U$1006,0))&gt;=100000), " ",IF(INDEX($Q$2:$U$1001,MATCH(ROWS($J$2:J759),$J$2:$J$1001,0),MATCH(COLUMNS($Q$1006:Q1006),$Q$1006:$U$1006,0)), HYPERLINK("#",""), HYPERLINK(CONCATENATE("#Metadata!", ADDRESS(INDEX($L$2:$L$1001,MATCH(ROWS($J$2:J759),$J$2:$J$1001,0),0), INDEX($Q$1004:$U$1004,1,MATCH(COLUMNS($Q$1006:Q1006),$Q$1006:$U$1006,0)))),"Fix")))</f>
        <v xml:space="preserve"> </v>
      </c>
      <c r="C759" s="3" t="str">
        <f ca="1">IF(OR(INDEX($K$2:$K$1001,MATCH(ROWS($J$2:J759),$J$2:$J$1001,0),1)&gt;=100000,INDEX($Q$1005:$U$1005,1,MATCH(COLUMNS($Q$1006:R1006),$Q$1006:$U$1006,0))&gt;=100000), " ",IF(INDEX($Q$2:$U$1001,MATCH(ROWS($J$2:J759),$J$2:$J$1001,0),MATCH(COLUMNS($Q$1006:R1006),$Q$1006:$U$1006,0)), HYPERLINK("#",""), HYPERLINK(CONCATENATE("#Metadata!", ADDRESS(INDEX($L$2:$L$1001,MATCH(ROWS($J$2:J759),$J$2:$J$1001,0),0), INDEX($Q$1004:$U$1004,1,MATCH(COLUMNS($Q$1006:R1006),$Q$1006:$U$1006,0)))),"Fix")))</f>
        <v xml:space="preserve"> </v>
      </c>
      <c r="D759" s="3" t="str">
        <f ca="1">IF(OR(INDEX($K$2:$K$1001,MATCH(ROWS($J$2:J759),$J$2:$J$1001,0),1)&gt;=100000,INDEX($Q$1005:$U$1005,1,MATCH(COLUMNS($Q$1006:S1006),$Q$1006:$U$1006,0))&gt;=100000), " ",IF(INDEX($Q$2:$U$1001,MATCH(ROWS($J$2:J759),$J$2:$J$1001,0),MATCH(COLUMNS($Q$1006:S1006),$Q$1006:$U$1006,0)), HYPERLINK("#",""), HYPERLINK(CONCATENATE("#Metadata!", ADDRESS(INDEX($L$2:$L$1001,MATCH(ROWS($J$2:J759),$J$2:$J$1001,0),0), INDEX($Q$1004:$U$1004,1,MATCH(COLUMNS($Q$1006:S1006),$Q$1006:$U$1006,0)))),"Fix")))</f>
        <v xml:space="preserve"> </v>
      </c>
      <c r="E759" s="3" t="str">
        <f ca="1">IF(OR(INDEX($K$2:$K$1001,MATCH(ROWS($J$2:J759),$J$2:$J$1001,0),1)&gt;=100000,INDEX($Q$1005:$U$1005,1,MATCH(COLUMNS($Q$1006:T1006),$Q$1006:$U$1006,0))&gt;=100000), " ",IF(INDEX($Q$2:$U$1001,MATCH(ROWS($J$2:J759),$J$2:$J$1001,0),MATCH(COLUMNS($Q$1006:T1006),$Q$1006:$U$1006,0)), HYPERLINK("#",""), HYPERLINK(CONCATENATE("#Metadata!", ADDRESS(INDEX($L$2:$L$1001,MATCH(ROWS($J$2:J759),$J$2:$J$1001,0),0), INDEX($Q$1004:$U$1004,1,MATCH(COLUMNS($Q$1006:T1006),$Q$1006:$U$1006,0)))),"Fix")))</f>
        <v xml:space="preserve"> </v>
      </c>
      <c r="F759" s="3" t="str">
        <f ca="1">IF(OR(INDEX($K$2:$K$1001,MATCH(ROWS($J$2:J759),$J$2:$J$1001,0),1)&gt;=100000,INDEX($Q$1005:$U$1005,1,MATCH(COLUMNS($Q$1006:U1006),$Q$1006:$U$1006,0))&gt;=100000), " ",IF(INDEX($Q$2:$U$1001,MATCH(ROWS($J$2:J759),$J$2:$J$1001,0),MATCH(COLUMNS($Q$1006:U1006),$Q$1006:$U$1006,0)), HYPERLINK("#",""), HYPERLINK(CONCATENATE("#Metadata!", ADDRESS(INDEX($L$2:$L$1001,MATCH(ROWS($J$2:J759),$J$2:$J$1001,0),0), INDEX($Q$1004:$U$1004,1,MATCH(COLUMNS($Q$1006:U1006),$Q$1006:$U$1006,0)))),"Fix")))</f>
        <v xml:space="preserve"> </v>
      </c>
      <c r="J759">
        <f ca="1"/>
        <v>758</v>
      </c>
      <c r="K759">
        <v>100759</v>
      </c>
      <c r="L759">
        <v>759</v>
      </c>
      <c r="M759" t="b">
        <f t="shared" si="11"/>
        <v>1</v>
      </c>
      <c r="N759" t="b">
        <f>COUNTBLANK(Metadata!B759:F759)=COLUMNS(Metadata!B759:F759)</f>
        <v>1</v>
      </c>
      <c r="O759" t="str">
        <v/>
      </c>
      <c r="Q759" t="b">
        <f ca="1"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R759" t="b">
        <f>IF(Metadata!C759="",FALSE,TRUE)</f>
        <v>0</v>
      </c>
      <c r="S759" t="b">
        <f>OR(AND(IF(Metadata!D759="",FALSE,TRUE),EXACT(Metadata!D759,"missing: not collected")),AND(IF(Metadata!D759="",FALSE,TRUE),OR(EXACT(Metadata!D759,"t"),EXACT(Metadata!D759,"f"))))</f>
        <v>0</v>
      </c>
      <c r="T759" t="b">
        <f>AND(IF(Metadata!E759="",FALSE,TRUE),OR(EXACT(Metadata!E759,"a"),EXACT(Metadata!E759,"b")))</f>
        <v>0</v>
      </c>
      <c r="U759" t="b">
        <f>OR(AND(IF(Metadata!F759="",FALSE,TRUE),OR(EXACT(Metadata!F759,"missing: not collected"),EXACT(Metadata!F759,"missing: not provided"))),AND(IF(Metadata!F759="",FALSE,TRUE),OR(EXACT(Metadata!F759,"lo"),EXACT(Metadata!F759,"med"),EXACT(Metadata!F759,"hi"))))</f>
        <v>0</v>
      </c>
    </row>
    <row r="760" spans="1:21" x14ac:dyDescent="0.2">
      <c r="A760" s="4" t="str">
        <f ca="1">IF(B760=" "," ",HYPERLINK(CONCATENATE("#metadata!",ADDRESS(INDEX($L$2:$L$1001,MATCH(ROWS($J$2:J760),$J$2:$J$1001,0),0),1)),INDEX($O$2:$O$1001,MATCH(ROWS($J$2:J760),$J$2:$J$1001,0),0)))</f>
        <v xml:space="preserve"> </v>
      </c>
      <c r="B760" s="3" t="str">
        <f ca="1">IF(OR(INDEX($K$2:$K$1001,MATCH(ROWS($J$2:J760),$J$2:$J$1001,0),1)&gt;=100000,INDEX($Q$1005:$U$1005,1,MATCH(COLUMNS($Q$1006:Q1006),$Q$1006:$U$1006,0))&gt;=100000), " ",IF(INDEX($Q$2:$U$1001,MATCH(ROWS($J$2:J760),$J$2:$J$1001,0),MATCH(COLUMNS($Q$1006:Q1006),$Q$1006:$U$1006,0)), HYPERLINK("#",""), HYPERLINK(CONCATENATE("#Metadata!", ADDRESS(INDEX($L$2:$L$1001,MATCH(ROWS($J$2:J760),$J$2:$J$1001,0),0), INDEX($Q$1004:$U$1004,1,MATCH(COLUMNS($Q$1006:Q1006),$Q$1006:$U$1006,0)))),"Fix")))</f>
        <v xml:space="preserve"> </v>
      </c>
      <c r="C760" s="3" t="str">
        <f ca="1">IF(OR(INDEX($K$2:$K$1001,MATCH(ROWS($J$2:J760),$J$2:$J$1001,0),1)&gt;=100000,INDEX($Q$1005:$U$1005,1,MATCH(COLUMNS($Q$1006:R1006),$Q$1006:$U$1006,0))&gt;=100000), " ",IF(INDEX($Q$2:$U$1001,MATCH(ROWS($J$2:J760),$J$2:$J$1001,0),MATCH(COLUMNS($Q$1006:R1006),$Q$1006:$U$1006,0)), HYPERLINK("#",""), HYPERLINK(CONCATENATE("#Metadata!", ADDRESS(INDEX($L$2:$L$1001,MATCH(ROWS($J$2:J760),$J$2:$J$1001,0),0), INDEX($Q$1004:$U$1004,1,MATCH(COLUMNS($Q$1006:R1006),$Q$1006:$U$1006,0)))),"Fix")))</f>
        <v xml:space="preserve"> </v>
      </c>
      <c r="D760" s="3" t="str">
        <f ca="1">IF(OR(INDEX($K$2:$K$1001,MATCH(ROWS($J$2:J760),$J$2:$J$1001,0),1)&gt;=100000,INDEX($Q$1005:$U$1005,1,MATCH(COLUMNS($Q$1006:S1006),$Q$1006:$U$1006,0))&gt;=100000), " ",IF(INDEX($Q$2:$U$1001,MATCH(ROWS($J$2:J760),$J$2:$J$1001,0),MATCH(COLUMNS($Q$1006:S1006),$Q$1006:$U$1006,0)), HYPERLINK("#",""), HYPERLINK(CONCATENATE("#Metadata!", ADDRESS(INDEX($L$2:$L$1001,MATCH(ROWS($J$2:J760),$J$2:$J$1001,0),0), INDEX($Q$1004:$U$1004,1,MATCH(COLUMNS($Q$1006:S1006),$Q$1006:$U$1006,0)))),"Fix")))</f>
        <v xml:space="preserve"> </v>
      </c>
      <c r="E760" s="3" t="str">
        <f ca="1">IF(OR(INDEX($K$2:$K$1001,MATCH(ROWS($J$2:J760),$J$2:$J$1001,0),1)&gt;=100000,INDEX($Q$1005:$U$1005,1,MATCH(COLUMNS($Q$1006:T1006),$Q$1006:$U$1006,0))&gt;=100000), " ",IF(INDEX($Q$2:$U$1001,MATCH(ROWS($J$2:J760),$J$2:$J$1001,0),MATCH(COLUMNS($Q$1006:T1006),$Q$1006:$U$1006,0)), HYPERLINK("#",""), HYPERLINK(CONCATENATE("#Metadata!", ADDRESS(INDEX($L$2:$L$1001,MATCH(ROWS($J$2:J760),$J$2:$J$1001,0),0), INDEX($Q$1004:$U$1004,1,MATCH(COLUMNS($Q$1006:T1006),$Q$1006:$U$1006,0)))),"Fix")))</f>
        <v xml:space="preserve"> </v>
      </c>
      <c r="F760" s="3" t="str">
        <f ca="1">IF(OR(INDEX($K$2:$K$1001,MATCH(ROWS($J$2:J760),$J$2:$J$1001,0),1)&gt;=100000,INDEX($Q$1005:$U$1005,1,MATCH(COLUMNS($Q$1006:U1006),$Q$1006:$U$1006,0))&gt;=100000), " ",IF(INDEX($Q$2:$U$1001,MATCH(ROWS($J$2:J760),$J$2:$J$1001,0),MATCH(COLUMNS($Q$1006:U1006),$Q$1006:$U$1006,0)), HYPERLINK("#",""), HYPERLINK(CONCATENATE("#Metadata!", ADDRESS(INDEX($L$2:$L$1001,MATCH(ROWS($J$2:J760),$J$2:$J$1001,0),0), INDEX($Q$1004:$U$1004,1,MATCH(COLUMNS($Q$1006:U1006),$Q$1006:$U$1006,0)))),"Fix")))</f>
        <v xml:space="preserve"> </v>
      </c>
      <c r="J760">
        <f ca="1"/>
        <v>759</v>
      </c>
      <c r="K760">
        <v>100760</v>
      </c>
      <c r="L760">
        <v>760</v>
      </c>
      <c r="M760" t="b">
        <f t="shared" si="11"/>
        <v>1</v>
      </c>
      <c r="N760" t="b">
        <f>COUNTBLANK(Metadata!B760:F760)=COLUMNS(Metadata!B760:F760)</f>
        <v>1</v>
      </c>
      <c r="O760" t="str">
        <v/>
      </c>
      <c r="Q760" t="b">
        <f ca="1"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R760" t="b">
        <f>IF(Metadata!C760="",FALSE,TRUE)</f>
        <v>0</v>
      </c>
      <c r="S760" t="b">
        <f>OR(AND(IF(Metadata!D760="",FALSE,TRUE),EXACT(Metadata!D760,"missing: not collected")),AND(IF(Metadata!D760="",FALSE,TRUE),OR(EXACT(Metadata!D760,"t"),EXACT(Metadata!D760,"f"))))</f>
        <v>0</v>
      </c>
      <c r="T760" t="b">
        <f>AND(IF(Metadata!E760="",FALSE,TRUE),OR(EXACT(Metadata!E760,"a"),EXACT(Metadata!E760,"b")))</f>
        <v>0</v>
      </c>
      <c r="U760" t="b">
        <f>OR(AND(IF(Metadata!F760="",FALSE,TRUE),OR(EXACT(Metadata!F760,"missing: not collected"),EXACT(Metadata!F760,"missing: not provided"))),AND(IF(Metadata!F760="",FALSE,TRUE),OR(EXACT(Metadata!F760,"lo"),EXACT(Metadata!F760,"med"),EXACT(Metadata!F760,"hi"))))</f>
        <v>0</v>
      </c>
    </row>
    <row r="761" spans="1:21" x14ac:dyDescent="0.2">
      <c r="A761" s="4" t="str">
        <f ca="1">IF(B761=" "," ",HYPERLINK(CONCATENATE("#metadata!",ADDRESS(INDEX($L$2:$L$1001,MATCH(ROWS($J$2:J761),$J$2:$J$1001,0),0),1)),INDEX($O$2:$O$1001,MATCH(ROWS($J$2:J761),$J$2:$J$1001,0),0)))</f>
        <v xml:space="preserve"> </v>
      </c>
      <c r="B761" s="3" t="str">
        <f ca="1">IF(OR(INDEX($K$2:$K$1001,MATCH(ROWS($J$2:J761),$J$2:$J$1001,0),1)&gt;=100000,INDEX($Q$1005:$U$1005,1,MATCH(COLUMNS($Q$1006:Q1006),$Q$1006:$U$1006,0))&gt;=100000), " ",IF(INDEX($Q$2:$U$1001,MATCH(ROWS($J$2:J761),$J$2:$J$1001,0),MATCH(COLUMNS($Q$1006:Q1006),$Q$1006:$U$1006,0)), HYPERLINK("#",""), HYPERLINK(CONCATENATE("#Metadata!", ADDRESS(INDEX($L$2:$L$1001,MATCH(ROWS($J$2:J761),$J$2:$J$1001,0),0), INDEX($Q$1004:$U$1004,1,MATCH(COLUMNS($Q$1006:Q1006),$Q$1006:$U$1006,0)))),"Fix")))</f>
        <v xml:space="preserve"> </v>
      </c>
      <c r="C761" s="3" t="str">
        <f ca="1">IF(OR(INDEX($K$2:$K$1001,MATCH(ROWS($J$2:J761),$J$2:$J$1001,0),1)&gt;=100000,INDEX($Q$1005:$U$1005,1,MATCH(COLUMNS($Q$1006:R1006),$Q$1006:$U$1006,0))&gt;=100000), " ",IF(INDEX($Q$2:$U$1001,MATCH(ROWS($J$2:J761),$J$2:$J$1001,0),MATCH(COLUMNS($Q$1006:R1006),$Q$1006:$U$1006,0)), HYPERLINK("#",""), HYPERLINK(CONCATENATE("#Metadata!", ADDRESS(INDEX($L$2:$L$1001,MATCH(ROWS($J$2:J761),$J$2:$J$1001,0),0), INDEX($Q$1004:$U$1004,1,MATCH(COLUMNS($Q$1006:R1006),$Q$1006:$U$1006,0)))),"Fix")))</f>
        <v xml:space="preserve"> </v>
      </c>
      <c r="D761" s="3" t="str">
        <f ca="1">IF(OR(INDEX($K$2:$K$1001,MATCH(ROWS($J$2:J761),$J$2:$J$1001,0),1)&gt;=100000,INDEX($Q$1005:$U$1005,1,MATCH(COLUMNS($Q$1006:S1006),$Q$1006:$U$1006,0))&gt;=100000), " ",IF(INDEX($Q$2:$U$1001,MATCH(ROWS($J$2:J761),$J$2:$J$1001,0),MATCH(COLUMNS($Q$1006:S1006),$Q$1006:$U$1006,0)), HYPERLINK("#",""), HYPERLINK(CONCATENATE("#Metadata!", ADDRESS(INDEX($L$2:$L$1001,MATCH(ROWS($J$2:J761),$J$2:$J$1001,0),0), INDEX($Q$1004:$U$1004,1,MATCH(COLUMNS($Q$1006:S1006),$Q$1006:$U$1006,0)))),"Fix")))</f>
        <v xml:space="preserve"> </v>
      </c>
      <c r="E761" s="3" t="str">
        <f ca="1">IF(OR(INDEX($K$2:$K$1001,MATCH(ROWS($J$2:J761),$J$2:$J$1001,0),1)&gt;=100000,INDEX($Q$1005:$U$1005,1,MATCH(COLUMNS($Q$1006:T1006),$Q$1006:$U$1006,0))&gt;=100000), " ",IF(INDEX($Q$2:$U$1001,MATCH(ROWS($J$2:J761),$J$2:$J$1001,0),MATCH(COLUMNS($Q$1006:T1006),$Q$1006:$U$1006,0)), HYPERLINK("#",""), HYPERLINK(CONCATENATE("#Metadata!", ADDRESS(INDEX($L$2:$L$1001,MATCH(ROWS($J$2:J761),$J$2:$J$1001,0),0), INDEX($Q$1004:$U$1004,1,MATCH(COLUMNS($Q$1006:T1006),$Q$1006:$U$1006,0)))),"Fix")))</f>
        <v xml:space="preserve"> </v>
      </c>
      <c r="F761" s="3" t="str">
        <f ca="1">IF(OR(INDEX($K$2:$K$1001,MATCH(ROWS($J$2:J761),$J$2:$J$1001,0),1)&gt;=100000,INDEX($Q$1005:$U$1005,1,MATCH(COLUMNS($Q$1006:U1006),$Q$1006:$U$1006,0))&gt;=100000), " ",IF(INDEX($Q$2:$U$1001,MATCH(ROWS($J$2:J761),$J$2:$J$1001,0),MATCH(COLUMNS($Q$1006:U1006),$Q$1006:$U$1006,0)), HYPERLINK("#",""), HYPERLINK(CONCATENATE("#Metadata!", ADDRESS(INDEX($L$2:$L$1001,MATCH(ROWS($J$2:J761),$J$2:$J$1001,0),0), INDEX($Q$1004:$U$1004,1,MATCH(COLUMNS($Q$1006:U1006),$Q$1006:$U$1006,0)))),"Fix")))</f>
        <v xml:space="preserve"> </v>
      </c>
      <c r="J761">
        <f ca="1"/>
        <v>760</v>
      </c>
      <c r="K761">
        <v>100761</v>
      </c>
      <c r="L761">
        <v>761</v>
      </c>
      <c r="M761" t="b">
        <f t="shared" si="11"/>
        <v>1</v>
      </c>
      <c r="N761" t="b">
        <f>COUNTBLANK(Metadata!B761:F761)=COLUMNS(Metadata!B761:F761)</f>
        <v>1</v>
      </c>
      <c r="O761" t="str">
        <v/>
      </c>
      <c r="Q761" t="b">
        <f ca="1"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R761" t="b">
        <f>IF(Metadata!C761="",FALSE,TRUE)</f>
        <v>0</v>
      </c>
      <c r="S761" t="b">
        <f>OR(AND(IF(Metadata!D761="",FALSE,TRUE),EXACT(Metadata!D761,"missing: not collected")),AND(IF(Metadata!D761="",FALSE,TRUE),OR(EXACT(Metadata!D761,"t"),EXACT(Metadata!D761,"f"))))</f>
        <v>0</v>
      </c>
      <c r="T761" t="b">
        <f>AND(IF(Metadata!E761="",FALSE,TRUE),OR(EXACT(Metadata!E761,"a"),EXACT(Metadata!E761,"b")))</f>
        <v>0</v>
      </c>
      <c r="U761" t="b">
        <f>OR(AND(IF(Metadata!F761="",FALSE,TRUE),OR(EXACT(Metadata!F761,"missing: not collected"),EXACT(Metadata!F761,"missing: not provided"))),AND(IF(Metadata!F761="",FALSE,TRUE),OR(EXACT(Metadata!F761,"lo"),EXACT(Metadata!F761,"med"),EXACT(Metadata!F761,"hi"))))</f>
        <v>0</v>
      </c>
    </row>
    <row r="762" spans="1:21" x14ac:dyDescent="0.2">
      <c r="A762" s="4" t="str">
        <f ca="1">IF(B762=" "," ",HYPERLINK(CONCATENATE("#metadata!",ADDRESS(INDEX($L$2:$L$1001,MATCH(ROWS($J$2:J762),$J$2:$J$1001,0),0),1)),INDEX($O$2:$O$1001,MATCH(ROWS($J$2:J762),$J$2:$J$1001,0),0)))</f>
        <v xml:space="preserve"> </v>
      </c>
      <c r="B762" s="3" t="str">
        <f ca="1">IF(OR(INDEX($K$2:$K$1001,MATCH(ROWS($J$2:J762),$J$2:$J$1001,0),1)&gt;=100000,INDEX($Q$1005:$U$1005,1,MATCH(COLUMNS($Q$1006:Q1006),$Q$1006:$U$1006,0))&gt;=100000), " ",IF(INDEX($Q$2:$U$1001,MATCH(ROWS($J$2:J762),$J$2:$J$1001,0),MATCH(COLUMNS($Q$1006:Q1006),$Q$1006:$U$1006,0)), HYPERLINK("#",""), HYPERLINK(CONCATENATE("#Metadata!", ADDRESS(INDEX($L$2:$L$1001,MATCH(ROWS($J$2:J762),$J$2:$J$1001,0),0), INDEX($Q$1004:$U$1004,1,MATCH(COLUMNS($Q$1006:Q1006),$Q$1006:$U$1006,0)))),"Fix")))</f>
        <v xml:space="preserve"> </v>
      </c>
      <c r="C762" s="3" t="str">
        <f ca="1">IF(OR(INDEX($K$2:$K$1001,MATCH(ROWS($J$2:J762),$J$2:$J$1001,0),1)&gt;=100000,INDEX($Q$1005:$U$1005,1,MATCH(COLUMNS($Q$1006:R1006),$Q$1006:$U$1006,0))&gt;=100000), " ",IF(INDEX($Q$2:$U$1001,MATCH(ROWS($J$2:J762),$J$2:$J$1001,0),MATCH(COLUMNS($Q$1006:R1006),$Q$1006:$U$1006,0)), HYPERLINK("#",""), HYPERLINK(CONCATENATE("#Metadata!", ADDRESS(INDEX($L$2:$L$1001,MATCH(ROWS($J$2:J762),$J$2:$J$1001,0),0), INDEX($Q$1004:$U$1004,1,MATCH(COLUMNS($Q$1006:R1006),$Q$1006:$U$1006,0)))),"Fix")))</f>
        <v xml:space="preserve"> </v>
      </c>
      <c r="D762" s="3" t="str">
        <f ca="1">IF(OR(INDEX($K$2:$K$1001,MATCH(ROWS($J$2:J762),$J$2:$J$1001,0),1)&gt;=100000,INDEX($Q$1005:$U$1005,1,MATCH(COLUMNS($Q$1006:S1006),$Q$1006:$U$1006,0))&gt;=100000), " ",IF(INDEX($Q$2:$U$1001,MATCH(ROWS($J$2:J762),$J$2:$J$1001,0),MATCH(COLUMNS($Q$1006:S1006),$Q$1006:$U$1006,0)), HYPERLINK("#",""), HYPERLINK(CONCATENATE("#Metadata!", ADDRESS(INDEX($L$2:$L$1001,MATCH(ROWS($J$2:J762),$J$2:$J$1001,0),0), INDEX($Q$1004:$U$1004,1,MATCH(COLUMNS($Q$1006:S1006),$Q$1006:$U$1006,0)))),"Fix")))</f>
        <v xml:space="preserve"> </v>
      </c>
      <c r="E762" s="3" t="str">
        <f ca="1">IF(OR(INDEX($K$2:$K$1001,MATCH(ROWS($J$2:J762),$J$2:$J$1001,0),1)&gt;=100000,INDEX($Q$1005:$U$1005,1,MATCH(COLUMNS($Q$1006:T1006),$Q$1006:$U$1006,0))&gt;=100000), " ",IF(INDEX($Q$2:$U$1001,MATCH(ROWS($J$2:J762),$J$2:$J$1001,0),MATCH(COLUMNS($Q$1006:T1006),$Q$1006:$U$1006,0)), HYPERLINK("#",""), HYPERLINK(CONCATENATE("#Metadata!", ADDRESS(INDEX($L$2:$L$1001,MATCH(ROWS($J$2:J762),$J$2:$J$1001,0),0), INDEX($Q$1004:$U$1004,1,MATCH(COLUMNS($Q$1006:T1006),$Q$1006:$U$1006,0)))),"Fix")))</f>
        <v xml:space="preserve"> </v>
      </c>
      <c r="F762" s="3" t="str">
        <f ca="1">IF(OR(INDEX($K$2:$K$1001,MATCH(ROWS($J$2:J762),$J$2:$J$1001,0),1)&gt;=100000,INDEX($Q$1005:$U$1005,1,MATCH(COLUMNS($Q$1006:U1006),$Q$1006:$U$1006,0))&gt;=100000), " ",IF(INDEX($Q$2:$U$1001,MATCH(ROWS($J$2:J762),$J$2:$J$1001,0),MATCH(COLUMNS($Q$1006:U1006),$Q$1006:$U$1006,0)), HYPERLINK("#",""), HYPERLINK(CONCATENATE("#Metadata!", ADDRESS(INDEX($L$2:$L$1001,MATCH(ROWS($J$2:J762),$J$2:$J$1001,0),0), INDEX($Q$1004:$U$1004,1,MATCH(COLUMNS($Q$1006:U1006),$Q$1006:$U$1006,0)))),"Fix")))</f>
        <v xml:space="preserve"> </v>
      </c>
      <c r="J762">
        <f ca="1"/>
        <v>761</v>
      </c>
      <c r="K762">
        <v>100762</v>
      </c>
      <c r="L762">
        <v>762</v>
      </c>
      <c r="M762" t="b">
        <f t="shared" si="11"/>
        <v>1</v>
      </c>
      <c r="N762" t="b">
        <f>COUNTBLANK(Metadata!B762:F762)=COLUMNS(Metadata!B762:F762)</f>
        <v>1</v>
      </c>
      <c r="O762" t="str">
        <v/>
      </c>
      <c r="Q762" t="b">
        <f ca="1"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R762" t="b">
        <f>IF(Metadata!C762="",FALSE,TRUE)</f>
        <v>0</v>
      </c>
      <c r="S762" t="b">
        <f>OR(AND(IF(Metadata!D762="",FALSE,TRUE),EXACT(Metadata!D762,"missing: not collected")),AND(IF(Metadata!D762="",FALSE,TRUE),OR(EXACT(Metadata!D762,"t"),EXACT(Metadata!D762,"f"))))</f>
        <v>0</v>
      </c>
      <c r="T762" t="b">
        <f>AND(IF(Metadata!E762="",FALSE,TRUE),OR(EXACT(Metadata!E762,"a"),EXACT(Metadata!E762,"b")))</f>
        <v>0</v>
      </c>
      <c r="U762" t="b">
        <f>OR(AND(IF(Metadata!F762="",FALSE,TRUE),OR(EXACT(Metadata!F762,"missing: not collected"),EXACT(Metadata!F762,"missing: not provided"))),AND(IF(Metadata!F762="",FALSE,TRUE),OR(EXACT(Metadata!F762,"lo"),EXACT(Metadata!F762,"med"),EXACT(Metadata!F762,"hi"))))</f>
        <v>0</v>
      </c>
    </row>
    <row r="763" spans="1:21" x14ac:dyDescent="0.2">
      <c r="A763" s="4" t="str">
        <f ca="1">IF(B763=" "," ",HYPERLINK(CONCATENATE("#metadata!",ADDRESS(INDEX($L$2:$L$1001,MATCH(ROWS($J$2:J763),$J$2:$J$1001,0),0),1)),INDEX($O$2:$O$1001,MATCH(ROWS($J$2:J763),$J$2:$J$1001,0),0)))</f>
        <v xml:space="preserve"> </v>
      </c>
      <c r="B763" s="3" t="str">
        <f ca="1">IF(OR(INDEX($K$2:$K$1001,MATCH(ROWS($J$2:J763),$J$2:$J$1001,0),1)&gt;=100000,INDEX($Q$1005:$U$1005,1,MATCH(COLUMNS($Q$1006:Q1006),$Q$1006:$U$1006,0))&gt;=100000), " ",IF(INDEX($Q$2:$U$1001,MATCH(ROWS($J$2:J763),$J$2:$J$1001,0),MATCH(COLUMNS($Q$1006:Q1006),$Q$1006:$U$1006,0)), HYPERLINK("#",""), HYPERLINK(CONCATENATE("#Metadata!", ADDRESS(INDEX($L$2:$L$1001,MATCH(ROWS($J$2:J763),$J$2:$J$1001,0),0), INDEX($Q$1004:$U$1004,1,MATCH(COLUMNS($Q$1006:Q1006),$Q$1006:$U$1006,0)))),"Fix")))</f>
        <v xml:space="preserve"> </v>
      </c>
      <c r="C763" s="3" t="str">
        <f ca="1">IF(OR(INDEX($K$2:$K$1001,MATCH(ROWS($J$2:J763),$J$2:$J$1001,0),1)&gt;=100000,INDEX($Q$1005:$U$1005,1,MATCH(COLUMNS($Q$1006:R1006),$Q$1006:$U$1006,0))&gt;=100000), " ",IF(INDEX($Q$2:$U$1001,MATCH(ROWS($J$2:J763),$J$2:$J$1001,0),MATCH(COLUMNS($Q$1006:R1006),$Q$1006:$U$1006,0)), HYPERLINK("#",""), HYPERLINK(CONCATENATE("#Metadata!", ADDRESS(INDEX($L$2:$L$1001,MATCH(ROWS($J$2:J763),$J$2:$J$1001,0),0), INDEX($Q$1004:$U$1004,1,MATCH(COLUMNS($Q$1006:R1006),$Q$1006:$U$1006,0)))),"Fix")))</f>
        <v xml:space="preserve"> </v>
      </c>
      <c r="D763" s="3" t="str">
        <f ca="1">IF(OR(INDEX($K$2:$K$1001,MATCH(ROWS($J$2:J763),$J$2:$J$1001,0),1)&gt;=100000,INDEX($Q$1005:$U$1005,1,MATCH(COLUMNS($Q$1006:S1006),$Q$1006:$U$1006,0))&gt;=100000), " ",IF(INDEX($Q$2:$U$1001,MATCH(ROWS($J$2:J763),$J$2:$J$1001,0),MATCH(COLUMNS($Q$1006:S1006),$Q$1006:$U$1006,0)), HYPERLINK("#",""), HYPERLINK(CONCATENATE("#Metadata!", ADDRESS(INDEX($L$2:$L$1001,MATCH(ROWS($J$2:J763),$J$2:$J$1001,0),0), INDEX($Q$1004:$U$1004,1,MATCH(COLUMNS($Q$1006:S1006),$Q$1006:$U$1006,0)))),"Fix")))</f>
        <v xml:space="preserve"> </v>
      </c>
      <c r="E763" s="3" t="str">
        <f ca="1">IF(OR(INDEX($K$2:$K$1001,MATCH(ROWS($J$2:J763),$J$2:$J$1001,0),1)&gt;=100000,INDEX($Q$1005:$U$1005,1,MATCH(COLUMNS($Q$1006:T1006),$Q$1006:$U$1006,0))&gt;=100000), " ",IF(INDEX($Q$2:$U$1001,MATCH(ROWS($J$2:J763),$J$2:$J$1001,0),MATCH(COLUMNS($Q$1006:T1006),$Q$1006:$U$1006,0)), HYPERLINK("#",""), HYPERLINK(CONCATENATE("#Metadata!", ADDRESS(INDEX($L$2:$L$1001,MATCH(ROWS($J$2:J763),$J$2:$J$1001,0),0), INDEX($Q$1004:$U$1004,1,MATCH(COLUMNS($Q$1006:T1006),$Q$1006:$U$1006,0)))),"Fix")))</f>
        <v xml:space="preserve"> </v>
      </c>
      <c r="F763" s="3" t="str">
        <f ca="1">IF(OR(INDEX($K$2:$K$1001,MATCH(ROWS($J$2:J763),$J$2:$J$1001,0),1)&gt;=100000,INDEX($Q$1005:$U$1005,1,MATCH(COLUMNS($Q$1006:U1006),$Q$1006:$U$1006,0))&gt;=100000), " ",IF(INDEX($Q$2:$U$1001,MATCH(ROWS($J$2:J763),$J$2:$J$1001,0),MATCH(COLUMNS($Q$1006:U1006),$Q$1006:$U$1006,0)), HYPERLINK("#",""), HYPERLINK(CONCATENATE("#Metadata!", ADDRESS(INDEX($L$2:$L$1001,MATCH(ROWS($J$2:J763),$J$2:$J$1001,0),0), INDEX($Q$1004:$U$1004,1,MATCH(COLUMNS($Q$1006:U1006),$Q$1006:$U$1006,0)))),"Fix")))</f>
        <v xml:space="preserve"> </v>
      </c>
      <c r="J763">
        <f ca="1"/>
        <v>762</v>
      </c>
      <c r="K763">
        <v>100763</v>
      </c>
      <c r="L763">
        <v>763</v>
      </c>
      <c r="M763" t="b">
        <f t="shared" si="11"/>
        <v>1</v>
      </c>
      <c r="N763" t="b">
        <f>COUNTBLANK(Metadata!B763:F763)=COLUMNS(Metadata!B763:F763)</f>
        <v>1</v>
      </c>
      <c r="O763" t="str">
        <v/>
      </c>
      <c r="Q763" t="b">
        <f ca="1"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R763" t="b">
        <f>IF(Metadata!C763="",FALSE,TRUE)</f>
        <v>0</v>
      </c>
      <c r="S763" t="b">
        <f>OR(AND(IF(Metadata!D763="",FALSE,TRUE),EXACT(Metadata!D763,"missing: not collected")),AND(IF(Metadata!D763="",FALSE,TRUE),OR(EXACT(Metadata!D763,"t"),EXACT(Metadata!D763,"f"))))</f>
        <v>0</v>
      </c>
      <c r="T763" t="b">
        <f>AND(IF(Metadata!E763="",FALSE,TRUE),OR(EXACT(Metadata!E763,"a"),EXACT(Metadata!E763,"b")))</f>
        <v>0</v>
      </c>
      <c r="U763" t="b">
        <f>OR(AND(IF(Metadata!F763="",FALSE,TRUE),OR(EXACT(Metadata!F763,"missing: not collected"),EXACT(Metadata!F763,"missing: not provided"))),AND(IF(Metadata!F763="",FALSE,TRUE),OR(EXACT(Metadata!F763,"lo"),EXACT(Metadata!F763,"med"),EXACT(Metadata!F763,"hi"))))</f>
        <v>0</v>
      </c>
    </row>
    <row r="764" spans="1:21" x14ac:dyDescent="0.2">
      <c r="A764" s="4" t="str">
        <f ca="1">IF(B764=" "," ",HYPERLINK(CONCATENATE("#metadata!",ADDRESS(INDEX($L$2:$L$1001,MATCH(ROWS($J$2:J764),$J$2:$J$1001,0),0),1)),INDEX($O$2:$O$1001,MATCH(ROWS($J$2:J764),$J$2:$J$1001,0),0)))</f>
        <v xml:space="preserve"> </v>
      </c>
      <c r="B764" s="3" t="str">
        <f ca="1">IF(OR(INDEX($K$2:$K$1001,MATCH(ROWS($J$2:J764),$J$2:$J$1001,0),1)&gt;=100000,INDEX($Q$1005:$U$1005,1,MATCH(COLUMNS($Q$1006:Q1006),$Q$1006:$U$1006,0))&gt;=100000), " ",IF(INDEX($Q$2:$U$1001,MATCH(ROWS($J$2:J764),$J$2:$J$1001,0),MATCH(COLUMNS($Q$1006:Q1006),$Q$1006:$U$1006,0)), HYPERLINK("#",""), HYPERLINK(CONCATENATE("#Metadata!", ADDRESS(INDEX($L$2:$L$1001,MATCH(ROWS($J$2:J764),$J$2:$J$1001,0),0), INDEX($Q$1004:$U$1004,1,MATCH(COLUMNS($Q$1006:Q1006),$Q$1006:$U$1006,0)))),"Fix")))</f>
        <v xml:space="preserve"> </v>
      </c>
      <c r="C764" s="3" t="str">
        <f ca="1">IF(OR(INDEX($K$2:$K$1001,MATCH(ROWS($J$2:J764),$J$2:$J$1001,0),1)&gt;=100000,INDEX($Q$1005:$U$1005,1,MATCH(COLUMNS($Q$1006:R1006),$Q$1006:$U$1006,0))&gt;=100000), " ",IF(INDEX($Q$2:$U$1001,MATCH(ROWS($J$2:J764),$J$2:$J$1001,0),MATCH(COLUMNS($Q$1006:R1006),$Q$1006:$U$1006,0)), HYPERLINK("#",""), HYPERLINK(CONCATENATE("#Metadata!", ADDRESS(INDEX($L$2:$L$1001,MATCH(ROWS($J$2:J764),$J$2:$J$1001,0),0), INDEX($Q$1004:$U$1004,1,MATCH(COLUMNS($Q$1006:R1006),$Q$1006:$U$1006,0)))),"Fix")))</f>
        <v xml:space="preserve"> </v>
      </c>
      <c r="D764" s="3" t="str">
        <f ca="1">IF(OR(INDEX($K$2:$K$1001,MATCH(ROWS($J$2:J764),$J$2:$J$1001,0),1)&gt;=100000,INDEX($Q$1005:$U$1005,1,MATCH(COLUMNS($Q$1006:S1006),$Q$1006:$U$1006,0))&gt;=100000), " ",IF(INDEX($Q$2:$U$1001,MATCH(ROWS($J$2:J764),$J$2:$J$1001,0),MATCH(COLUMNS($Q$1006:S1006),$Q$1006:$U$1006,0)), HYPERLINK("#",""), HYPERLINK(CONCATENATE("#Metadata!", ADDRESS(INDEX($L$2:$L$1001,MATCH(ROWS($J$2:J764),$J$2:$J$1001,0),0), INDEX($Q$1004:$U$1004,1,MATCH(COLUMNS($Q$1006:S1006),$Q$1006:$U$1006,0)))),"Fix")))</f>
        <v xml:space="preserve"> </v>
      </c>
      <c r="E764" s="3" t="str">
        <f ca="1">IF(OR(INDEX($K$2:$K$1001,MATCH(ROWS($J$2:J764),$J$2:$J$1001,0),1)&gt;=100000,INDEX($Q$1005:$U$1005,1,MATCH(COLUMNS($Q$1006:T1006),$Q$1006:$U$1006,0))&gt;=100000), " ",IF(INDEX($Q$2:$U$1001,MATCH(ROWS($J$2:J764),$J$2:$J$1001,0),MATCH(COLUMNS($Q$1006:T1006),$Q$1006:$U$1006,0)), HYPERLINK("#",""), HYPERLINK(CONCATENATE("#Metadata!", ADDRESS(INDEX($L$2:$L$1001,MATCH(ROWS($J$2:J764),$J$2:$J$1001,0),0), INDEX($Q$1004:$U$1004,1,MATCH(COLUMNS($Q$1006:T1006),$Q$1006:$U$1006,0)))),"Fix")))</f>
        <v xml:space="preserve"> </v>
      </c>
      <c r="F764" s="3" t="str">
        <f ca="1">IF(OR(INDEX($K$2:$K$1001,MATCH(ROWS($J$2:J764),$J$2:$J$1001,0),1)&gt;=100000,INDEX($Q$1005:$U$1005,1,MATCH(COLUMNS($Q$1006:U1006),$Q$1006:$U$1006,0))&gt;=100000), " ",IF(INDEX($Q$2:$U$1001,MATCH(ROWS($J$2:J764),$J$2:$J$1001,0),MATCH(COLUMNS($Q$1006:U1006),$Q$1006:$U$1006,0)), HYPERLINK("#",""), HYPERLINK(CONCATENATE("#Metadata!", ADDRESS(INDEX($L$2:$L$1001,MATCH(ROWS($J$2:J764),$J$2:$J$1001,0),0), INDEX($Q$1004:$U$1004,1,MATCH(COLUMNS($Q$1006:U1006),$Q$1006:$U$1006,0)))),"Fix")))</f>
        <v xml:space="preserve"> </v>
      </c>
      <c r="J764">
        <f ca="1"/>
        <v>763</v>
      </c>
      <c r="K764">
        <v>100764</v>
      </c>
      <c r="L764">
        <v>764</v>
      </c>
      <c r="M764" t="b">
        <f t="shared" si="11"/>
        <v>1</v>
      </c>
      <c r="N764" t="b">
        <f>COUNTBLANK(Metadata!B764:F764)=COLUMNS(Metadata!B764:F764)</f>
        <v>1</v>
      </c>
      <c r="O764" t="str">
        <v/>
      </c>
      <c r="Q764" t="b">
        <f ca="1"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R764" t="b">
        <f>IF(Metadata!C764="",FALSE,TRUE)</f>
        <v>0</v>
      </c>
      <c r="S764" t="b">
        <f>OR(AND(IF(Metadata!D764="",FALSE,TRUE),EXACT(Metadata!D764,"missing: not collected")),AND(IF(Metadata!D764="",FALSE,TRUE),OR(EXACT(Metadata!D764,"t"),EXACT(Metadata!D764,"f"))))</f>
        <v>0</v>
      </c>
      <c r="T764" t="b">
        <f>AND(IF(Metadata!E764="",FALSE,TRUE),OR(EXACT(Metadata!E764,"a"),EXACT(Metadata!E764,"b")))</f>
        <v>0</v>
      </c>
      <c r="U764" t="b">
        <f>OR(AND(IF(Metadata!F764="",FALSE,TRUE),OR(EXACT(Metadata!F764,"missing: not collected"),EXACT(Metadata!F764,"missing: not provided"))),AND(IF(Metadata!F764="",FALSE,TRUE),OR(EXACT(Metadata!F764,"lo"),EXACT(Metadata!F764,"med"),EXACT(Metadata!F764,"hi"))))</f>
        <v>0</v>
      </c>
    </row>
    <row r="765" spans="1:21" x14ac:dyDescent="0.2">
      <c r="A765" s="4" t="str">
        <f ca="1">IF(B765=" "," ",HYPERLINK(CONCATENATE("#metadata!",ADDRESS(INDEX($L$2:$L$1001,MATCH(ROWS($J$2:J765),$J$2:$J$1001,0),0),1)),INDEX($O$2:$O$1001,MATCH(ROWS($J$2:J765),$J$2:$J$1001,0),0)))</f>
        <v xml:space="preserve"> </v>
      </c>
      <c r="B765" s="3" t="str">
        <f ca="1">IF(OR(INDEX($K$2:$K$1001,MATCH(ROWS($J$2:J765),$J$2:$J$1001,0),1)&gt;=100000,INDEX($Q$1005:$U$1005,1,MATCH(COLUMNS($Q$1006:Q1006),$Q$1006:$U$1006,0))&gt;=100000), " ",IF(INDEX($Q$2:$U$1001,MATCH(ROWS($J$2:J765),$J$2:$J$1001,0),MATCH(COLUMNS($Q$1006:Q1006),$Q$1006:$U$1006,0)), HYPERLINK("#",""), HYPERLINK(CONCATENATE("#Metadata!", ADDRESS(INDEX($L$2:$L$1001,MATCH(ROWS($J$2:J765),$J$2:$J$1001,0),0), INDEX($Q$1004:$U$1004,1,MATCH(COLUMNS($Q$1006:Q1006),$Q$1006:$U$1006,0)))),"Fix")))</f>
        <v xml:space="preserve"> </v>
      </c>
      <c r="C765" s="3" t="str">
        <f ca="1">IF(OR(INDEX($K$2:$K$1001,MATCH(ROWS($J$2:J765),$J$2:$J$1001,0),1)&gt;=100000,INDEX($Q$1005:$U$1005,1,MATCH(COLUMNS($Q$1006:R1006),$Q$1006:$U$1006,0))&gt;=100000), " ",IF(INDEX($Q$2:$U$1001,MATCH(ROWS($J$2:J765),$J$2:$J$1001,0),MATCH(COLUMNS($Q$1006:R1006),$Q$1006:$U$1006,0)), HYPERLINK("#",""), HYPERLINK(CONCATENATE("#Metadata!", ADDRESS(INDEX($L$2:$L$1001,MATCH(ROWS($J$2:J765),$J$2:$J$1001,0),0), INDEX($Q$1004:$U$1004,1,MATCH(COLUMNS($Q$1006:R1006),$Q$1006:$U$1006,0)))),"Fix")))</f>
        <v xml:space="preserve"> </v>
      </c>
      <c r="D765" s="3" t="str">
        <f ca="1">IF(OR(INDEX($K$2:$K$1001,MATCH(ROWS($J$2:J765),$J$2:$J$1001,0),1)&gt;=100000,INDEX($Q$1005:$U$1005,1,MATCH(COLUMNS($Q$1006:S1006),$Q$1006:$U$1006,0))&gt;=100000), " ",IF(INDEX($Q$2:$U$1001,MATCH(ROWS($J$2:J765),$J$2:$J$1001,0),MATCH(COLUMNS($Q$1006:S1006),$Q$1006:$U$1006,0)), HYPERLINK("#",""), HYPERLINK(CONCATENATE("#Metadata!", ADDRESS(INDEX($L$2:$L$1001,MATCH(ROWS($J$2:J765),$J$2:$J$1001,0),0), INDEX($Q$1004:$U$1004,1,MATCH(COLUMNS($Q$1006:S1006),$Q$1006:$U$1006,0)))),"Fix")))</f>
        <v xml:space="preserve"> </v>
      </c>
      <c r="E765" s="3" t="str">
        <f ca="1">IF(OR(INDEX($K$2:$K$1001,MATCH(ROWS($J$2:J765),$J$2:$J$1001,0),1)&gt;=100000,INDEX($Q$1005:$U$1005,1,MATCH(COLUMNS($Q$1006:T1006),$Q$1006:$U$1006,0))&gt;=100000), " ",IF(INDEX($Q$2:$U$1001,MATCH(ROWS($J$2:J765),$J$2:$J$1001,0),MATCH(COLUMNS($Q$1006:T1006),$Q$1006:$U$1006,0)), HYPERLINK("#",""), HYPERLINK(CONCATENATE("#Metadata!", ADDRESS(INDEX($L$2:$L$1001,MATCH(ROWS($J$2:J765),$J$2:$J$1001,0),0), INDEX($Q$1004:$U$1004,1,MATCH(COLUMNS($Q$1006:T1006),$Q$1006:$U$1006,0)))),"Fix")))</f>
        <v xml:space="preserve"> </v>
      </c>
      <c r="F765" s="3" t="str">
        <f ca="1">IF(OR(INDEX($K$2:$K$1001,MATCH(ROWS($J$2:J765),$J$2:$J$1001,0),1)&gt;=100000,INDEX($Q$1005:$U$1005,1,MATCH(COLUMNS($Q$1006:U1006),$Q$1006:$U$1006,0))&gt;=100000), " ",IF(INDEX($Q$2:$U$1001,MATCH(ROWS($J$2:J765),$J$2:$J$1001,0),MATCH(COLUMNS($Q$1006:U1006),$Q$1006:$U$1006,0)), HYPERLINK("#",""), HYPERLINK(CONCATENATE("#Metadata!", ADDRESS(INDEX($L$2:$L$1001,MATCH(ROWS($J$2:J765),$J$2:$J$1001,0),0), INDEX($Q$1004:$U$1004,1,MATCH(COLUMNS($Q$1006:U1006),$Q$1006:$U$1006,0)))),"Fix")))</f>
        <v xml:space="preserve"> </v>
      </c>
      <c r="J765">
        <f ca="1"/>
        <v>764</v>
      </c>
      <c r="K765">
        <v>100765</v>
      </c>
      <c r="L765">
        <v>765</v>
      </c>
      <c r="M765" t="b">
        <f t="shared" si="11"/>
        <v>1</v>
      </c>
      <c r="N765" t="b">
        <f>COUNTBLANK(Metadata!B765:F765)=COLUMNS(Metadata!B765:F765)</f>
        <v>1</v>
      </c>
      <c r="O765" t="str">
        <v/>
      </c>
      <c r="Q765" t="b">
        <f ca="1"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R765" t="b">
        <f>IF(Metadata!C765="",FALSE,TRUE)</f>
        <v>0</v>
      </c>
      <c r="S765" t="b">
        <f>OR(AND(IF(Metadata!D765="",FALSE,TRUE),EXACT(Metadata!D765,"missing: not collected")),AND(IF(Metadata!D765="",FALSE,TRUE),OR(EXACT(Metadata!D765,"t"),EXACT(Metadata!D765,"f"))))</f>
        <v>0</v>
      </c>
      <c r="T765" t="b">
        <f>AND(IF(Metadata!E765="",FALSE,TRUE),OR(EXACT(Metadata!E765,"a"),EXACT(Metadata!E765,"b")))</f>
        <v>0</v>
      </c>
      <c r="U765" t="b">
        <f>OR(AND(IF(Metadata!F765="",FALSE,TRUE),OR(EXACT(Metadata!F765,"missing: not collected"),EXACT(Metadata!F765,"missing: not provided"))),AND(IF(Metadata!F765="",FALSE,TRUE),OR(EXACT(Metadata!F765,"lo"),EXACT(Metadata!F765,"med"),EXACT(Metadata!F765,"hi"))))</f>
        <v>0</v>
      </c>
    </row>
    <row r="766" spans="1:21" x14ac:dyDescent="0.2">
      <c r="A766" s="4" t="str">
        <f ca="1">IF(B766=" "," ",HYPERLINK(CONCATENATE("#metadata!",ADDRESS(INDEX($L$2:$L$1001,MATCH(ROWS($J$2:J766),$J$2:$J$1001,0),0),1)),INDEX($O$2:$O$1001,MATCH(ROWS($J$2:J766),$J$2:$J$1001,0),0)))</f>
        <v xml:space="preserve"> </v>
      </c>
      <c r="B766" s="3" t="str">
        <f ca="1">IF(OR(INDEX($K$2:$K$1001,MATCH(ROWS($J$2:J766),$J$2:$J$1001,0),1)&gt;=100000,INDEX($Q$1005:$U$1005,1,MATCH(COLUMNS($Q$1006:Q1006),$Q$1006:$U$1006,0))&gt;=100000), " ",IF(INDEX($Q$2:$U$1001,MATCH(ROWS($J$2:J766),$J$2:$J$1001,0),MATCH(COLUMNS($Q$1006:Q1006),$Q$1006:$U$1006,0)), HYPERLINK("#",""), HYPERLINK(CONCATENATE("#Metadata!", ADDRESS(INDEX($L$2:$L$1001,MATCH(ROWS($J$2:J766),$J$2:$J$1001,0),0), INDEX($Q$1004:$U$1004,1,MATCH(COLUMNS($Q$1006:Q1006),$Q$1006:$U$1006,0)))),"Fix")))</f>
        <v xml:space="preserve"> </v>
      </c>
      <c r="C766" s="3" t="str">
        <f ca="1">IF(OR(INDEX($K$2:$K$1001,MATCH(ROWS($J$2:J766),$J$2:$J$1001,0),1)&gt;=100000,INDEX($Q$1005:$U$1005,1,MATCH(COLUMNS($Q$1006:R1006),$Q$1006:$U$1006,0))&gt;=100000), " ",IF(INDEX($Q$2:$U$1001,MATCH(ROWS($J$2:J766),$J$2:$J$1001,0),MATCH(COLUMNS($Q$1006:R1006),$Q$1006:$U$1006,0)), HYPERLINK("#",""), HYPERLINK(CONCATENATE("#Metadata!", ADDRESS(INDEX($L$2:$L$1001,MATCH(ROWS($J$2:J766),$J$2:$J$1001,0),0), INDEX($Q$1004:$U$1004,1,MATCH(COLUMNS($Q$1006:R1006),$Q$1006:$U$1006,0)))),"Fix")))</f>
        <v xml:space="preserve"> </v>
      </c>
      <c r="D766" s="3" t="str">
        <f ca="1">IF(OR(INDEX($K$2:$K$1001,MATCH(ROWS($J$2:J766),$J$2:$J$1001,0),1)&gt;=100000,INDEX($Q$1005:$U$1005,1,MATCH(COLUMNS($Q$1006:S1006),$Q$1006:$U$1006,0))&gt;=100000), " ",IF(INDEX($Q$2:$U$1001,MATCH(ROWS($J$2:J766),$J$2:$J$1001,0),MATCH(COLUMNS($Q$1006:S1006),$Q$1006:$U$1006,0)), HYPERLINK("#",""), HYPERLINK(CONCATENATE("#Metadata!", ADDRESS(INDEX($L$2:$L$1001,MATCH(ROWS($J$2:J766),$J$2:$J$1001,0),0), INDEX($Q$1004:$U$1004,1,MATCH(COLUMNS($Q$1006:S1006),$Q$1006:$U$1006,0)))),"Fix")))</f>
        <v xml:space="preserve"> </v>
      </c>
      <c r="E766" s="3" t="str">
        <f ca="1">IF(OR(INDEX($K$2:$K$1001,MATCH(ROWS($J$2:J766),$J$2:$J$1001,0),1)&gt;=100000,INDEX($Q$1005:$U$1005,1,MATCH(COLUMNS($Q$1006:T1006),$Q$1006:$U$1006,0))&gt;=100000), " ",IF(INDEX($Q$2:$U$1001,MATCH(ROWS($J$2:J766),$J$2:$J$1001,0),MATCH(COLUMNS($Q$1006:T1006),$Q$1006:$U$1006,0)), HYPERLINK("#",""), HYPERLINK(CONCATENATE("#Metadata!", ADDRESS(INDEX($L$2:$L$1001,MATCH(ROWS($J$2:J766),$J$2:$J$1001,0),0), INDEX($Q$1004:$U$1004,1,MATCH(COLUMNS($Q$1006:T1006),$Q$1006:$U$1006,0)))),"Fix")))</f>
        <v xml:space="preserve"> </v>
      </c>
      <c r="F766" s="3" t="str">
        <f ca="1">IF(OR(INDEX($K$2:$K$1001,MATCH(ROWS($J$2:J766),$J$2:$J$1001,0),1)&gt;=100000,INDEX($Q$1005:$U$1005,1,MATCH(COLUMNS($Q$1006:U1006),$Q$1006:$U$1006,0))&gt;=100000), " ",IF(INDEX($Q$2:$U$1001,MATCH(ROWS($J$2:J766),$J$2:$J$1001,0),MATCH(COLUMNS($Q$1006:U1006),$Q$1006:$U$1006,0)), HYPERLINK("#",""), HYPERLINK(CONCATENATE("#Metadata!", ADDRESS(INDEX($L$2:$L$1001,MATCH(ROWS($J$2:J766),$J$2:$J$1001,0),0), INDEX($Q$1004:$U$1004,1,MATCH(COLUMNS($Q$1006:U1006),$Q$1006:$U$1006,0)))),"Fix")))</f>
        <v xml:space="preserve"> </v>
      </c>
      <c r="J766">
        <f ca="1"/>
        <v>765</v>
      </c>
      <c r="K766">
        <v>100766</v>
      </c>
      <c r="L766">
        <v>766</v>
      </c>
      <c r="M766" t="b">
        <f t="shared" si="11"/>
        <v>1</v>
      </c>
      <c r="N766" t="b">
        <f>COUNTBLANK(Metadata!B766:F766)=COLUMNS(Metadata!B766:F766)</f>
        <v>1</v>
      </c>
      <c r="O766" t="str">
        <v/>
      </c>
      <c r="Q766" t="b">
        <f ca="1"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R766" t="b">
        <f>IF(Metadata!C766="",FALSE,TRUE)</f>
        <v>0</v>
      </c>
      <c r="S766" t="b">
        <f>OR(AND(IF(Metadata!D766="",FALSE,TRUE),EXACT(Metadata!D766,"missing: not collected")),AND(IF(Metadata!D766="",FALSE,TRUE),OR(EXACT(Metadata!D766,"t"),EXACT(Metadata!D766,"f"))))</f>
        <v>0</v>
      </c>
      <c r="T766" t="b">
        <f>AND(IF(Metadata!E766="",FALSE,TRUE),OR(EXACT(Metadata!E766,"a"),EXACT(Metadata!E766,"b")))</f>
        <v>0</v>
      </c>
      <c r="U766" t="b">
        <f>OR(AND(IF(Metadata!F766="",FALSE,TRUE),OR(EXACT(Metadata!F766,"missing: not collected"),EXACT(Metadata!F766,"missing: not provided"))),AND(IF(Metadata!F766="",FALSE,TRUE),OR(EXACT(Metadata!F766,"lo"),EXACT(Metadata!F766,"med"),EXACT(Metadata!F766,"hi"))))</f>
        <v>0</v>
      </c>
    </row>
    <row r="767" spans="1:21" x14ac:dyDescent="0.2">
      <c r="A767" s="4" t="str">
        <f ca="1">IF(B767=" "," ",HYPERLINK(CONCATENATE("#metadata!",ADDRESS(INDEX($L$2:$L$1001,MATCH(ROWS($J$2:J767),$J$2:$J$1001,0),0),1)),INDEX($O$2:$O$1001,MATCH(ROWS($J$2:J767),$J$2:$J$1001,0),0)))</f>
        <v xml:space="preserve"> </v>
      </c>
      <c r="B767" s="3" t="str">
        <f ca="1">IF(OR(INDEX($K$2:$K$1001,MATCH(ROWS($J$2:J767),$J$2:$J$1001,0),1)&gt;=100000,INDEX($Q$1005:$U$1005,1,MATCH(COLUMNS($Q$1006:Q1006),$Q$1006:$U$1006,0))&gt;=100000), " ",IF(INDEX($Q$2:$U$1001,MATCH(ROWS($J$2:J767),$J$2:$J$1001,0),MATCH(COLUMNS($Q$1006:Q1006),$Q$1006:$U$1006,0)), HYPERLINK("#",""), HYPERLINK(CONCATENATE("#Metadata!", ADDRESS(INDEX($L$2:$L$1001,MATCH(ROWS($J$2:J767),$J$2:$J$1001,0),0), INDEX($Q$1004:$U$1004,1,MATCH(COLUMNS($Q$1006:Q1006),$Q$1006:$U$1006,0)))),"Fix")))</f>
        <v xml:space="preserve"> </v>
      </c>
      <c r="C767" s="3" t="str">
        <f ca="1">IF(OR(INDEX($K$2:$K$1001,MATCH(ROWS($J$2:J767),$J$2:$J$1001,0),1)&gt;=100000,INDEX($Q$1005:$U$1005,1,MATCH(COLUMNS($Q$1006:R1006),$Q$1006:$U$1006,0))&gt;=100000), " ",IF(INDEX($Q$2:$U$1001,MATCH(ROWS($J$2:J767),$J$2:$J$1001,0),MATCH(COLUMNS($Q$1006:R1006),$Q$1006:$U$1006,0)), HYPERLINK("#",""), HYPERLINK(CONCATENATE("#Metadata!", ADDRESS(INDEX($L$2:$L$1001,MATCH(ROWS($J$2:J767),$J$2:$J$1001,0),0), INDEX($Q$1004:$U$1004,1,MATCH(COLUMNS($Q$1006:R1006),$Q$1006:$U$1006,0)))),"Fix")))</f>
        <v xml:space="preserve"> </v>
      </c>
      <c r="D767" s="3" t="str">
        <f ca="1">IF(OR(INDEX($K$2:$K$1001,MATCH(ROWS($J$2:J767),$J$2:$J$1001,0),1)&gt;=100000,INDEX($Q$1005:$U$1005,1,MATCH(COLUMNS($Q$1006:S1006),$Q$1006:$U$1006,0))&gt;=100000), " ",IF(INDEX($Q$2:$U$1001,MATCH(ROWS($J$2:J767),$J$2:$J$1001,0),MATCH(COLUMNS($Q$1006:S1006),$Q$1006:$U$1006,0)), HYPERLINK("#",""), HYPERLINK(CONCATENATE("#Metadata!", ADDRESS(INDEX($L$2:$L$1001,MATCH(ROWS($J$2:J767),$J$2:$J$1001,0),0), INDEX($Q$1004:$U$1004,1,MATCH(COLUMNS($Q$1006:S1006),$Q$1006:$U$1006,0)))),"Fix")))</f>
        <v xml:space="preserve"> </v>
      </c>
      <c r="E767" s="3" t="str">
        <f ca="1">IF(OR(INDEX($K$2:$K$1001,MATCH(ROWS($J$2:J767),$J$2:$J$1001,0),1)&gt;=100000,INDEX($Q$1005:$U$1005,1,MATCH(COLUMNS($Q$1006:T1006),$Q$1006:$U$1006,0))&gt;=100000), " ",IF(INDEX($Q$2:$U$1001,MATCH(ROWS($J$2:J767),$J$2:$J$1001,0),MATCH(COLUMNS($Q$1006:T1006),$Q$1006:$U$1006,0)), HYPERLINK("#",""), HYPERLINK(CONCATENATE("#Metadata!", ADDRESS(INDEX($L$2:$L$1001,MATCH(ROWS($J$2:J767),$J$2:$J$1001,0),0), INDEX($Q$1004:$U$1004,1,MATCH(COLUMNS($Q$1006:T1006),$Q$1006:$U$1006,0)))),"Fix")))</f>
        <v xml:space="preserve"> </v>
      </c>
      <c r="F767" s="3" t="str">
        <f ca="1">IF(OR(INDEX($K$2:$K$1001,MATCH(ROWS($J$2:J767),$J$2:$J$1001,0),1)&gt;=100000,INDEX($Q$1005:$U$1005,1,MATCH(COLUMNS($Q$1006:U1006),$Q$1006:$U$1006,0))&gt;=100000), " ",IF(INDEX($Q$2:$U$1001,MATCH(ROWS($J$2:J767),$J$2:$J$1001,0),MATCH(COLUMNS($Q$1006:U1006),$Q$1006:$U$1006,0)), HYPERLINK("#",""), HYPERLINK(CONCATENATE("#Metadata!", ADDRESS(INDEX($L$2:$L$1001,MATCH(ROWS($J$2:J767),$J$2:$J$1001,0),0), INDEX($Q$1004:$U$1004,1,MATCH(COLUMNS($Q$1006:U1006),$Q$1006:$U$1006,0)))),"Fix")))</f>
        <v xml:space="preserve"> </v>
      </c>
      <c r="J767">
        <f ca="1"/>
        <v>766</v>
      </c>
      <c r="K767">
        <v>100767</v>
      </c>
      <c r="L767">
        <v>767</v>
      </c>
      <c r="M767" t="b">
        <f t="shared" si="11"/>
        <v>1</v>
      </c>
      <c r="N767" t="b">
        <f>COUNTBLANK(Metadata!B767:F767)=COLUMNS(Metadata!B767:F767)</f>
        <v>1</v>
      </c>
      <c r="O767" t="str">
        <v/>
      </c>
      <c r="Q767" t="b">
        <f ca="1"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R767" t="b">
        <f>IF(Metadata!C767="",FALSE,TRUE)</f>
        <v>0</v>
      </c>
      <c r="S767" t="b">
        <f>OR(AND(IF(Metadata!D767="",FALSE,TRUE),EXACT(Metadata!D767,"missing: not collected")),AND(IF(Metadata!D767="",FALSE,TRUE),OR(EXACT(Metadata!D767,"t"),EXACT(Metadata!D767,"f"))))</f>
        <v>0</v>
      </c>
      <c r="T767" t="b">
        <f>AND(IF(Metadata!E767="",FALSE,TRUE),OR(EXACT(Metadata!E767,"a"),EXACT(Metadata!E767,"b")))</f>
        <v>0</v>
      </c>
      <c r="U767" t="b">
        <f>OR(AND(IF(Metadata!F767="",FALSE,TRUE),OR(EXACT(Metadata!F767,"missing: not collected"),EXACT(Metadata!F767,"missing: not provided"))),AND(IF(Metadata!F767="",FALSE,TRUE),OR(EXACT(Metadata!F767,"lo"),EXACT(Metadata!F767,"med"),EXACT(Metadata!F767,"hi"))))</f>
        <v>0</v>
      </c>
    </row>
    <row r="768" spans="1:21" x14ac:dyDescent="0.2">
      <c r="A768" s="4" t="str">
        <f ca="1">IF(B768=" "," ",HYPERLINK(CONCATENATE("#metadata!",ADDRESS(INDEX($L$2:$L$1001,MATCH(ROWS($J$2:J768),$J$2:$J$1001,0),0),1)),INDEX($O$2:$O$1001,MATCH(ROWS($J$2:J768),$J$2:$J$1001,0),0)))</f>
        <v xml:space="preserve"> </v>
      </c>
      <c r="B768" s="3" t="str">
        <f ca="1">IF(OR(INDEX($K$2:$K$1001,MATCH(ROWS($J$2:J768),$J$2:$J$1001,0),1)&gt;=100000,INDEX($Q$1005:$U$1005,1,MATCH(COLUMNS($Q$1006:Q1006),$Q$1006:$U$1006,0))&gt;=100000), " ",IF(INDEX($Q$2:$U$1001,MATCH(ROWS($J$2:J768),$J$2:$J$1001,0),MATCH(COLUMNS($Q$1006:Q1006),$Q$1006:$U$1006,0)), HYPERLINK("#",""), HYPERLINK(CONCATENATE("#Metadata!", ADDRESS(INDEX($L$2:$L$1001,MATCH(ROWS($J$2:J768),$J$2:$J$1001,0),0), INDEX($Q$1004:$U$1004,1,MATCH(COLUMNS($Q$1006:Q1006),$Q$1006:$U$1006,0)))),"Fix")))</f>
        <v xml:space="preserve"> </v>
      </c>
      <c r="C768" s="3" t="str">
        <f ca="1">IF(OR(INDEX($K$2:$K$1001,MATCH(ROWS($J$2:J768),$J$2:$J$1001,0),1)&gt;=100000,INDEX($Q$1005:$U$1005,1,MATCH(COLUMNS($Q$1006:R1006),$Q$1006:$U$1006,0))&gt;=100000), " ",IF(INDEX($Q$2:$U$1001,MATCH(ROWS($J$2:J768),$J$2:$J$1001,0),MATCH(COLUMNS($Q$1006:R1006),$Q$1006:$U$1006,0)), HYPERLINK("#",""), HYPERLINK(CONCATENATE("#Metadata!", ADDRESS(INDEX($L$2:$L$1001,MATCH(ROWS($J$2:J768),$J$2:$J$1001,0),0), INDEX($Q$1004:$U$1004,1,MATCH(COLUMNS($Q$1006:R1006),$Q$1006:$U$1006,0)))),"Fix")))</f>
        <v xml:space="preserve"> </v>
      </c>
      <c r="D768" s="3" t="str">
        <f ca="1">IF(OR(INDEX($K$2:$K$1001,MATCH(ROWS($J$2:J768),$J$2:$J$1001,0),1)&gt;=100000,INDEX($Q$1005:$U$1005,1,MATCH(COLUMNS($Q$1006:S1006),$Q$1006:$U$1006,0))&gt;=100000), " ",IF(INDEX($Q$2:$U$1001,MATCH(ROWS($J$2:J768),$J$2:$J$1001,0),MATCH(COLUMNS($Q$1006:S1006),$Q$1006:$U$1006,0)), HYPERLINK("#",""), HYPERLINK(CONCATENATE("#Metadata!", ADDRESS(INDEX($L$2:$L$1001,MATCH(ROWS($J$2:J768),$J$2:$J$1001,0),0), INDEX($Q$1004:$U$1004,1,MATCH(COLUMNS($Q$1006:S1006),$Q$1006:$U$1006,0)))),"Fix")))</f>
        <v xml:space="preserve"> </v>
      </c>
      <c r="E768" s="3" t="str">
        <f ca="1">IF(OR(INDEX($K$2:$K$1001,MATCH(ROWS($J$2:J768),$J$2:$J$1001,0),1)&gt;=100000,INDEX($Q$1005:$U$1005,1,MATCH(COLUMNS($Q$1006:T1006),$Q$1006:$U$1006,0))&gt;=100000), " ",IF(INDEX($Q$2:$U$1001,MATCH(ROWS($J$2:J768),$J$2:$J$1001,0),MATCH(COLUMNS($Q$1006:T1006),$Q$1006:$U$1006,0)), HYPERLINK("#",""), HYPERLINK(CONCATENATE("#Metadata!", ADDRESS(INDEX($L$2:$L$1001,MATCH(ROWS($J$2:J768),$J$2:$J$1001,0),0), INDEX($Q$1004:$U$1004,1,MATCH(COLUMNS($Q$1006:T1006),$Q$1006:$U$1006,0)))),"Fix")))</f>
        <v xml:space="preserve"> </v>
      </c>
      <c r="F768" s="3" t="str">
        <f ca="1">IF(OR(INDEX($K$2:$K$1001,MATCH(ROWS($J$2:J768),$J$2:$J$1001,0),1)&gt;=100000,INDEX($Q$1005:$U$1005,1,MATCH(COLUMNS($Q$1006:U1006),$Q$1006:$U$1006,0))&gt;=100000), " ",IF(INDEX($Q$2:$U$1001,MATCH(ROWS($J$2:J768),$J$2:$J$1001,0),MATCH(COLUMNS($Q$1006:U1006),$Q$1006:$U$1006,0)), HYPERLINK("#",""), HYPERLINK(CONCATENATE("#Metadata!", ADDRESS(INDEX($L$2:$L$1001,MATCH(ROWS($J$2:J768),$J$2:$J$1001,0),0), INDEX($Q$1004:$U$1004,1,MATCH(COLUMNS($Q$1006:U1006),$Q$1006:$U$1006,0)))),"Fix")))</f>
        <v xml:space="preserve"> </v>
      </c>
      <c r="J768">
        <f ca="1"/>
        <v>767</v>
      </c>
      <c r="K768">
        <v>100768</v>
      </c>
      <c r="L768">
        <v>768</v>
      </c>
      <c r="M768" t="b">
        <f t="shared" si="11"/>
        <v>1</v>
      </c>
      <c r="N768" t="b">
        <f>COUNTBLANK(Metadata!B768:F768)=COLUMNS(Metadata!B768:F768)</f>
        <v>1</v>
      </c>
      <c r="O768" t="str">
        <v/>
      </c>
      <c r="Q768" t="b">
        <f ca="1"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R768" t="b">
        <f>IF(Metadata!C768="",FALSE,TRUE)</f>
        <v>0</v>
      </c>
      <c r="S768" t="b">
        <f>OR(AND(IF(Metadata!D768="",FALSE,TRUE),EXACT(Metadata!D768,"missing: not collected")),AND(IF(Metadata!D768="",FALSE,TRUE),OR(EXACT(Metadata!D768,"t"),EXACT(Metadata!D768,"f"))))</f>
        <v>0</v>
      </c>
      <c r="T768" t="b">
        <f>AND(IF(Metadata!E768="",FALSE,TRUE),OR(EXACT(Metadata!E768,"a"),EXACT(Metadata!E768,"b")))</f>
        <v>0</v>
      </c>
      <c r="U768" t="b">
        <f>OR(AND(IF(Metadata!F768="",FALSE,TRUE),OR(EXACT(Metadata!F768,"missing: not collected"),EXACT(Metadata!F768,"missing: not provided"))),AND(IF(Metadata!F768="",FALSE,TRUE),OR(EXACT(Metadata!F768,"lo"),EXACT(Metadata!F768,"med"),EXACT(Metadata!F768,"hi"))))</f>
        <v>0</v>
      </c>
    </row>
    <row r="769" spans="1:21" x14ac:dyDescent="0.2">
      <c r="A769" s="4" t="str">
        <f ca="1">IF(B769=" "," ",HYPERLINK(CONCATENATE("#metadata!",ADDRESS(INDEX($L$2:$L$1001,MATCH(ROWS($J$2:J769),$J$2:$J$1001,0),0),1)),INDEX($O$2:$O$1001,MATCH(ROWS($J$2:J769),$J$2:$J$1001,0),0)))</f>
        <v xml:space="preserve"> </v>
      </c>
      <c r="B769" s="3" t="str">
        <f ca="1">IF(OR(INDEX($K$2:$K$1001,MATCH(ROWS($J$2:J769),$J$2:$J$1001,0),1)&gt;=100000,INDEX($Q$1005:$U$1005,1,MATCH(COLUMNS($Q$1006:Q1006),$Q$1006:$U$1006,0))&gt;=100000), " ",IF(INDEX($Q$2:$U$1001,MATCH(ROWS($J$2:J769),$J$2:$J$1001,0),MATCH(COLUMNS($Q$1006:Q1006),$Q$1006:$U$1006,0)), HYPERLINK("#",""), HYPERLINK(CONCATENATE("#Metadata!", ADDRESS(INDEX($L$2:$L$1001,MATCH(ROWS($J$2:J769),$J$2:$J$1001,0),0), INDEX($Q$1004:$U$1004,1,MATCH(COLUMNS($Q$1006:Q1006),$Q$1006:$U$1006,0)))),"Fix")))</f>
        <v xml:space="preserve"> </v>
      </c>
      <c r="C769" s="3" t="str">
        <f ca="1">IF(OR(INDEX($K$2:$K$1001,MATCH(ROWS($J$2:J769),$J$2:$J$1001,0),1)&gt;=100000,INDEX($Q$1005:$U$1005,1,MATCH(COLUMNS($Q$1006:R1006),$Q$1006:$U$1006,0))&gt;=100000), " ",IF(INDEX($Q$2:$U$1001,MATCH(ROWS($J$2:J769),$J$2:$J$1001,0),MATCH(COLUMNS($Q$1006:R1006),$Q$1006:$U$1006,0)), HYPERLINK("#",""), HYPERLINK(CONCATENATE("#Metadata!", ADDRESS(INDEX($L$2:$L$1001,MATCH(ROWS($J$2:J769),$J$2:$J$1001,0),0), INDEX($Q$1004:$U$1004,1,MATCH(COLUMNS($Q$1006:R1006),$Q$1006:$U$1006,0)))),"Fix")))</f>
        <v xml:space="preserve"> </v>
      </c>
      <c r="D769" s="3" t="str">
        <f ca="1">IF(OR(INDEX($K$2:$K$1001,MATCH(ROWS($J$2:J769),$J$2:$J$1001,0),1)&gt;=100000,INDEX($Q$1005:$U$1005,1,MATCH(COLUMNS($Q$1006:S1006),$Q$1006:$U$1006,0))&gt;=100000), " ",IF(INDEX($Q$2:$U$1001,MATCH(ROWS($J$2:J769),$J$2:$J$1001,0),MATCH(COLUMNS($Q$1006:S1006),$Q$1006:$U$1006,0)), HYPERLINK("#",""), HYPERLINK(CONCATENATE("#Metadata!", ADDRESS(INDEX($L$2:$L$1001,MATCH(ROWS($J$2:J769),$J$2:$J$1001,0),0), INDEX($Q$1004:$U$1004,1,MATCH(COLUMNS($Q$1006:S1006),$Q$1006:$U$1006,0)))),"Fix")))</f>
        <v xml:space="preserve"> </v>
      </c>
      <c r="E769" s="3" t="str">
        <f ca="1">IF(OR(INDEX($K$2:$K$1001,MATCH(ROWS($J$2:J769),$J$2:$J$1001,0),1)&gt;=100000,INDEX($Q$1005:$U$1005,1,MATCH(COLUMNS($Q$1006:T1006),$Q$1006:$U$1006,0))&gt;=100000), " ",IF(INDEX($Q$2:$U$1001,MATCH(ROWS($J$2:J769),$J$2:$J$1001,0),MATCH(COLUMNS($Q$1006:T1006),$Q$1006:$U$1006,0)), HYPERLINK("#",""), HYPERLINK(CONCATENATE("#Metadata!", ADDRESS(INDEX($L$2:$L$1001,MATCH(ROWS($J$2:J769),$J$2:$J$1001,0),0), INDEX($Q$1004:$U$1004,1,MATCH(COLUMNS($Q$1006:T1006),$Q$1006:$U$1006,0)))),"Fix")))</f>
        <v xml:space="preserve"> </v>
      </c>
      <c r="F769" s="3" t="str">
        <f ca="1">IF(OR(INDEX($K$2:$K$1001,MATCH(ROWS($J$2:J769),$J$2:$J$1001,0),1)&gt;=100000,INDEX($Q$1005:$U$1005,1,MATCH(COLUMNS($Q$1006:U1006),$Q$1006:$U$1006,0))&gt;=100000), " ",IF(INDEX($Q$2:$U$1001,MATCH(ROWS($J$2:J769),$J$2:$J$1001,0),MATCH(COLUMNS($Q$1006:U1006),$Q$1006:$U$1006,0)), HYPERLINK("#",""), HYPERLINK(CONCATENATE("#Metadata!", ADDRESS(INDEX($L$2:$L$1001,MATCH(ROWS($J$2:J769),$J$2:$J$1001,0),0), INDEX($Q$1004:$U$1004,1,MATCH(COLUMNS($Q$1006:U1006),$Q$1006:$U$1006,0)))),"Fix")))</f>
        <v xml:space="preserve"> </v>
      </c>
      <c r="J769">
        <f ca="1"/>
        <v>768</v>
      </c>
      <c r="K769">
        <v>100769</v>
      </c>
      <c r="L769">
        <v>769</v>
      </c>
      <c r="M769" t="b">
        <f t="shared" si="11"/>
        <v>1</v>
      </c>
      <c r="N769" t="b">
        <f>COUNTBLANK(Metadata!B769:F769)=COLUMNS(Metadata!B769:F769)</f>
        <v>1</v>
      </c>
      <c r="O769" t="str">
        <v/>
      </c>
      <c r="Q769" t="b">
        <f ca="1"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R769" t="b">
        <f>IF(Metadata!C769="",FALSE,TRUE)</f>
        <v>0</v>
      </c>
      <c r="S769" t="b">
        <f>OR(AND(IF(Metadata!D769="",FALSE,TRUE),EXACT(Metadata!D769,"missing: not collected")),AND(IF(Metadata!D769="",FALSE,TRUE),OR(EXACT(Metadata!D769,"t"),EXACT(Metadata!D769,"f"))))</f>
        <v>0</v>
      </c>
      <c r="T769" t="b">
        <f>AND(IF(Metadata!E769="",FALSE,TRUE),OR(EXACT(Metadata!E769,"a"),EXACT(Metadata!E769,"b")))</f>
        <v>0</v>
      </c>
      <c r="U769" t="b">
        <f>OR(AND(IF(Metadata!F769="",FALSE,TRUE),OR(EXACT(Metadata!F769,"missing: not collected"),EXACT(Metadata!F769,"missing: not provided"))),AND(IF(Metadata!F769="",FALSE,TRUE),OR(EXACT(Metadata!F769,"lo"),EXACT(Metadata!F769,"med"),EXACT(Metadata!F769,"hi"))))</f>
        <v>0</v>
      </c>
    </row>
    <row r="770" spans="1:21" x14ac:dyDescent="0.2">
      <c r="A770" s="4" t="str">
        <f ca="1">IF(B770=" "," ",HYPERLINK(CONCATENATE("#metadata!",ADDRESS(INDEX($L$2:$L$1001,MATCH(ROWS($J$2:J770),$J$2:$J$1001,0),0),1)),INDEX($O$2:$O$1001,MATCH(ROWS($J$2:J770),$J$2:$J$1001,0),0)))</f>
        <v xml:space="preserve"> </v>
      </c>
      <c r="B770" s="3" t="str">
        <f ca="1">IF(OR(INDEX($K$2:$K$1001,MATCH(ROWS($J$2:J770),$J$2:$J$1001,0),1)&gt;=100000,INDEX($Q$1005:$U$1005,1,MATCH(COLUMNS($Q$1006:Q1006),$Q$1006:$U$1006,0))&gt;=100000), " ",IF(INDEX($Q$2:$U$1001,MATCH(ROWS($J$2:J770),$J$2:$J$1001,0),MATCH(COLUMNS($Q$1006:Q1006),$Q$1006:$U$1006,0)), HYPERLINK("#",""), HYPERLINK(CONCATENATE("#Metadata!", ADDRESS(INDEX($L$2:$L$1001,MATCH(ROWS($J$2:J770),$J$2:$J$1001,0),0), INDEX($Q$1004:$U$1004,1,MATCH(COLUMNS($Q$1006:Q1006),$Q$1006:$U$1006,0)))),"Fix")))</f>
        <v xml:space="preserve"> </v>
      </c>
      <c r="C770" s="3" t="str">
        <f ca="1">IF(OR(INDEX($K$2:$K$1001,MATCH(ROWS($J$2:J770),$J$2:$J$1001,0),1)&gt;=100000,INDEX($Q$1005:$U$1005,1,MATCH(COLUMNS($Q$1006:R1006),$Q$1006:$U$1006,0))&gt;=100000), " ",IF(INDEX($Q$2:$U$1001,MATCH(ROWS($J$2:J770),$J$2:$J$1001,0),MATCH(COLUMNS($Q$1006:R1006),$Q$1006:$U$1006,0)), HYPERLINK("#",""), HYPERLINK(CONCATENATE("#Metadata!", ADDRESS(INDEX($L$2:$L$1001,MATCH(ROWS($J$2:J770),$J$2:$J$1001,0),0), INDEX($Q$1004:$U$1004,1,MATCH(COLUMNS($Q$1006:R1006),$Q$1006:$U$1006,0)))),"Fix")))</f>
        <v xml:space="preserve"> </v>
      </c>
      <c r="D770" s="3" t="str">
        <f ca="1">IF(OR(INDEX($K$2:$K$1001,MATCH(ROWS($J$2:J770),$J$2:$J$1001,0),1)&gt;=100000,INDEX($Q$1005:$U$1005,1,MATCH(COLUMNS($Q$1006:S1006),$Q$1006:$U$1006,0))&gt;=100000), " ",IF(INDEX($Q$2:$U$1001,MATCH(ROWS($J$2:J770),$J$2:$J$1001,0),MATCH(COLUMNS($Q$1006:S1006),$Q$1006:$U$1006,0)), HYPERLINK("#",""), HYPERLINK(CONCATENATE("#Metadata!", ADDRESS(INDEX($L$2:$L$1001,MATCH(ROWS($J$2:J770),$J$2:$J$1001,0),0), INDEX($Q$1004:$U$1004,1,MATCH(COLUMNS($Q$1006:S1006),$Q$1006:$U$1006,0)))),"Fix")))</f>
        <v xml:space="preserve"> </v>
      </c>
      <c r="E770" s="3" t="str">
        <f ca="1">IF(OR(INDEX($K$2:$K$1001,MATCH(ROWS($J$2:J770),$J$2:$J$1001,0),1)&gt;=100000,INDEX($Q$1005:$U$1005,1,MATCH(COLUMNS($Q$1006:T1006),$Q$1006:$U$1006,0))&gt;=100000), " ",IF(INDEX($Q$2:$U$1001,MATCH(ROWS($J$2:J770),$J$2:$J$1001,0),MATCH(COLUMNS($Q$1006:T1006),$Q$1006:$U$1006,0)), HYPERLINK("#",""), HYPERLINK(CONCATENATE("#Metadata!", ADDRESS(INDEX($L$2:$L$1001,MATCH(ROWS($J$2:J770),$J$2:$J$1001,0),0), INDEX($Q$1004:$U$1004,1,MATCH(COLUMNS($Q$1006:T1006),$Q$1006:$U$1006,0)))),"Fix")))</f>
        <v xml:space="preserve"> </v>
      </c>
      <c r="F770" s="3" t="str">
        <f ca="1">IF(OR(INDEX($K$2:$K$1001,MATCH(ROWS($J$2:J770),$J$2:$J$1001,0),1)&gt;=100000,INDEX($Q$1005:$U$1005,1,MATCH(COLUMNS($Q$1006:U1006),$Q$1006:$U$1006,0))&gt;=100000), " ",IF(INDEX($Q$2:$U$1001,MATCH(ROWS($J$2:J770),$J$2:$J$1001,0),MATCH(COLUMNS($Q$1006:U1006),$Q$1006:$U$1006,0)), HYPERLINK("#",""), HYPERLINK(CONCATENATE("#Metadata!", ADDRESS(INDEX($L$2:$L$1001,MATCH(ROWS($J$2:J770),$J$2:$J$1001,0),0), INDEX($Q$1004:$U$1004,1,MATCH(COLUMNS($Q$1006:U1006),$Q$1006:$U$1006,0)))),"Fix")))</f>
        <v xml:space="preserve"> </v>
      </c>
      <c r="J770">
        <f ca="1"/>
        <v>769</v>
      </c>
      <c r="K770">
        <v>100770</v>
      </c>
      <c r="L770">
        <v>770</v>
      </c>
      <c r="M770" t="b">
        <f t="shared" ref="M770:M833" si="12">IF(N770,TRUE,AND(Q770:U770))</f>
        <v>1</v>
      </c>
      <c r="N770" t="b">
        <f>COUNTBLANK(Metadata!B770:F770)=COLUMNS(Metadata!B770:F770)</f>
        <v>1</v>
      </c>
      <c r="O770" t="str">
        <v/>
      </c>
      <c r="Q770" t="b">
        <f ca="1"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R770" t="b">
        <f>IF(Metadata!C770="",FALSE,TRUE)</f>
        <v>0</v>
      </c>
      <c r="S770" t="b">
        <f>OR(AND(IF(Metadata!D770="",FALSE,TRUE),EXACT(Metadata!D770,"missing: not collected")),AND(IF(Metadata!D770="",FALSE,TRUE),OR(EXACT(Metadata!D770,"t"),EXACT(Metadata!D770,"f"))))</f>
        <v>0</v>
      </c>
      <c r="T770" t="b">
        <f>AND(IF(Metadata!E770="",FALSE,TRUE),OR(EXACT(Metadata!E770,"a"),EXACT(Metadata!E770,"b")))</f>
        <v>0</v>
      </c>
      <c r="U770" t="b">
        <f>OR(AND(IF(Metadata!F770="",FALSE,TRUE),OR(EXACT(Metadata!F770,"missing: not collected"),EXACT(Metadata!F770,"missing: not provided"))),AND(IF(Metadata!F770="",FALSE,TRUE),OR(EXACT(Metadata!F770,"lo"),EXACT(Metadata!F770,"med"),EXACT(Metadata!F770,"hi"))))</f>
        <v>0</v>
      </c>
    </row>
    <row r="771" spans="1:21" x14ac:dyDescent="0.2">
      <c r="A771" s="4" t="str">
        <f ca="1">IF(B771=" "," ",HYPERLINK(CONCATENATE("#metadata!",ADDRESS(INDEX($L$2:$L$1001,MATCH(ROWS($J$2:J771),$J$2:$J$1001,0),0),1)),INDEX($O$2:$O$1001,MATCH(ROWS($J$2:J771),$J$2:$J$1001,0),0)))</f>
        <v xml:space="preserve"> </v>
      </c>
      <c r="B771" s="3" t="str">
        <f ca="1">IF(OR(INDEX($K$2:$K$1001,MATCH(ROWS($J$2:J771),$J$2:$J$1001,0),1)&gt;=100000,INDEX($Q$1005:$U$1005,1,MATCH(COLUMNS($Q$1006:Q1006),$Q$1006:$U$1006,0))&gt;=100000), " ",IF(INDEX($Q$2:$U$1001,MATCH(ROWS($J$2:J771),$J$2:$J$1001,0),MATCH(COLUMNS($Q$1006:Q1006),$Q$1006:$U$1006,0)), HYPERLINK("#",""), HYPERLINK(CONCATENATE("#Metadata!", ADDRESS(INDEX($L$2:$L$1001,MATCH(ROWS($J$2:J771),$J$2:$J$1001,0),0), INDEX($Q$1004:$U$1004,1,MATCH(COLUMNS($Q$1006:Q1006),$Q$1006:$U$1006,0)))),"Fix")))</f>
        <v xml:space="preserve"> </v>
      </c>
      <c r="C771" s="3" t="str">
        <f ca="1">IF(OR(INDEX($K$2:$K$1001,MATCH(ROWS($J$2:J771),$J$2:$J$1001,0),1)&gt;=100000,INDEX($Q$1005:$U$1005,1,MATCH(COLUMNS($Q$1006:R1006),$Q$1006:$U$1006,0))&gt;=100000), " ",IF(INDEX($Q$2:$U$1001,MATCH(ROWS($J$2:J771),$J$2:$J$1001,0),MATCH(COLUMNS($Q$1006:R1006),$Q$1006:$U$1006,0)), HYPERLINK("#",""), HYPERLINK(CONCATENATE("#Metadata!", ADDRESS(INDEX($L$2:$L$1001,MATCH(ROWS($J$2:J771),$J$2:$J$1001,0),0), INDEX($Q$1004:$U$1004,1,MATCH(COLUMNS($Q$1006:R1006),$Q$1006:$U$1006,0)))),"Fix")))</f>
        <v xml:space="preserve"> </v>
      </c>
      <c r="D771" s="3" t="str">
        <f ca="1">IF(OR(INDEX($K$2:$K$1001,MATCH(ROWS($J$2:J771),$J$2:$J$1001,0),1)&gt;=100000,INDEX($Q$1005:$U$1005,1,MATCH(COLUMNS($Q$1006:S1006),$Q$1006:$U$1006,0))&gt;=100000), " ",IF(INDEX($Q$2:$U$1001,MATCH(ROWS($J$2:J771),$J$2:$J$1001,0),MATCH(COLUMNS($Q$1006:S1006),$Q$1006:$U$1006,0)), HYPERLINK("#",""), HYPERLINK(CONCATENATE("#Metadata!", ADDRESS(INDEX($L$2:$L$1001,MATCH(ROWS($J$2:J771),$J$2:$J$1001,0),0), INDEX($Q$1004:$U$1004,1,MATCH(COLUMNS($Q$1006:S1006),$Q$1006:$U$1006,0)))),"Fix")))</f>
        <v xml:space="preserve"> </v>
      </c>
      <c r="E771" s="3" t="str">
        <f ca="1">IF(OR(INDEX($K$2:$K$1001,MATCH(ROWS($J$2:J771),$J$2:$J$1001,0),1)&gt;=100000,INDEX($Q$1005:$U$1005,1,MATCH(COLUMNS($Q$1006:T1006),$Q$1006:$U$1006,0))&gt;=100000), " ",IF(INDEX($Q$2:$U$1001,MATCH(ROWS($J$2:J771),$J$2:$J$1001,0),MATCH(COLUMNS($Q$1006:T1006),$Q$1006:$U$1006,0)), HYPERLINK("#",""), HYPERLINK(CONCATENATE("#Metadata!", ADDRESS(INDEX($L$2:$L$1001,MATCH(ROWS($J$2:J771),$J$2:$J$1001,0),0), INDEX($Q$1004:$U$1004,1,MATCH(COLUMNS($Q$1006:T1006),$Q$1006:$U$1006,0)))),"Fix")))</f>
        <v xml:space="preserve"> </v>
      </c>
      <c r="F771" s="3" t="str">
        <f ca="1">IF(OR(INDEX($K$2:$K$1001,MATCH(ROWS($J$2:J771),$J$2:$J$1001,0),1)&gt;=100000,INDEX($Q$1005:$U$1005,1,MATCH(COLUMNS($Q$1006:U1006),$Q$1006:$U$1006,0))&gt;=100000), " ",IF(INDEX($Q$2:$U$1001,MATCH(ROWS($J$2:J771),$J$2:$J$1001,0),MATCH(COLUMNS($Q$1006:U1006),$Q$1006:$U$1006,0)), HYPERLINK("#",""), HYPERLINK(CONCATENATE("#Metadata!", ADDRESS(INDEX($L$2:$L$1001,MATCH(ROWS($J$2:J771),$J$2:$J$1001,0),0), INDEX($Q$1004:$U$1004,1,MATCH(COLUMNS($Q$1006:U1006),$Q$1006:$U$1006,0)))),"Fix")))</f>
        <v xml:space="preserve"> </v>
      </c>
      <c r="J771">
        <f ca="1"/>
        <v>770</v>
      </c>
      <c r="K771">
        <v>100771</v>
      </c>
      <c r="L771">
        <v>771</v>
      </c>
      <c r="M771" t="b">
        <f t="shared" si="12"/>
        <v>1</v>
      </c>
      <c r="N771" t="b">
        <f>COUNTBLANK(Metadata!B771:F771)=COLUMNS(Metadata!B771:F771)</f>
        <v>1</v>
      </c>
      <c r="O771" t="str">
        <v/>
      </c>
      <c r="Q771" t="b">
        <f ca="1"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R771" t="b">
        <f>IF(Metadata!C771="",FALSE,TRUE)</f>
        <v>0</v>
      </c>
      <c r="S771" t="b">
        <f>OR(AND(IF(Metadata!D771="",FALSE,TRUE),EXACT(Metadata!D771,"missing: not collected")),AND(IF(Metadata!D771="",FALSE,TRUE),OR(EXACT(Metadata!D771,"t"),EXACT(Metadata!D771,"f"))))</f>
        <v>0</v>
      </c>
      <c r="T771" t="b">
        <f>AND(IF(Metadata!E771="",FALSE,TRUE),OR(EXACT(Metadata!E771,"a"),EXACT(Metadata!E771,"b")))</f>
        <v>0</v>
      </c>
      <c r="U771" t="b">
        <f>OR(AND(IF(Metadata!F771="",FALSE,TRUE),OR(EXACT(Metadata!F771,"missing: not collected"),EXACT(Metadata!F771,"missing: not provided"))),AND(IF(Metadata!F771="",FALSE,TRUE),OR(EXACT(Metadata!F771,"lo"),EXACT(Metadata!F771,"med"),EXACT(Metadata!F771,"hi"))))</f>
        <v>0</v>
      </c>
    </row>
    <row r="772" spans="1:21" x14ac:dyDescent="0.2">
      <c r="A772" s="4" t="str">
        <f ca="1">IF(B772=" "," ",HYPERLINK(CONCATENATE("#metadata!",ADDRESS(INDEX($L$2:$L$1001,MATCH(ROWS($J$2:J772),$J$2:$J$1001,0),0),1)),INDEX($O$2:$O$1001,MATCH(ROWS($J$2:J772),$J$2:$J$1001,0),0)))</f>
        <v xml:space="preserve"> </v>
      </c>
      <c r="B772" s="3" t="str">
        <f ca="1">IF(OR(INDEX($K$2:$K$1001,MATCH(ROWS($J$2:J772),$J$2:$J$1001,0),1)&gt;=100000,INDEX($Q$1005:$U$1005,1,MATCH(COLUMNS($Q$1006:Q1006),$Q$1006:$U$1006,0))&gt;=100000), " ",IF(INDEX($Q$2:$U$1001,MATCH(ROWS($J$2:J772),$J$2:$J$1001,0),MATCH(COLUMNS($Q$1006:Q1006),$Q$1006:$U$1006,0)), HYPERLINK("#",""), HYPERLINK(CONCATENATE("#Metadata!", ADDRESS(INDEX($L$2:$L$1001,MATCH(ROWS($J$2:J772),$J$2:$J$1001,0),0), INDEX($Q$1004:$U$1004,1,MATCH(COLUMNS($Q$1006:Q1006),$Q$1006:$U$1006,0)))),"Fix")))</f>
        <v xml:space="preserve"> </v>
      </c>
      <c r="C772" s="3" t="str">
        <f ca="1">IF(OR(INDEX($K$2:$K$1001,MATCH(ROWS($J$2:J772),$J$2:$J$1001,0),1)&gt;=100000,INDEX($Q$1005:$U$1005,1,MATCH(COLUMNS($Q$1006:R1006),$Q$1006:$U$1006,0))&gt;=100000), " ",IF(INDEX($Q$2:$U$1001,MATCH(ROWS($J$2:J772),$J$2:$J$1001,0),MATCH(COLUMNS($Q$1006:R1006),$Q$1006:$U$1006,0)), HYPERLINK("#",""), HYPERLINK(CONCATENATE("#Metadata!", ADDRESS(INDEX($L$2:$L$1001,MATCH(ROWS($J$2:J772),$J$2:$J$1001,0),0), INDEX($Q$1004:$U$1004,1,MATCH(COLUMNS($Q$1006:R1006),$Q$1006:$U$1006,0)))),"Fix")))</f>
        <v xml:space="preserve"> </v>
      </c>
      <c r="D772" s="3" t="str">
        <f ca="1">IF(OR(INDEX($K$2:$K$1001,MATCH(ROWS($J$2:J772),$J$2:$J$1001,0),1)&gt;=100000,INDEX($Q$1005:$U$1005,1,MATCH(COLUMNS($Q$1006:S1006),$Q$1006:$U$1006,0))&gt;=100000), " ",IF(INDEX($Q$2:$U$1001,MATCH(ROWS($J$2:J772),$J$2:$J$1001,0),MATCH(COLUMNS($Q$1006:S1006),$Q$1006:$U$1006,0)), HYPERLINK("#",""), HYPERLINK(CONCATENATE("#Metadata!", ADDRESS(INDEX($L$2:$L$1001,MATCH(ROWS($J$2:J772),$J$2:$J$1001,0),0), INDEX($Q$1004:$U$1004,1,MATCH(COLUMNS($Q$1006:S1006),$Q$1006:$U$1006,0)))),"Fix")))</f>
        <v xml:space="preserve"> </v>
      </c>
      <c r="E772" s="3" t="str">
        <f ca="1">IF(OR(INDEX($K$2:$K$1001,MATCH(ROWS($J$2:J772),$J$2:$J$1001,0),1)&gt;=100000,INDEX($Q$1005:$U$1005,1,MATCH(COLUMNS($Q$1006:T1006),$Q$1006:$U$1006,0))&gt;=100000), " ",IF(INDEX($Q$2:$U$1001,MATCH(ROWS($J$2:J772),$J$2:$J$1001,0),MATCH(COLUMNS($Q$1006:T1006),$Q$1006:$U$1006,0)), HYPERLINK("#",""), HYPERLINK(CONCATENATE("#Metadata!", ADDRESS(INDEX($L$2:$L$1001,MATCH(ROWS($J$2:J772),$J$2:$J$1001,0),0), INDEX($Q$1004:$U$1004,1,MATCH(COLUMNS($Q$1006:T1006),$Q$1006:$U$1006,0)))),"Fix")))</f>
        <v xml:space="preserve"> </v>
      </c>
      <c r="F772" s="3" t="str">
        <f ca="1">IF(OR(INDEX($K$2:$K$1001,MATCH(ROWS($J$2:J772),$J$2:$J$1001,0),1)&gt;=100000,INDEX($Q$1005:$U$1005,1,MATCH(COLUMNS($Q$1006:U1006),$Q$1006:$U$1006,0))&gt;=100000), " ",IF(INDEX($Q$2:$U$1001,MATCH(ROWS($J$2:J772),$J$2:$J$1001,0),MATCH(COLUMNS($Q$1006:U1006),$Q$1006:$U$1006,0)), HYPERLINK("#",""), HYPERLINK(CONCATENATE("#Metadata!", ADDRESS(INDEX($L$2:$L$1001,MATCH(ROWS($J$2:J772),$J$2:$J$1001,0),0), INDEX($Q$1004:$U$1004,1,MATCH(COLUMNS($Q$1006:U1006),$Q$1006:$U$1006,0)))),"Fix")))</f>
        <v xml:space="preserve"> </v>
      </c>
      <c r="J772">
        <f ca="1"/>
        <v>771</v>
      </c>
      <c r="K772">
        <v>100772</v>
      </c>
      <c r="L772">
        <v>772</v>
      </c>
      <c r="M772" t="b">
        <f t="shared" si="12"/>
        <v>1</v>
      </c>
      <c r="N772" t="b">
        <f>COUNTBLANK(Metadata!B772:F772)=COLUMNS(Metadata!B772:F772)</f>
        <v>1</v>
      </c>
      <c r="O772" t="str">
        <v/>
      </c>
      <c r="Q772" t="b">
        <f ca="1"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R772" t="b">
        <f>IF(Metadata!C772="",FALSE,TRUE)</f>
        <v>0</v>
      </c>
      <c r="S772" t="b">
        <f>OR(AND(IF(Metadata!D772="",FALSE,TRUE),EXACT(Metadata!D772,"missing: not collected")),AND(IF(Metadata!D772="",FALSE,TRUE),OR(EXACT(Metadata!D772,"t"),EXACT(Metadata!D772,"f"))))</f>
        <v>0</v>
      </c>
      <c r="T772" t="b">
        <f>AND(IF(Metadata!E772="",FALSE,TRUE),OR(EXACT(Metadata!E772,"a"),EXACT(Metadata!E772,"b")))</f>
        <v>0</v>
      </c>
      <c r="U772" t="b">
        <f>OR(AND(IF(Metadata!F772="",FALSE,TRUE),OR(EXACT(Metadata!F772,"missing: not collected"),EXACT(Metadata!F772,"missing: not provided"))),AND(IF(Metadata!F772="",FALSE,TRUE),OR(EXACT(Metadata!F772,"lo"),EXACT(Metadata!F772,"med"),EXACT(Metadata!F772,"hi"))))</f>
        <v>0</v>
      </c>
    </row>
    <row r="773" spans="1:21" x14ac:dyDescent="0.2">
      <c r="A773" s="4" t="str">
        <f ca="1">IF(B773=" "," ",HYPERLINK(CONCATENATE("#metadata!",ADDRESS(INDEX($L$2:$L$1001,MATCH(ROWS($J$2:J773),$J$2:$J$1001,0),0),1)),INDEX($O$2:$O$1001,MATCH(ROWS($J$2:J773),$J$2:$J$1001,0),0)))</f>
        <v xml:space="preserve"> </v>
      </c>
      <c r="B773" s="3" t="str">
        <f ca="1">IF(OR(INDEX($K$2:$K$1001,MATCH(ROWS($J$2:J773),$J$2:$J$1001,0),1)&gt;=100000,INDEX($Q$1005:$U$1005,1,MATCH(COLUMNS($Q$1006:Q1006),$Q$1006:$U$1006,0))&gt;=100000), " ",IF(INDEX($Q$2:$U$1001,MATCH(ROWS($J$2:J773),$J$2:$J$1001,0),MATCH(COLUMNS($Q$1006:Q1006),$Q$1006:$U$1006,0)), HYPERLINK("#",""), HYPERLINK(CONCATENATE("#Metadata!", ADDRESS(INDEX($L$2:$L$1001,MATCH(ROWS($J$2:J773),$J$2:$J$1001,0),0), INDEX($Q$1004:$U$1004,1,MATCH(COLUMNS($Q$1006:Q1006),$Q$1006:$U$1006,0)))),"Fix")))</f>
        <v xml:space="preserve"> </v>
      </c>
      <c r="C773" s="3" t="str">
        <f ca="1">IF(OR(INDEX($K$2:$K$1001,MATCH(ROWS($J$2:J773),$J$2:$J$1001,0),1)&gt;=100000,INDEX($Q$1005:$U$1005,1,MATCH(COLUMNS($Q$1006:R1006),$Q$1006:$U$1006,0))&gt;=100000), " ",IF(INDEX($Q$2:$U$1001,MATCH(ROWS($J$2:J773),$J$2:$J$1001,0),MATCH(COLUMNS($Q$1006:R1006),$Q$1006:$U$1006,0)), HYPERLINK("#",""), HYPERLINK(CONCATENATE("#Metadata!", ADDRESS(INDEX($L$2:$L$1001,MATCH(ROWS($J$2:J773),$J$2:$J$1001,0),0), INDEX($Q$1004:$U$1004,1,MATCH(COLUMNS($Q$1006:R1006),$Q$1006:$U$1006,0)))),"Fix")))</f>
        <v xml:space="preserve"> </v>
      </c>
      <c r="D773" s="3" t="str">
        <f ca="1">IF(OR(INDEX($K$2:$K$1001,MATCH(ROWS($J$2:J773),$J$2:$J$1001,0),1)&gt;=100000,INDEX($Q$1005:$U$1005,1,MATCH(COLUMNS($Q$1006:S1006),$Q$1006:$U$1006,0))&gt;=100000), " ",IF(INDEX($Q$2:$U$1001,MATCH(ROWS($J$2:J773),$J$2:$J$1001,0),MATCH(COLUMNS($Q$1006:S1006),$Q$1006:$U$1006,0)), HYPERLINK("#",""), HYPERLINK(CONCATENATE("#Metadata!", ADDRESS(INDEX($L$2:$L$1001,MATCH(ROWS($J$2:J773),$J$2:$J$1001,0),0), INDEX($Q$1004:$U$1004,1,MATCH(COLUMNS($Q$1006:S1006),$Q$1006:$U$1006,0)))),"Fix")))</f>
        <v xml:space="preserve"> </v>
      </c>
      <c r="E773" s="3" t="str">
        <f ca="1">IF(OR(INDEX($K$2:$K$1001,MATCH(ROWS($J$2:J773),$J$2:$J$1001,0),1)&gt;=100000,INDEX($Q$1005:$U$1005,1,MATCH(COLUMNS($Q$1006:T1006),$Q$1006:$U$1006,0))&gt;=100000), " ",IF(INDEX($Q$2:$U$1001,MATCH(ROWS($J$2:J773),$J$2:$J$1001,0),MATCH(COLUMNS($Q$1006:T1006),$Q$1006:$U$1006,0)), HYPERLINK("#",""), HYPERLINK(CONCATENATE("#Metadata!", ADDRESS(INDEX($L$2:$L$1001,MATCH(ROWS($J$2:J773),$J$2:$J$1001,0),0), INDEX($Q$1004:$U$1004,1,MATCH(COLUMNS($Q$1006:T1006),$Q$1006:$U$1006,0)))),"Fix")))</f>
        <v xml:space="preserve"> </v>
      </c>
      <c r="F773" s="3" t="str">
        <f ca="1">IF(OR(INDEX($K$2:$K$1001,MATCH(ROWS($J$2:J773),$J$2:$J$1001,0),1)&gt;=100000,INDEX($Q$1005:$U$1005,1,MATCH(COLUMNS($Q$1006:U1006),$Q$1006:$U$1006,0))&gt;=100000), " ",IF(INDEX($Q$2:$U$1001,MATCH(ROWS($J$2:J773),$J$2:$J$1001,0),MATCH(COLUMNS($Q$1006:U1006),$Q$1006:$U$1006,0)), HYPERLINK("#",""), HYPERLINK(CONCATENATE("#Metadata!", ADDRESS(INDEX($L$2:$L$1001,MATCH(ROWS($J$2:J773),$J$2:$J$1001,0),0), INDEX($Q$1004:$U$1004,1,MATCH(COLUMNS($Q$1006:U1006),$Q$1006:$U$1006,0)))),"Fix")))</f>
        <v xml:space="preserve"> </v>
      </c>
      <c r="J773">
        <f ca="1"/>
        <v>772</v>
      </c>
      <c r="K773">
        <v>100773</v>
      </c>
      <c r="L773">
        <v>773</v>
      </c>
      <c r="M773" t="b">
        <f t="shared" si="12"/>
        <v>1</v>
      </c>
      <c r="N773" t="b">
        <f>COUNTBLANK(Metadata!B773:F773)=COLUMNS(Metadata!B773:F773)</f>
        <v>1</v>
      </c>
      <c r="O773" t="str">
        <v/>
      </c>
      <c r="Q773" t="b">
        <f ca="1"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R773" t="b">
        <f>IF(Metadata!C773="",FALSE,TRUE)</f>
        <v>0</v>
      </c>
      <c r="S773" t="b">
        <f>OR(AND(IF(Metadata!D773="",FALSE,TRUE),EXACT(Metadata!D773,"missing: not collected")),AND(IF(Metadata!D773="",FALSE,TRUE),OR(EXACT(Metadata!D773,"t"),EXACT(Metadata!D773,"f"))))</f>
        <v>0</v>
      </c>
      <c r="T773" t="b">
        <f>AND(IF(Metadata!E773="",FALSE,TRUE),OR(EXACT(Metadata!E773,"a"),EXACT(Metadata!E773,"b")))</f>
        <v>0</v>
      </c>
      <c r="U773" t="b">
        <f>OR(AND(IF(Metadata!F773="",FALSE,TRUE),OR(EXACT(Metadata!F773,"missing: not collected"),EXACT(Metadata!F773,"missing: not provided"))),AND(IF(Metadata!F773="",FALSE,TRUE),OR(EXACT(Metadata!F773,"lo"),EXACT(Metadata!F773,"med"),EXACT(Metadata!F773,"hi"))))</f>
        <v>0</v>
      </c>
    </row>
    <row r="774" spans="1:21" x14ac:dyDescent="0.2">
      <c r="A774" s="4" t="str">
        <f ca="1">IF(B774=" "," ",HYPERLINK(CONCATENATE("#metadata!",ADDRESS(INDEX($L$2:$L$1001,MATCH(ROWS($J$2:J774),$J$2:$J$1001,0),0),1)),INDEX($O$2:$O$1001,MATCH(ROWS($J$2:J774),$J$2:$J$1001,0),0)))</f>
        <v xml:space="preserve"> </v>
      </c>
      <c r="B774" s="3" t="str">
        <f ca="1">IF(OR(INDEX($K$2:$K$1001,MATCH(ROWS($J$2:J774),$J$2:$J$1001,0),1)&gt;=100000,INDEX($Q$1005:$U$1005,1,MATCH(COLUMNS($Q$1006:Q1006),$Q$1006:$U$1006,0))&gt;=100000), " ",IF(INDEX($Q$2:$U$1001,MATCH(ROWS($J$2:J774),$J$2:$J$1001,0),MATCH(COLUMNS($Q$1006:Q1006),$Q$1006:$U$1006,0)), HYPERLINK("#",""), HYPERLINK(CONCATENATE("#Metadata!", ADDRESS(INDEX($L$2:$L$1001,MATCH(ROWS($J$2:J774),$J$2:$J$1001,0),0), INDEX($Q$1004:$U$1004,1,MATCH(COLUMNS($Q$1006:Q1006),$Q$1006:$U$1006,0)))),"Fix")))</f>
        <v xml:space="preserve"> </v>
      </c>
      <c r="C774" s="3" t="str">
        <f ca="1">IF(OR(INDEX($K$2:$K$1001,MATCH(ROWS($J$2:J774),$J$2:$J$1001,0),1)&gt;=100000,INDEX($Q$1005:$U$1005,1,MATCH(COLUMNS($Q$1006:R1006),$Q$1006:$U$1006,0))&gt;=100000), " ",IF(INDEX($Q$2:$U$1001,MATCH(ROWS($J$2:J774),$J$2:$J$1001,0),MATCH(COLUMNS($Q$1006:R1006),$Q$1006:$U$1006,0)), HYPERLINK("#",""), HYPERLINK(CONCATENATE("#Metadata!", ADDRESS(INDEX($L$2:$L$1001,MATCH(ROWS($J$2:J774),$J$2:$J$1001,0),0), INDEX($Q$1004:$U$1004,1,MATCH(COLUMNS($Q$1006:R1006),$Q$1006:$U$1006,0)))),"Fix")))</f>
        <v xml:space="preserve"> </v>
      </c>
      <c r="D774" s="3" t="str">
        <f ca="1">IF(OR(INDEX($K$2:$K$1001,MATCH(ROWS($J$2:J774),$J$2:$J$1001,0),1)&gt;=100000,INDEX($Q$1005:$U$1005,1,MATCH(COLUMNS($Q$1006:S1006),$Q$1006:$U$1006,0))&gt;=100000), " ",IF(INDEX($Q$2:$U$1001,MATCH(ROWS($J$2:J774),$J$2:$J$1001,0),MATCH(COLUMNS($Q$1006:S1006),$Q$1006:$U$1006,0)), HYPERLINK("#",""), HYPERLINK(CONCATENATE("#Metadata!", ADDRESS(INDEX($L$2:$L$1001,MATCH(ROWS($J$2:J774),$J$2:$J$1001,0),0), INDEX($Q$1004:$U$1004,1,MATCH(COLUMNS($Q$1006:S1006),$Q$1006:$U$1006,0)))),"Fix")))</f>
        <v xml:space="preserve"> </v>
      </c>
      <c r="E774" s="3" t="str">
        <f ca="1">IF(OR(INDEX($K$2:$K$1001,MATCH(ROWS($J$2:J774),$J$2:$J$1001,0),1)&gt;=100000,INDEX($Q$1005:$U$1005,1,MATCH(COLUMNS($Q$1006:T1006),$Q$1006:$U$1006,0))&gt;=100000), " ",IF(INDEX($Q$2:$U$1001,MATCH(ROWS($J$2:J774),$J$2:$J$1001,0),MATCH(COLUMNS($Q$1006:T1006),$Q$1006:$U$1006,0)), HYPERLINK("#",""), HYPERLINK(CONCATENATE("#Metadata!", ADDRESS(INDEX($L$2:$L$1001,MATCH(ROWS($J$2:J774),$J$2:$J$1001,0),0), INDEX($Q$1004:$U$1004,1,MATCH(COLUMNS($Q$1006:T1006),$Q$1006:$U$1006,0)))),"Fix")))</f>
        <v xml:space="preserve"> </v>
      </c>
      <c r="F774" s="3" t="str">
        <f ca="1">IF(OR(INDEX($K$2:$K$1001,MATCH(ROWS($J$2:J774),$J$2:$J$1001,0),1)&gt;=100000,INDEX($Q$1005:$U$1005,1,MATCH(COLUMNS($Q$1006:U1006),$Q$1006:$U$1006,0))&gt;=100000), " ",IF(INDEX($Q$2:$U$1001,MATCH(ROWS($J$2:J774),$J$2:$J$1001,0),MATCH(COLUMNS($Q$1006:U1006),$Q$1006:$U$1006,0)), HYPERLINK("#",""), HYPERLINK(CONCATENATE("#Metadata!", ADDRESS(INDEX($L$2:$L$1001,MATCH(ROWS($J$2:J774),$J$2:$J$1001,0),0), INDEX($Q$1004:$U$1004,1,MATCH(COLUMNS($Q$1006:U1006),$Q$1006:$U$1006,0)))),"Fix")))</f>
        <v xml:space="preserve"> </v>
      </c>
      <c r="J774">
        <f ca="1"/>
        <v>773</v>
      </c>
      <c r="K774">
        <v>100774</v>
      </c>
      <c r="L774">
        <v>774</v>
      </c>
      <c r="M774" t="b">
        <f t="shared" si="12"/>
        <v>1</v>
      </c>
      <c r="N774" t="b">
        <f>COUNTBLANK(Metadata!B774:F774)=COLUMNS(Metadata!B774:F774)</f>
        <v>1</v>
      </c>
      <c r="O774" t="str">
        <v/>
      </c>
      <c r="Q774" t="b">
        <f ca="1"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R774" t="b">
        <f>IF(Metadata!C774="",FALSE,TRUE)</f>
        <v>0</v>
      </c>
      <c r="S774" t="b">
        <f>OR(AND(IF(Metadata!D774="",FALSE,TRUE),EXACT(Metadata!D774,"missing: not collected")),AND(IF(Metadata!D774="",FALSE,TRUE),OR(EXACT(Metadata!D774,"t"),EXACT(Metadata!D774,"f"))))</f>
        <v>0</v>
      </c>
      <c r="T774" t="b">
        <f>AND(IF(Metadata!E774="",FALSE,TRUE),OR(EXACT(Metadata!E774,"a"),EXACT(Metadata!E774,"b")))</f>
        <v>0</v>
      </c>
      <c r="U774" t="b">
        <f>OR(AND(IF(Metadata!F774="",FALSE,TRUE),OR(EXACT(Metadata!F774,"missing: not collected"),EXACT(Metadata!F774,"missing: not provided"))),AND(IF(Metadata!F774="",FALSE,TRUE),OR(EXACT(Metadata!F774,"lo"),EXACT(Metadata!F774,"med"),EXACT(Metadata!F774,"hi"))))</f>
        <v>0</v>
      </c>
    </row>
    <row r="775" spans="1:21" x14ac:dyDescent="0.2">
      <c r="A775" s="4" t="str">
        <f ca="1">IF(B775=" "," ",HYPERLINK(CONCATENATE("#metadata!",ADDRESS(INDEX($L$2:$L$1001,MATCH(ROWS($J$2:J775),$J$2:$J$1001,0),0),1)),INDEX($O$2:$O$1001,MATCH(ROWS($J$2:J775),$J$2:$J$1001,0),0)))</f>
        <v xml:space="preserve"> </v>
      </c>
      <c r="B775" s="3" t="str">
        <f ca="1">IF(OR(INDEX($K$2:$K$1001,MATCH(ROWS($J$2:J775),$J$2:$J$1001,0),1)&gt;=100000,INDEX($Q$1005:$U$1005,1,MATCH(COLUMNS($Q$1006:Q1006),$Q$1006:$U$1006,0))&gt;=100000), " ",IF(INDEX($Q$2:$U$1001,MATCH(ROWS($J$2:J775),$J$2:$J$1001,0),MATCH(COLUMNS($Q$1006:Q1006),$Q$1006:$U$1006,0)), HYPERLINK("#",""), HYPERLINK(CONCATENATE("#Metadata!", ADDRESS(INDEX($L$2:$L$1001,MATCH(ROWS($J$2:J775),$J$2:$J$1001,0),0), INDEX($Q$1004:$U$1004,1,MATCH(COLUMNS($Q$1006:Q1006),$Q$1006:$U$1006,0)))),"Fix")))</f>
        <v xml:space="preserve"> </v>
      </c>
      <c r="C775" s="3" t="str">
        <f ca="1">IF(OR(INDEX($K$2:$K$1001,MATCH(ROWS($J$2:J775),$J$2:$J$1001,0),1)&gt;=100000,INDEX($Q$1005:$U$1005,1,MATCH(COLUMNS($Q$1006:R1006),$Q$1006:$U$1006,0))&gt;=100000), " ",IF(INDEX($Q$2:$U$1001,MATCH(ROWS($J$2:J775),$J$2:$J$1001,0),MATCH(COLUMNS($Q$1006:R1006),$Q$1006:$U$1006,0)), HYPERLINK("#",""), HYPERLINK(CONCATENATE("#Metadata!", ADDRESS(INDEX($L$2:$L$1001,MATCH(ROWS($J$2:J775),$J$2:$J$1001,0),0), INDEX($Q$1004:$U$1004,1,MATCH(COLUMNS($Q$1006:R1006),$Q$1006:$U$1006,0)))),"Fix")))</f>
        <v xml:space="preserve"> </v>
      </c>
      <c r="D775" s="3" t="str">
        <f ca="1">IF(OR(INDEX($K$2:$K$1001,MATCH(ROWS($J$2:J775),$J$2:$J$1001,0),1)&gt;=100000,INDEX($Q$1005:$U$1005,1,MATCH(COLUMNS($Q$1006:S1006),$Q$1006:$U$1006,0))&gt;=100000), " ",IF(INDEX($Q$2:$U$1001,MATCH(ROWS($J$2:J775),$J$2:$J$1001,0),MATCH(COLUMNS($Q$1006:S1006),$Q$1006:$U$1006,0)), HYPERLINK("#",""), HYPERLINK(CONCATENATE("#Metadata!", ADDRESS(INDEX($L$2:$L$1001,MATCH(ROWS($J$2:J775),$J$2:$J$1001,0),0), INDEX($Q$1004:$U$1004,1,MATCH(COLUMNS($Q$1006:S1006),$Q$1006:$U$1006,0)))),"Fix")))</f>
        <v xml:space="preserve"> </v>
      </c>
      <c r="E775" s="3" t="str">
        <f ca="1">IF(OR(INDEX($K$2:$K$1001,MATCH(ROWS($J$2:J775),$J$2:$J$1001,0),1)&gt;=100000,INDEX($Q$1005:$U$1005,1,MATCH(COLUMNS($Q$1006:T1006),$Q$1006:$U$1006,0))&gt;=100000), " ",IF(INDEX($Q$2:$U$1001,MATCH(ROWS($J$2:J775),$J$2:$J$1001,0),MATCH(COLUMNS($Q$1006:T1006),$Q$1006:$U$1006,0)), HYPERLINK("#",""), HYPERLINK(CONCATENATE("#Metadata!", ADDRESS(INDEX($L$2:$L$1001,MATCH(ROWS($J$2:J775),$J$2:$J$1001,0),0), INDEX($Q$1004:$U$1004,1,MATCH(COLUMNS($Q$1006:T1006),$Q$1006:$U$1006,0)))),"Fix")))</f>
        <v xml:space="preserve"> </v>
      </c>
      <c r="F775" s="3" t="str">
        <f ca="1">IF(OR(INDEX($K$2:$K$1001,MATCH(ROWS($J$2:J775),$J$2:$J$1001,0),1)&gt;=100000,INDEX($Q$1005:$U$1005,1,MATCH(COLUMNS($Q$1006:U1006),$Q$1006:$U$1006,0))&gt;=100000), " ",IF(INDEX($Q$2:$U$1001,MATCH(ROWS($J$2:J775),$J$2:$J$1001,0),MATCH(COLUMNS($Q$1006:U1006),$Q$1006:$U$1006,0)), HYPERLINK("#",""), HYPERLINK(CONCATENATE("#Metadata!", ADDRESS(INDEX($L$2:$L$1001,MATCH(ROWS($J$2:J775),$J$2:$J$1001,0),0), INDEX($Q$1004:$U$1004,1,MATCH(COLUMNS($Q$1006:U1006),$Q$1006:$U$1006,0)))),"Fix")))</f>
        <v xml:space="preserve"> </v>
      </c>
      <c r="J775">
        <f ca="1"/>
        <v>774</v>
      </c>
      <c r="K775">
        <v>100775</v>
      </c>
      <c r="L775">
        <v>775</v>
      </c>
      <c r="M775" t="b">
        <f t="shared" si="12"/>
        <v>1</v>
      </c>
      <c r="N775" t="b">
        <f>COUNTBLANK(Metadata!B775:F775)=COLUMNS(Metadata!B775:F775)</f>
        <v>1</v>
      </c>
      <c r="O775" t="str">
        <v/>
      </c>
      <c r="Q775" t="b">
        <f ca="1"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R775" t="b">
        <f>IF(Metadata!C775="",FALSE,TRUE)</f>
        <v>0</v>
      </c>
      <c r="S775" t="b">
        <f>OR(AND(IF(Metadata!D775="",FALSE,TRUE),EXACT(Metadata!D775,"missing: not collected")),AND(IF(Metadata!D775="",FALSE,TRUE),OR(EXACT(Metadata!D775,"t"),EXACT(Metadata!D775,"f"))))</f>
        <v>0</v>
      </c>
      <c r="T775" t="b">
        <f>AND(IF(Metadata!E775="",FALSE,TRUE),OR(EXACT(Metadata!E775,"a"),EXACT(Metadata!E775,"b")))</f>
        <v>0</v>
      </c>
      <c r="U775" t="b">
        <f>OR(AND(IF(Metadata!F775="",FALSE,TRUE),OR(EXACT(Metadata!F775,"missing: not collected"),EXACT(Metadata!F775,"missing: not provided"))),AND(IF(Metadata!F775="",FALSE,TRUE),OR(EXACT(Metadata!F775,"lo"),EXACT(Metadata!F775,"med"),EXACT(Metadata!F775,"hi"))))</f>
        <v>0</v>
      </c>
    </row>
    <row r="776" spans="1:21" x14ac:dyDescent="0.2">
      <c r="A776" s="4" t="str">
        <f ca="1">IF(B776=" "," ",HYPERLINK(CONCATENATE("#metadata!",ADDRESS(INDEX($L$2:$L$1001,MATCH(ROWS($J$2:J776),$J$2:$J$1001,0),0),1)),INDEX($O$2:$O$1001,MATCH(ROWS($J$2:J776),$J$2:$J$1001,0),0)))</f>
        <v xml:space="preserve"> </v>
      </c>
      <c r="B776" s="3" t="str">
        <f ca="1">IF(OR(INDEX($K$2:$K$1001,MATCH(ROWS($J$2:J776),$J$2:$J$1001,0),1)&gt;=100000,INDEX($Q$1005:$U$1005,1,MATCH(COLUMNS($Q$1006:Q1006),$Q$1006:$U$1006,0))&gt;=100000), " ",IF(INDEX($Q$2:$U$1001,MATCH(ROWS($J$2:J776),$J$2:$J$1001,0),MATCH(COLUMNS($Q$1006:Q1006),$Q$1006:$U$1006,0)), HYPERLINK("#",""), HYPERLINK(CONCATENATE("#Metadata!", ADDRESS(INDEX($L$2:$L$1001,MATCH(ROWS($J$2:J776),$J$2:$J$1001,0),0), INDEX($Q$1004:$U$1004,1,MATCH(COLUMNS($Q$1006:Q1006),$Q$1006:$U$1006,0)))),"Fix")))</f>
        <v xml:space="preserve"> </v>
      </c>
      <c r="C776" s="3" t="str">
        <f ca="1">IF(OR(INDEX($K$2:$K$1001,MATCH(ROWS($J$2:J776),$J$2:$J$1001,0),1)&gt;=100000,INDEX($Q$1005:$U$1005,1,MATCH(COLUMNS($Q$1006:R1006),$Q$1006:$U$1006,0))&gt;=100000), " ",IF(INDEX($Q$2:$U$1001,MATCH(ROWS($J$2:J776),$J$2:$J$1001,0),MATCH(COLUMNS($Q$1006:R1006),$Q$1006:$U$1006,0)), HYPERLINK("#",""), HYPERLINK(CONCATENATE("#Metadata!", ADDRESS(INDEX($L$2:$L$1001,MATCH(ROWS($J$2:J776),$J$2:$J$1001,0),0), INDEX($Q$1004:$U$1004,1,MATCH(COLUMNS($Q$1006:R1006),$Q$1006:$U$1006,0)))),"Fix")))</f>
        <v xml:space="preserve"> </v>
      </c>
      <c r="D776" s="3" t="str">
        <f ca="1">IF(OR(INDEX($K$2:$K$1001,MATCH(ROWS($J$2:J776),$J$2:$J$1001,0),1)&gt;=100000,INDEX($Q$1005:$U$1005,1,MATCH(COLUMNS($Q$1006:S1006),$Q$1006:$U$1006,0))&gt;=100000), " ",IF(INDEX($Q$2:$U$1001,MATCH(ROWS($J$2:J776),$J$2:$J$1001,0),MATCH(COLUMNS($Q$1006:S1006),$Q$1006:$U$1006,0)), HYPERLINK("#",""), HYPERLINK(CONCATENATE("#Metadata!", ADDRESS(INDEX($L$2:$L$1001,MATCH(ROWS($J$2:J776),$J$2:$J$1001,0),0), INDEX($Q$1004:$U$1004,1,MATCH(COLUMNS($Q$1006:S1006),$Q$1006:$U$1006,0)))),"Fix")))</f>
        <v xml:space="preserve"> </v>
      </c>
      <c r="E776" s="3" t="str">
        <f ca="1">IF(OR(INDEX($K$2:$K$1001,MATCH(ROWS($J$2:J776),$J$2:$J$1001,0),1)&gt;=100000,INDEX($Q$1005:$U$1005,1,MATCH(COLUMNS($Q$1006:T1006),$Q$1006:$U$1006,0))&gt;=100000), " ",IF(INDEX($Q$2:$U$1001,MATCH(ROWS($J$2:J776),$J$2:$J$1001,0),MATCH(COLUMNS($Q$1006:T1006),$Q$1006:$U$1006,0)), HYPERLINK("#",""), HYPERLINK(CONCATENATE("#Metadata!", ADDRESS(INDEX($L$2:$L$1001,MATCH(ROWS($J$2:J776),$J$2:$J$1001,0),0), INDEX($Q$1004:$U$1004,1,MATCH(COLUMNS($Q$1006:T1006),$Q$1006:$U$1006,0)))),"Fix")))</f>
        <v xml:space="preserve"> </v>
      </c>
      <c r="F776" s="3" t="str">
        <f ca="1">IF(OR(INDEX($K$2:$K$1001,MATCH(ROWS($J$2:J776),$J$2:$J$1001,0),1)&gt;=100000,INDEX($Q$1005:$U$1005,1,MATCH(COLUMNS($Q$1006:U1006),$Q$1006:$U$1006,0))&gt;=100000), " ",IF(INDEX($Q$2:$U$1001,MATCH(ROWS($J$2:J776),$J$2:$J$1001,0),MATCH(COLUMNS($Q$1006:U1006),$Q$1006:$U$1006,0)), HYPERLINK("#",""), HYPERLINK(CONCATENATE("#Metadata!", ADDRESS(INDEX($L$2:$L$1001,MATCH(ROWS($J$2:J776),$J$2:$J$1001,0),0), INDEX($Q$1004:$U$1004,1,MATCH(COLUMNS($Q$1006:U1006),$Q$1006:$U$1006,0)))),"Fix")))</f>
        <v xml:space="preserve"> </v>
      </c>
      <c r="J776">
        <f ca="1"/>
        <v>775</v>
      </c>
      <c r="K776">
        <v>100776</v>
      </c>
      <c r="L776">
        <v>776</v>
      </c>
      <c r="M776" t="b">
        <f t="shared" si="12"/>
        <v>1</v>
      </c>
      <c r="N776" t="b">
        <f>COUNTBLANK(Metadata!B776:F776)=COLUMNS(Metadata!B776:F776)</f>
        <v>1</v>
      </c>
      <c r="O776" t="str">
        <v/>
      </c>
      <c r="Q776" t="b">
        <f ca="1"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R776" t="b">
        <f>IF(Metadata!C776="",FALSE,TRUE)</f>
        <v>0</v>
      </c>
      <c r="S776" t="b">
        <f>OR(AND(IF(Metadata!D776="",FALSE,TRUE),EXACT(Metadata!D776,"missing: not collected")),AND(IF(Metadata!D776="",FALSE,TRUE),OR(EXACT(Metadata!D776,"t"),EXACT(Metadata!D776,"f"))))</f>
        <v>0</v>
      </c>
      <c r="T776" t="b">
        <f>AND(IF(Metadata!E776="",FALSE,TRUE),OR(EXACT(Metadata!E776,"a"),EXACT(Metadata!E776,"b")))</f>
        <v>0</v>
      </c>
      <c r="U776" t="b">
        <f>OR(AND(IF(Metadata!F776="",FALSE,TRUE),OR(EXACT(Metadata!F776,"missing: not collected"),EXACT(Metadata!F776,"missing: not provided"))),AND(IF(Metadata!F776="",FALSE,TRUE),OR(EXACT(Metadata!F776,"lo"),EXACT(Metadata!F776,"med"),EXACT(Metadata!F776,"hi"))))</f>
        <v>0</v>
      </c>
    </row>
    <row r="777" spans="1:21" x14ac:dyDescent="0.2">
      <c r="A777" s="4" t="str">
        <f ca="1">IF(B777=" "," ",HYPERLINK(CONCATENATE("#metadata!",ADDRESS(INDEX($L$2:$L$1001,MATCH(ROWS($J$2:J777),$J$2:$J$1001,0),0),1)),INDEX($O$2:$O$1001,MATCH(ROWS($J$2:J777),$J$2:$J$1001,0),0)))</f>
        <v xml:space="preserve"> </v>
      </c>
      <c r="B777" s="3" t="str">
        <f ca="1">IF(OR(INDEX($K$2:$K$1001,MATCH(ROWS($J$2:J777),$J$2:$J$1001,0),1)&gt;=100000,INDEX($Q$1005:$U$1005,1,MATCH(COLUMNS($Q$1006:Q1006),$Q$1006:$U$1006,0))&gt;=100000), " ",IF(INDEX($Q$2:$U$1001,MATCH(ROWS($J$2:J777),$J$2:$J$1001,0),MATCH(COLUMNS($Q$1006:Q1006),$Q$1006:$U$1006,0)), HYPERLINK("#",""), HYPERLINK(CONCATENATE("#Metadata!", ADDRESS(INDEX($L$2:$L$1001,MATCH(ROWS($J$2:J777),$J$2:$J$1001,0),0), INDEX($Q$1004:$U$1004,1,MATCH(COLUMNS($Q$1006:Q1006),$Q$1006:$U$1006,0)))),"Fix")))</f>
        <v xml:space="preserve"> </v>
      </c>
      <c r="C777" s="3" t="str">
        <f ca="1">IF(OR(INDEX($K$2:$K$1001,MATCH(ROWS($J$2:J777),$J$2:$J$1001,0),1)&gt;=100000,INDEX($Q$1005:$U$1005,1,MATCH(COLUMNS($Q$1006:R1006),$Q$1006:$U$1006,0))&gt;=100000), " ",IF(INDEX($Q$2:$U$1001,MATCH(ROWS($J$2:J777),$J$2:$J$1001,0),MATCH(COLUMNS($Q$1006:R1006),$Q$1006:$U$1006,0)), HYPERLINK("#",""), HYPERLINK(CONCATENATE("#Metadata!", ADDRESS(INDEX($L$2:$L$1001,MATCH(ROWS($J$2:J777),$J$2:$J$1001,0),0), INDEX($Q$1004:$U$1004,1,MATCH(COLUMNS($Q$1006:R1006),$Q$1006:$U$1006,0)))),"Fix")))</f>
        <v xml:space="preserve"> </v>
      </c>
      <c r="D777" s="3" t="str">
        <f ca="1">IF(OR(INDEX($K$2:$K$1001,MATCH(ROWS($J$2:J777),$J$2:$J$1001,0),1)&gt;=100000,INDEX($Q$1005:$U$1005,1,MATCH(COLUMNS($Q$1006:S1006),$Q$1006:$U$1006,0))&gt;=100000), " ",IF(INDEX($Q$2:$U$1001,MATCH(ROWS($J$2:J777),$J$2:$J$1001,0),MATCH(COLUMNS($Q$1006:S1006),$Q$1006:$U$1006,0)), HYPERLINK("#",""), HYPERLINK(CONCATENATE("#Metadata!", ADDRESS(INDEX($L$2:$L$1001,MATCH(ROWS($J$2:J777),$J$2:$J$1001,0),0), INDEX($Q$1004:$U$1004,1,MATCH(COLUMNS($Q$1006:S1006),$Q$1006:$U$1006,0)))),"Fix")))</f>
        <v xml:space="preserve"> </v>
      </c>
      <c r="E777" s="3" t="str">
        <f ca="1">IF(OR(INDEX($K$2:$K$1001,MATCH(ROWS($J$2:J777),$J$2:$J$1001,0),1)&gt;=100000,INDEX($Q$1005:$U$1005,1,MATCH(COLUMNS($Q$1006:T1006),$Q$1006:$U$1006,0))&gt;=100000), " ",IF(INDEX($Q$2:$U$1001,MATCH(ROWS($J$2:J777),$J$2:$J$1001,0),MATCH(COLUMNS($Q$1006:T1006),$Q$1006:$U$1006,0)), HYPERLINK("#",""), HYPERLINK(CONCATENATE("#Metadata!", ADDRESS(INDEX($L$2:$L$1001,MATCH(ROWS($J$2:J777),$J$2:$J$1001,0),0), INDEX($Q$1004:$U$1004,1,MATCH(COLUMNS($Q$1006:T1006),$Q$1006:$U$1006,0)))),"Fix")))</f>
        <v xml:space="preserve"> </v>
      </c>
      <c r="F777" s="3" t="str">
        <f ca="1">IF(OR(INDEX($K$2:$K$1001,MATCH(ROWS($J$2:J777),$J$2:$J$1001,0),1)&gt;=100000,INDEX($Q$1005:$U$1005,1,MATCH(COLUMNS($Q$1006:U1006),$Q$1006:$U$1006,0))&gt;=100000), " ",IF(INDEX($Q$2:$U$1001,MATCH(ROWS($J$2:J777),$J$2:$J$1001,0),MATCH(COLUMNS($Q$1006:U1006),$Q$1006:$U$1006,0)), HYPERLINK("#",""), HYPERLINK(CONCATENATE("#Metadata!", ADDRESS(INDEX($L$2:$L$1001,MATCH(ROWS($J$2:J777),$J$2:$J$1001,0),0), INDEX($Q$1004:$U$1004,1,MATCH(COLUMNS($Q$1006:U1006),$Q$1006:$U$1006,0)))),"Fix")))</f>
        <v xml:space="preserve"> </v>
      </c>
      <c r="J777">
        <f ca="1"/>
        <v>776</v>
      </c>
      <c r="K777">
        <v>100777</v>
      </c>
      <c r="L777">
        <v>777</v>
      </c>
      <c r="M777" t="b">
        <f t="shared" si="12"/>
        <v>1</v>
      </c>
      <c r="N777" t="b">
        <f>COUNTBLANK(Metadata!B777:F777)=COLUMNS(Metadata!B777:F777)</f>
        <v>1</v>
      </c>
      <c r="O777" t="str">
        <v/>
      </c>
      <c r="Q777" t="b">
        <f ca="1"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R777" t="b">
        <f>IF(Metadata!C777="",FALSE,TRUE)</f>
        <v>0</v>
      </c>
      <c r="S777" t="b">
        <f>OR(AND(IF(Metadata!D777="",FALSE,TRUE),EXACT(Metadata!D777,"missing: not collected")),AND(IF(Metadata!D777="",FALSE,TRUE),OR(EXACT(Metadata!D777,"t"),EXACT(Metadata!D777,"f"))))</f>
        <v>0</v>
      </c>
      <c r="T777" t="b">
        <f>AND(IF(Metadata!E777="",FALSE,TRUE),OR(EXACT(Metadata!E777,"a"),EXACT(Metadata!E777,"b")))</f>
        <v>0</v>
      </c>
      <c r="U777" t="b">
        <f>OR(AND(IF(Metadata!F777="",FALSE,TRUE),OR(EXACT(Metadata!F777,"missing: not collected"),EXACT(Metadata!F777,"missing: not provided"))),AND(IF(Metadata!F777="",FALSE,TRUE),OR(EXACT(Metadata!F777,"lo"),EXACT(Metadata!F777,"med"),EXACT(Metadata!F777,"hi"))))</f>
        <v>0</v>
      </c>
    </row>
    <row r="778" spans="1:21" x14ac:dyDescent="0.2">
      <c r="A778" s="4" t="str">
        <f ca="1">IF(B778=" "," ",HYPERLINK(CONCATENATE("#metadata!",ADDRESS(INDEX($L$2:$L$1001,MATCH(ROWS($J$2:J778),$J$2:$J$1001,0),0),1)),INDEX($O$2:$O$1001,MATCH(ROWS($J$2:J778),$J$2:$J$1001,0),0)))</f>
        <v xml:space="preserve"> </v>
      </c>
      <c r="B778" s="3" t="str">
        <f ca="1">IF(OR(INDEX($K$2:$K$1001,MATCH(ROWS($J$2:J778),$J$2:$J$1001,0),1)&gt;=100000,INDEX($Q$1005:$U$1005,1,MATCH(COLUMNS($Q$1006:Q1006),$Q$1006:$U$1006,0))&gt;=100000), " ",IF(INDEX($Q$2:$U$1001,MATCH(ROWS($J$2:J778),$J$2:$J$1001,0),MATCH(COLUMNS($Q$1006:Q1006),$Q$1006:$U$1006,0)), HYPERLINK("#",""), HYPERLINK(CONCATENATE("#Metadata!", ADDRESS(INDEX($L$2:$L$1001,MATCH(ROWS($J$2:J778),$J$2:$J$1001,0),0), INDEX($Q$1004:$U$1004,1,MATCH(COLUMNS($Q$1006:Q1006),$Q$1006:$U$1006,0)))),"Fix")))</f>
        <v xml:space="preserve"> </v>
      </c>
      <c r="C778" s="3" t="str">
        <f ca="1">IF(OR(INDEX($K$2:$K$1001,MATCH(ROWS($J$2:J778),$J$2:$J$1001,0),1)&gt;=100000,INDEX($Q$1005:$U$1005,1,MATCH(COLUMNS($Q$1006:R1006),$Q$1006:$U$1006,0))&gt;=100000), " ",IF(INDEX($Q$2:$U$1001,MATCH(ROWS($J$2:J778),$J$2:$J$1001,0),MATCH(COLUMNS($Q$1006:R1006),$Q$1006:$U$1006,0)), HYPERLINK("#",""), HYPERLINK(CONCATENATE("#Metadata!", ADDRESS(INDEX($L$2:$L$1001,MATCH(ROWS($J$2:J778),$J$2:$J$1001,0),0), INDEX($Q$1004:$U$1004,1,MATCH(COLUMNS($Q$1006:R1006),$Q$1006:$U$1006,0)))),"Fix")))</f>
        <v xml:space="preserve"> </v>
      </c>
      <c r="D778" s="3" t="str">
        <f ca="1">IF(OR(INDEX($K$2:$K$1001,MATCH(ROWS($J$2:J778),$J$2:$J$1001,0),1)&gt;=100000,INDEX($Q$1005:$U$1005,1,MATCH(COLUMNS($Q$1006:S1006),$Q$1006:$U$1006,0))&gt;=100000), " ",IF(INDEX($Q$2:$U$1001,MATCH(ROWS($J$2:J778),$J$2:$J$1001,0),MATCH(COLUMNS($Q$1006:S1006),$Q$1006:$U$1006,0)), HYPERLINK("#",""), HYPERLINK(CONCATENATE("#Metadata!", ADDRESS(INDEX($L$2:$L$1001,MATCH(ROWS($J$2:J778),$J$2:$J$1001,0),0), INDEX($Q$1004:$U$1004,1,MATCH(COLUMNS($Q$1006:S1006),$Q$1006:$U$1006,0)))),"Fix")))</f>
        <v xml:space="preserve"> </v>
      </c>
      <c r="E778" s="3" t="str">
        <f ca="1">IF(OR(INDEX($K$2:$K$1001,MATCH(ROWS($J$2:J778),$J$2:$J$1001,0),1)&gt;=100000,INDEX($Q$1005:$U$1005,1,MATCH(COLUMNS($Q$1006:T1006),$Q$1006:$U$1006,0))&gt;=100000), " ",IF(INDEX($Q$2:$U$1001,MATCH(ROWS($J$2:J778),$J$2:$J$1001,0),MATCH(COLUMNS($Q$1006:T1006),$Q$1006:$U$1006,0)), HYPERLINK("#",""), HYPERLINK(CONCATENATE("#Metadata!", ADDRESS(INDEX($L$2:$L$1001,MATCH(ROWS($J$2:J778),$J$2:$J$1001,0),0), INDEX($Q$1004:$U$1004,1,MATCH(COLUMNS($Q$1006:T1006),$Q$1006:$U$1006,0)))),"Fix")))</f>
        <v xml:space="preserve"> </v>
      </c>
      <c r="F778" s="3" t="str">
        <f ca="1">IF(OR(INDEX($K$2:$K$1001,MATCH(ROWS($J$2:J778),$J$2:$J$1001,0),1)&gt;=100000,INDEX($Q$1005:$U$1005,1,MATCH(COLUMNS($Q$1006:U1006),$Q$1006:$U$1006,0))&gt;=100000), " ",IF(INDEX($Q$2:$U$1001,MATCH(ROWS($J$2:J778),$J$2:$J$1001,0),MATCH(COLUMNS($Q$1006:U1006),$Q$1006:$U$1006,0)), HYPERLINK("#",""), HYPERLINK(CONCATENATE("#Metadata!", ADDRESS(INDEX($L$2:$L$1001,MATCH(ROWS($J$2:J778),$J$2:$J$1001,0),0), INDEX($Q$1004:$U$1004,1,MATCH(COLUMNS($Q$1006:U1006),$Q$1006:$U$1006,0)))),"Fix")))</f>
        <v xml:space="preserve"> </v>
      </c>
      <c r="J778">
        <f ca="1"/>
        <v>777</v>
      </c>
      <c r="K778">
        <v>100778</v>
      </c>
      <c r="L778">
        <v>778</v>
      </c>
      <c r="M778" t="b">
        <f t="shared" si="12"/>
        <v>1</v>
      </c>
      <c r="N778" t="b">
        <f>COUNTBLANK(Metadata!B778:F778)=COLUMNS(Metadata!B778:F778)</f>
        <v>1</v>
      </c>
      <c r="O778" t="str">
        <v/>
      </c>
      <c r="Q778" t="b">
        <f ca="1"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R778" t="b">
        <f>IF(Metadata!C778="",FALSE,TRUE)</f>
        <v>0</v>
      </c>
      <c r="S778" t="b">
        <f>OR(AND(IF(Metadata!D778="",FALSE,TRUE),EXACT(Metadata!D778,"missing: not collected")),AND(IF(Metadata!D778="",FALSE,TRUE),OR(EXACT(Metadata!D778,"t"),EXACT(Metadata!D778,"f"))))</f>
        <v>0</v>
      </c>
      <c r="T778" t="b">
        <f>AND(IF(Metadata!E778="",FALSE,TRUE),OR(EXACT(Metadata!E778,"a"),EXACT(Metadata!E778,"b")))</f>
        <v>0</v>
      </c>
      <c r="U778" t="b">
        <f>OR(AND(IF(Metadata!F778="",FALSE,TRUE),OR(EXACT(Metadata!F778,"missing: not collected"),EXACT(Metadata!F778,"missing: not provided"))),AND(IF(Metadata!F778="",FALSE,TRUE),OR(EXACT(Metadata!F778,"lo"),EXACT(Metadata!F778,"med"),EXACT(Metadata!F778,"hi"))))</f>
        <v>0</v>
      </c>
    </row>
    <row r="779" spans="1:21" x14ac:dyDescent="0.2">
      <c r="A779" s="4" t="str">
        <f ca="1">IF(B779=" "," ",HYPERLINK(CONCATENATE("#metadata!",ADDRESS(INDEX($L$2:$L$1001,MATCH(ROWS($J$2:J779),$J$2:$J$1001,0),0),1)),INDEX($O$2:$O$1001,MATCH(ROWS($J$2:J779),$J$2:$J$1001,0),0)))</f>
        <v xml:space="preserve"> </v>
      </c>
      <c r="B779" s="3" t="str">
        <f ca="1">IF(OR(INDEX($K$2:$K$1001,MATCH(ROWS($J$2:J779),$J$2:$J$1001,0),1)&gt;=100000,INDEX($Q$1005:$U$1005,1,MATCH(COLUMNS($Q$1006:Q1006),$Q$1006:$U$1006,0))&gt;=100000), " ",IF(INDEX($Q$2:$U$1001,MATCH(ROWS($J$2:J779),$J$2:$J$1001,0),MATCH(COLUMNS($Q$1006:Q1006),$Q$1006:$U$1006,0)), HYPERLINK("#",""), HYPERLINK(CONCATENATE("#Metadata!", ADDRESS(INDEX($L$2:$L$1001,MATCH(ROWS($J$2:J779),$J$2:$J$1001,0),0), INDEX($Q$1004:$U$1004,1,MATCH(COLUMNS($Q$1006:Q1006),$Q$1006:$U$1006,0)))),"Fix")))</f>
        <v xml:space="preserve"> </v>
      </c>
      <c r="C779" s="3" t="str">
        <f ca="1">IF(OR(INDEX($K$2:$K$1001,MATCH(ROWS($J$2:J779),$J$2:$J$1001,0),1)&gt;=100000,INDEX($Q$1005:$U$1005,1,MATCH(COLUMNS($Q$1006:R1006),$Q$1006:$U$1006,0))&gt;=100000), " ",IF(INDEX($Q$2:$U$1001,MATCH(ROWS($J$2:J779),$J$2:$J$1001,0),MATCH(COLUMNS($Q$1006:R1006),$Q$1006:$U$1006,0)), HYPERLINK("#",""), HYPERLINK(CONCATENATE("#Metadata!", ADDRESS(INDEX($L$2:$L$1001,MATCH(ROWS($J$2:J779),$J$2:$J$1001,0),0), INDEX($Q$1004:$U$1004,1,MATCH(COLUMNS($Q$1006:R1006),$Q$1006:$U$1006,0)))),"Fix")))</f>
        <v xml:space="preserve"> </v>
      </c>
      <c r="D779" s="3" t="str">
        <f ca="1">IF(OR(INDEX($K$2:$K$1001,MATCH(ROWS($J$2:J779),$J$2:$J$1001,0),1)&gt;=100000,INDEX($Q$1005:$U$1005,1,MATCH(COLUMNS($Q$1006:S1006),$Q$1006:$U$1006,0))&gt;=100000), " ",IF(INDEX($Q$2:$U$1001,MATCH(ROWS($J$2:J779),$J$2:$J$1001,0),MATCH(COLUMNS($Q$1006:S1006),$Q$1006:$U$1006,0)), HYPERLINK("#",""), HYPERLINK(CONCATENATE("#Metadata!", ADDRESS(INDEX($L$2:$L$1001,MATCH(ROWS($J$2:J779),$J$2:$J$1001,0),0), INDEX($Q$1004:$U$1004,1,MATCH(COLUMNS($Q$1006:S1006),$Q$1006:$U$1006,0)))),"Fix")))</f>
        <v xml:space="preserve"> </v>
      </c>
      <c r="E779" s="3" t="str">
        <f ca="1">IF(OR(INDEX($K$2:$K$1001,MATCH(ROWS($J$2:J779),$J$2:$J$1001,0),1)&gt;=100000,INDEX($Q$1005:$U$1005,1,MATCH(COLUMNS($Q$1006:T1006),$Q$1006:$U$1006,0))&gt;=100000), " ",IF(INDEX($Q$2:$U$1001,MATCH(ROWS($J$2:J779),$J$2:$J$1001,0),MATCH(COLUMNS($Q$1006:T1006),$Q$1006:$U$1006,0)), HYPERLINK("#",""), HYPERLINK(CONCATENATE("#Metadata!", ADDRESS(INDEX($L$2:$L$1001,MATCH(ROWS($J$2:J779),$J$2:$J$1001,0),0), INDEX($Q$1004:$U$1004,1,MATCH(COLUMNS($Q$1006:T1006),$Q$1006:$U$1006,0)))),"Fix")))</f>
        <v xml:space="preserve"> </v>
      </c>
      <c r="F779" s="3" t="str">
        <f ca="1">IF(OR(INDEX($K$2:$K$1001,MATCH(ROWS($J$2:J779),$J$2:$J$1001,0),1)&gt;=100000,INDEX($Q$1005:$U$1005,1,MATCH(COLUMNS($Q$1006:U1006),$Q$1006:$U$1006,0))&gt;=100000), " ",IF(INDEX($Q$2:$U$1001,MATCH(ROWS($J$2:J779),$J$2:$J$1001,0),MATCH(COLUMNS($Q$1006:U1006),$Q$1006:$U$1006,0)), HYPERLINK("#",""), HYPERLINK(CONCATENATE("#Metadata!", ADDRESS(INDEX($L$2:$L$1001,MATCH(ROWS($J$2:J779),$J$2:$J$1001,0),0), INDEX($Q$1004:$U$1004,1,MATCH(COLUMNS($Q$1006:U1006),$Q$1006:$U$1006,0)))),"Fix")))</f>
        <v xml:space="preserve"> </v>
      </c>
      <c r="J779">
        <f ca="1"/>
        <v>778</v>
      </c>
      <c r="K779">
        <v>100779</v>
      </c>
      <c r="L779">
        <v>779</v>
      </c>
      <c r="M779" t="b">
        <f t="shared" si="12"/>
        <v>1</v>
      </c>
      <c r="N779" t="b">
        <f>COUNTBLANK(Metadata!B779:F779)=COLUMNS(Metadata!B779:F779)</f>
        <v>1</v>
      </c>
      <c r="O779" t="str">
        <v/>
      </c>
      <c r="Q779" t="b">
        <f ca="1"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R779" t="b">
        <f>IF(Metadata!C779="",FALSE,TRUE)</f>
        <v>0</v>
      </c>
      <c r="S779" t="b">
        <f>OR(AND(IF(Metadata!D779="",FALSE,TRUE),EXACT(Metadata!D779,"missing: not collected")),AND(IF(Metadata!D779="",FALSE,TRUE),OR(EXACT(Metadata!D779,"t"),EXACT(Metadata!D779,"f"))))</f>
        <v>0</v>
      </c>
      <c r="T779" t="b">
        <f>AND(IF(Metadata!E779="",FALSE,TRUE),OR(EXACT(Metadata!E779,"a"),EXACT(Metadata!E779,"b")))</f>
        <v>0</v>
      </c>
      <c r="U779" t="b">
        <f>OR(AND(IF(Metadata!F779="",FALSE,TRUE),OR(EXACT(Metadata!F779,"missing: not collected"),EXACT(Metadata!F779,"missing: not provided"))),AND(IF(Metadata!F779="",FALSE,TRUE),OR(EXACT(Metadata!F779,"lo"),EXACT(Metadata!F779,"med"),EXACT(Metadata!F779,"hi"))))</f>
        <v>0</v>
      </c>
    </row>
    <row r="780" spans="1:21" x14ac:dyDescent="0.2">
      <c r="A780" s="4" t="str">
        <f ca="1">IF(B780=" "," ",HYPERLINK(CONCATENATE("#metadata!",ADDRESS(INDEX($L$2:$L$1001,MATCH(ROWS($J$2:J780),$J$2:$J$1001,0),0),1)),INDEX($O$2:$O$1001,MATCH(ROWS($J$2:J780),$J$2:$J$1001,0),0)))</f>
        <v xml:space="preserve"> </v>
      </c>
      <c r="B780" s="3" t="str">
        <f ca="1">IF(OR(INDEX($K$2:$K$1001,MATCH(ROWS($J$2:J780),$J$2:$J$1001,0),1)&gt;=100000,INDEX($Q$1005:$U$1005,1,MATCH(COLUMNS($Q$1006:Q1006),$Q$1006:$U$1006,0))&gt;=100000), " ",IF(INDEX($Q$2:$U$1001,MATCH(ROWS($J$2:J780),$J$2:$J$1001,0),MATCH(COLUMNS($Q$1006:Q1006),$Q$1006:$U$1006,0)), HYPERLINK("#",""), HYPERLINK(CONCATENATE("#Metadata!", ADDRESS(INDEX($L$2:$L$1001,MATCH(ROWS($J$2:J780),$J$2:$J$1001,0),0), INDEX($Q$1004:$U$1004,1,MATCH(COLUMNS($Q$1006:Q1006),$Q$1006:$U$1006,0)))),"Fix")))</f>
        <v xml:space="preserve"> </v>
      </c>
      <c r="C780" s="3" t="str">
        <f ca="1">IF(OR(INDEX($K$2:$K$1001,MATCH(ROWS($J$2:J780),$J$2:$J$1001,0),1)&gt;=100000,INDEX($Q$1005:$U$1005,1,MATCH(COLUMNS($Q$1006:R1006),$Q$1006:$U$1006,0))&gt;=100000), " ",IF(INDEX($Q$2:$U$1001,MATCH(ROWS($J$2:J780),$J$2:$J$1001,0),MATCH(COLUMNS($Q$1006:R1006),$Q$1006:$U$1006,0)), HYPERLINK("#",""), HYPERLINK(CONCATENATE("#Metadata!", ADDRESS(INDEX($L$2:$L$1001,MATCH(ROWS($J$2:J780),$J$2:$J$1001,0),0), INDEX($Q$1004:$U$1004,1,MATCH(COLUMNS($Q$1006:R1006),$Q$1006:$U$1006,0)))),"Fix")))</f>
        <v xml:space="preserve"> </v>
      </c>
      <c r="D780" s="3" t="str">
        <f ca="1">IF(OR(INDEX($K$2:$K$1001,MATCH(ROWS($J$2:J780),$J$2:$J$1001,0),1)&gt;=100000,INDEX($Q$1005:$U$1005,1,MATCH(COLUMNS($Q$1006:S1006),$Q$1006:$U$1006,0))&gt;=100000), " ",IF(INDEX($Q$2:$U$1001,MATCH(ROWS($J$2:J780),$J$2:$J$1001,0),MATCH(COLUMNS($Q$1006:S1006),$Q$1006:$U$1006,0)), HYPERLINK("#",""), HYPERLINK(CONCATENATE("#Metadata!", ADDRESS(INDEX($L$2:$L$1001,MATCH(ROWS($J$2:J780),$J$2:$J$1001,0),0), INDEX($Q$1004:$U$1004,1,MATCH(COLUMNS($Q$1006:S1006),$Q$1006:$U$1006,0)))),"Fix")))</f>
        <v xml:space="preserve"> </v>
      </c>
      <c r="E780" s="3" t="str">
        <f ca="1">IF(OR(INDEX($K$2:$K$1001,MATCH(ROWS($J$2:J780),$J$2:$J$1001,0),1)&gt;=100000,INDEX($Q$1005:$U$1005,1,MATCH(COLUMNS($Q$1006:T1006),$Q$1006:$U$1006,0))&gt;=100000), " ",IF(INDEX($Q$2:$U$1001,MATCH(ROWS($J$2:J780),$J$2:$J$1001,0),MATCH(COLUMNS($Q$1006:T1006),$Q$1006:$U$1006,0)), HYPERLINK("#",""), HYPERLINK(CONCATENATE("#Metadata!", ADDRESS(INDEX($L$2:$L$1001,MATCH(ROWS($J$2:J780),$J$2:$J$1001,0),0), INDEX($Q$1004:$U$1004,1,MATCH(COLUMNS($Q$1006:T1006),$Q$1006:$U$1006,0)))),"Fix")))</f>
        <v xml:space="preserve"> </v>
      </c>
      <c r="F780" s="3" t="str">
        <f ca="1">IF(OR(INDEX($K$2:$K$1001,MATCH(ROWS($J$2:J780),$J$2:$J$1001,0),1)&gt;=100000,INDEX($Q$1005:$U$1005,1,MATCH(COLUMNS($Q$1006:U1006),$Q$1006:$U$1006,0))&gt;=100000), " ",IF(INDEX($Q$2:$U$1001,MATCH(ROWS($J$2:J780),$J$2:$J$1001,0),MATCH(COLUMNS($Q$1006:U1006),$Q$1006:$U$1006,0)), HYPERLINK("#",""), HYPERLINK(CONCATENATE("#Metadata!", ADDRESS(INDEX($L$2:$L$1001,MATCH(ROWS($J$2:J780),$J$2:$J$1001,0),0), INDEX($Q$1004:$U$1004,1,MATCH(COLUMNS($Q$1006:U1006),$Q$1006:$U$1006,0)))),"Fix")))</f>
        <v xml:space="preserve"> </v>
      </c>
      <c r="J780">
        <f ca="1"/>
        <v>779</v>
      </c>
      <c r="K780">
        <v>100780</v>
      </c>
      <c r="L780">
        <v>780</v>
      </c>
      <c r="M780" t="b">
        <f t="shared" si="12"/>
        <v>1</v>
      </c>
      <c r="N780" t="b">
        <f>COUNTBLANK(Metadata!B780:F780)=COLUMNS(Metadata!B780:F780)</f>
        <v>1</v>
      </c>
      <c r="O780" t="str">
        <v/>
      </c>
      <c r="Q780" t="b">
        <f ca="1"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R780" t="b">
        <f>IF(Metadata!C780="",FALSE,TRUE)</f>
        <v>0</v>
      </c>
      <c r="S780" t="b">
        <f>OR(AND(IF(Metadata!D780="",FALSE,TRUE),EXACT(Metadata!D780,"missing: not collected")),AND(IF(Metadata!D780="",FALSE,TRUE),OR(EXACT(Metadata!D780,"t"),EXACT(Metadata!D780,"f"))))</f>
        <v>0</v>
      </c>
      <c r="T780" t="b">
        <f>AND(IF(Metadata!E780="",FALSE,TRUE),OR(EXACT(Metadata!E780,"a"),EXACT(Metadata!E780,"b")))</f>
        <v>0</v>
      </c>
      <c r="U780" t="b">
        <f>OR(AND(IF(Metadata!F780="",FALSE,TRUE),OR(EXACT(Metadata!F780,"missing: not collected"),EXACT(Metadata!F780,"missing: not provided"))),AND(IF(Metadata!F780="",FALSE,TRUE),OR(EXACT(Metadata!F780,"lo"),EXACT(Metadata!F780,"med"),EXACT(Metadata!F780,"hi"))))</f>
        <v>0</v>
      </c>
    </row>
    <row r="781" spans="1:21" x14ac:dyDescent="0.2">
      <c r="A781" s="4" t="str">
        <f ca="1">IF(B781=" "," ",HYPERLINK(CONCATENATE("#metadata!",ADDRESS(INDEX($L$2:$L$1001,MATCH(ROWS($J$2:J781),$J$2:$J$1001,0),0),1)),INDEX($O$2:$O$1001,MATCH(ROWS($J$2:J781),$J$2:$J$1001,0),0)))</f>
        <v xml:space="preserve"> </v>
      </c>
      <c r="B781" s="3" t="str">
        <f ca="1">IF(OR(INDEX($K$2:$K$1001,MATCH(ROWS($J$2:J781),$J$2:$J$1001,0),1)&gt;=100000,INDEX($Q$1005:$U$1005,1,MATCH(COLUMNS($Q$1006:Q1006),$Q$1006:$U$1006,0))&gt;=100000), " ",IF(INDEX($Q$2:$U$1001,MATCH(ROWS($J$2:J781),$J$2:$J$1001,0),MATCH(COLUMNS($Q$1006:Q1006),$Q$1006:$U$1006,0)), HYPERLINK("#",""), HYPERLINK(CONCATENATE("#Metadata!", ADDRESS(INDEX($L$2:$L$1001,MATCH(ROWS($J$2:J781),$J$2:$J$1001,0),0), INDEX($Q$1004:$U$1004,1,MATCH(COLUMNS($Q$1006:Q1006),$Q$1006:$U$1006,0)))),"Fix")))</f>
        <v xml:space="preserve"> </v>
      </c>
      <c r="C781" s="3" t="str">
        <f ca="1">IF(OR(INDEX($K$2:$K$1001,MATCH(ROWS($J$2:J781),$J$2:$J$1001,0),1)&gt;=100000,INDEX($Q$1005:$U$1005,1,MATCH(COLUMNS($Q$1006:R1006),$Q$1006:$U$1006,0))&gt;=100000), " ",IF(INDEX($Q$2:$U$1001,MATCH(ROWS($J$2:J781),$J$2:$J$1001,0),MATCH(COLUMNS($Q$1006:R1006),$Q$1006:$U$1006,0)), HYPERLINK("#",""), HYPERLINK(CONCATENATE("#Metadata!", ADDRESS(INDEX($L$2:$L$1001,MATCH(ROWS($J$2:J781),$J$2:$J$1001,0),0), INDEX($Q$1004:$U$1004,1,MATCH(COLUMNS($Q$1006:R1006),$Q$1006:$U$1006,0)))),"Fix")))</f>
        <v xml:space="preserve"> </v>
      </c>
      <c r="D781" s="3" t="str">
        <f ca="1">IF(OR(INDEX($K$2:$K$1001,MATCH(ROWS($J$2:J781),$J$2:$J$1001,0),1)&gt;=100000,INDEX($Q$1005:$U$1005,1,MATCH(COLUMNS($Q$1006:S1006),$Q$1006:$U$1006,0))&gt;=100000), " ",IF(INDEX($Q$2:$U$1001,MATCH(ROWS($J$2:J781),$J$2:$J$1001,0),MATCH(COLUMNS($Q$1006:S1006),$Q$1006:$U$1006,0)), HYPERLINK("#",""), HYPERLINK(CONCATENATE("#Metadata!", ADDRESS(INDEX($L$2:$L$1001,MATCH(ROWS($J$2:J781),$J$2:$J$1001,0),0), INDEX($Q$1004:$U$1004,1,MATCH(COLUMNS($Q$1006:S1006),$Q$1006:$U$1006,0)))),"Fix")))</f>
        <v xml:space="preserve"> </v>
      </c>
      <c r="E781" s="3" t="str">
        <f ca="1">IF(OR(INDEX($K$2:$K$1001,MATCH(ROWS($J$2:J781),$J$2:$J$1001,0),1)&gt;=100000,INDEX($Q$1005:$U$1005,1,MATCH(COLUMNS($Q$1006:T1006),$Q$1006:$U$1006,0))&gt;=100000), " ",IF(INDEX($Q$2:$U$1001,MATCH(ROWS($J$2:J781),$J$2:$J$1001,0),MATCH(COLUMNS($Q$1006:T1006),$Q$1006:$U$1006,0)), HYPERLINK("#",""), HYPERLINK(CONCATENATE("#Metadata!", ADDRESS(INDEX($L$2:$L$1001,MATCH(ROWS($J$2:J781),$J$2:$J$1001,0),0), INDEX($Q$1004:$U$1004,1,MATCH(COLUMNS($Q$1006:T1006),$Q$1006:$U$1006,0)))),"Fix")))</f>
        <v xml:space="preserve"> </v>
      </c>
      <c r="F781" s="3" t="str">
        <f ca="1">IF(OR(INDEX($K$2:$K$1001,MATCH(ROWS($J$2:J781),$J$2:$J$1001,0),1)&gt;=100000,INDEX($Q$1005:$U$1005,1,MATCH(COLUMNS($Q$1006:U1006),$Q$1006:$U$1006,0))&gt;=100000), " ",IF(INDEX($Q$2:$U$1001,MATCH(ROWS($J$2:J781),$J$2:$J$1001,0),MATCH(COLUMNS($Q$1006:U1006),$Q$1006:$U$1006,0)), HYPERLINK("#",""), HYPERLINK(CONCATENATE("#Metadata!", ADDRESS(INDEX($L$2:$L$1001,MATCH(ROWS($J$2:J781),$J$2:$J$1001,0),0), INDEX($Q$1004:$U$1004,1,MATCH(COLUMNS($Q$1006:U1006),$Q$1006:$U$1006,0)))),"Fix")))</f>
        <v xml:space="preserve"> </v>
      </c>
      <c r="J781">
        <f ca="1"/>
        <v>780</v>
      </c>
      <c r="K781">
        <v>100781</v>
      </c>
      <c r="L781">
        <v>781</v>
      </c>
      <c r="M781" t="b">
        <f t="shared" si="12"/>
        <v>1</v>
      </c>
      <c r="N781" t="b">
        <f>COUNTBLANK(Metadata!B781:F781)=COLUMNS(Metadata!B781:F781)</f>
        <v>1</v>
      </c>
      <c r="O781" t="str">
        <v/>
      </c>
      <c r="Q781" t="b">
        <f ca="1"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R781" t="b">
        <f>IF(Metadata!C781="",FALSE,TRUE)</f>
        <v>0</v>
      </c>
      <c r="S781" t="b">
        <f>OR(AND(IF(Metadata!D781="",FALSE,TRUE),EXACT(Metadata!D781,"missing: not collected")),AND(IF(Metadata!D781="",FALSE,TRUE),OR(EXACT(Metadata!D781,"t"),EXACT(Metadata!D781,"f"))))</f>
        <v>0</v>
      </c>
      <c r="T781" t="b">
        <f>AND(IF(Metadata!E781="",FALSE,TRUE),OR(EXACT(Metadata!E781,"a"),EXACT(Metadata!E781,"b")))</f>
        <v>0</v>
      </c>
      <c r="U781" t="b">
        <f>OR(AND(IF(Metadata!F781="",FALSE,TRUE),OR(EXACT(Metadata!F781,"missing: not collected"),EXACT(Metadata!F781,"missing: not provided"))),AND(IF(Metadata!F781="",FALSE,TRUE),OR(EXACT(Metadata!F781,"lo"),EXACT(Metadata!F781,"med"),EXACT(Metadata!F781,"hi"))))</f>
        <v>0</v>
      </c>
    </row>
    <row r="782" spans="1:21" x14ac:dyDescent="0.2">
      <c r="A782" s="4" t="str">
        <f ca="1">IF(B782=" "," ",HYPERLINK(CONCATENATE("#metadata!",ADDRESS(INDEX($L$2:$L$1001,MATCH(ROWS($J$2:J782),$J$2:$J$1001,0),0),1)),INDEX($O$2:$O$1001,MATCH(ROWS($J$2:J782),$J$2:$J$1001,0),0)))</f>
        <v xml:space="preserve"> </v>
      </c>
      <c r="B782" s="3" t="str">
        <f ca="1">IF(OR(INDEX($K$2:$K$1001,MATCH(ROWS($J$2:J782),$J$2:$J$1001,0),1)&gt;=100000,INDEX($Q$1005:$U$1005,1,MATCH(COLUMNS($Q$1006:Q1006),$Q$1006:$U$1006,0))&gt;=100000), " ",IF(INDEX($Q$2:$U$1001,MATCH(ROWS($J$2:J782),$J$2:$J$1001,0),MATCH(COLUMNS($Q$1006:Q1006),$Q$1006:$U$1006,0)), HYPERLINK("#",""), HYPERLINK(CONCATENATE("#Metadata!", ADDRESS(INDEX($L$2:$L$1001,MATCH(ROWS($J$2:J782),$J$2:$J$1001,0),0), INDEX($Q$1004:$U$1004,1,MATCH(COLUMNS($Q$1006:Q1006),$Q$1006:$U$1006,0)))),"Fix")))</f>
        <v xml:space="preserve"> </v>
      </c>
      <c r="C782" s="3" t="str">
        <f ca="1">IF(OR(INDEX($K$2:$K$1001,MATCH(ROWS($J$2:J782),$J$2:$J$1001,0),1)&gt;=100000,INDEX($Q$1005:$U$1005,1,MATCH(COLUMNS($Q$1006:R1006),$Q$1006:$U$1006,0))&gt;=100000), " ",IF(INDEX($Q$2:$U$1001,MATCH(ROWS($J$2:J782),$J$2:$J$1001,0),MATCH(COLUMNS($Q$1006:R1006),$Q$1006:$U$1006,0)), HYPERLINK("#",""), HYPERLINK(CONCATENATE("#Metadata!", ADDRESS(INDEX($L$2:$L$1001,MATCH(ROWS($J$2:J782),$J$2:$J$1001,0),0), INDEX($Q$1004:$U$1004,1,MATCH(COLUMNS($Q$1006:R1006),$Q$1006:$U$1006,0)))),"Fix")))</f>
        <v xml:space="preserve"> </v>
      </c>
      <c r="D782" s="3" t="str">
        <f ca="1">IF(OR(INDEX($K$2:$K$1001,MATCH(ROWS($J$2:J782),$J$2:$J$1001,0),1)&gt;=100000,INDEX($Q$1005:$U$1005,1,MATCH(COLUMNS($Q$1006:S1006),$Q$1006:$U$1006,0))&gt;=100000), " ",IF(INDEX($Q$2:$U$1001,MATCH(ROWS($J$2:J782),$J$2:$J$1001,0),MATCH(COLUMNS($Q$1006:S1006),$Q$1006:$U$1006,0)), HYPERLINK("#",""), HYPERLINK(CONCATENATE("#Metadata!", ADDRESS(INDEX($L$2:$L$1001,MATCH(ROWS($J$2:J782),$J$2:$J$1001,0),0), INDEX($Q$1004:$U$1004,1,MATCH(COLUMNS($Q$1006:S1006),$Q$1006:$U$1006,0)))),"Fix")))</f>
        <v xml:space="preserve"> </v>
      </c>
      <c r="E782" s="3" t="str">
        <f ca="1">IF(OR(INDEX($K$2:$K$1001,MATCH(ROWS($J$2:J782),$J$2:$J$1001,0),1)&gt;=100000,INDEX($Q$1005:$U$1005,1,MATCH(COLUMNS($Q$1006:T1006),$Q$1006:$U$1006,0))&gt;=100000), " ",IF(INDEX($Q$2:$U$1001,MATCH(ROWS($J$2:J782),$J$2:$J$1001,0),MATCH(COLUMNS($Q$1006:T1006),$Q$1006:$U$1006,0)), HYPERLINK("#",""), HYPERLINK(CONCATENATE("#Metadata!", ADDRESS(INDEX($L$2:$L$1001,MATCH(ROWS($J$2:J782),$J$2:$J$1001,0),0), INDEX($Q$1004:$U$1004,1,MATCH(COLUMNS($Q$1006:T1006),$Q$1006:$U$1006,0)))),"Fix")))</f>
        <v xml:space="preserve"> </v>
      </c>
      <c r="F782" s="3" t="str">
        <f ca="1">IF(OR(INDEX($K$2:$K$1001,MATCH(ROWS($J$2:J782),$J$2:$J$1001,0),1)&gt;=100000,INDEX($Q$1005:$U$1005,1,MATCH(COLUMNS($Q$1006:U1006),$Q$1006:$U$1006,0))&gt;=100000), " ",IF(INDEX($Q$2:$U$1001,MATCH(ROWS($J$2:J782),$J$2:$J$1001,0),MATCH(COLUMNS($Q$1006:U1006),$Q$1006:$U$1006,0)), HYPERLINK("#",""), HYPERLINK(CONCATENATE("#Metadata!", ADDRESS(INDEX($L$2:$L$1001,MATCH(ROWS($J$2:J782),$J$2:$J$1001,0),0), INDEX($Q$1004:$U$1004,1,MATCH(COLUMNS($Q$1006:U1006),$Q$1006:$U$1006,0)))),"Fix")))</f>
        <v xml:space="preserve"> </v>
      </c>
      <c r="J782">
        <f ca="1"/>
        <v>781</v>
      </c>
      <c r="K782">
        <v>100782</v>
      </c>
      <c r="L782">
        <v>782</v>
      </c>
      <c r="M782" t="b">
        <f t="shared" si="12"/>
        <v>1</v>
      </c>
      <c r="N782" t="b">
        <f>COUNTBLANK(Metadata!B782:F782)=COLUMNS(Metadata!B782:F782)</f>
        <v>1</v>
      </c>
      <c r="O782" t="str">
        <v/>
      </c>
      <c r="Q782" t="b">
        <f ca="1"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R782" t="b">
        <f>IF(Metadata!C782="",FALSE,TRUE)</f>
        <v>0</v>
      </c>
      <c r="S782" t="b">
        <f>OR(AND(IF(Metadata!D782="",FALSE,TRUE),EXACT(Metadata!D782,"missing: not collected")),AND(IF(Metadata!D782="",FALSE,TRUE),OR(EXACT(Metadata!D782,"t"),EXACT(Metadata!D782,"f"))))</f>
        <v>0</v>
      </c>
      <c r="T782" t="b">
        <f>AND(IF(Metadata!E782="",FALSE,TRUE),OR(EXACT(Metadata!E782,"a"),EXACT(Metadata!E782,"b")))</f>
        <v>0</v>
      </c>
      <c r="U782" t="b">
        <f>OR(AND(IF(Metadata!F782="",FALSE,TRUE),OR(EXACT(Metadata!F782,"missing: not collected"),EXACT(Metadata!F782,"missing: not provided"))),AND(IF(Metadata!F782="",FALSE,TRUE),OR(EXACT(Metadata!F782,"lo"),EXACT(Metadata!F782,"med"),EXACT(Metadata!F782,"hi"))))</f>
        <v>0</v>
      </c>
    </row>
    <row r="783" spans="1:21" x14ac:dyDescent="0.2">
      <c r="A783" s="4" t="str">
        <f ca="1">IF(B783=" "," ",HYPERLINK(CONCATENATE("#metadata!",ADDRESS(INDEX($L$2:$L$1001,MATCH(ROWS($J$2:J783),$J$2:$J$1001,0),0),1)),INDEX($O$2:$O$1001,MATCH(ROWS($J$2:J783),$J$2:$J$1001,0),0)))</f>
        <v xml:space="preserve"> </v>
      </c>
      <c r="B783" s="3" t="str">
        <f ca="1">IF(OR(INDEX($K$2:$K$1001,MATCH(ROWS($J$2:J783),$J$2:$J$1001,0),1)&gt;=100000,INDEX($Q$1005:$U$1005,1,MATCH(COLUMNS($Q$1006:Q1006),$Q$1006:$U$1006,0))&gt;=100000), " ",IF(INDEX($Q$2:$U$1001,MATCH(ROWS($J$2:J783),$J$2:$J$1001,0),MATCH(COLUMNS($Q$1006:Q1006),$Q$1006:$U$1006,0)), HYPERLINK("#",""), HYPERLINK(CONCATENATE("#Metadata!", ADDRESS(INDEX($L$2:$L$1001,MATCH(ROWS($J$2:J783),$J$2:$J$1001,0),0), INDEX($Q$1004:$U$1004,1,MATCH(COLUMNS($Q$1006:Q1006),$Q$1006:$U$1006,0)))),"Fix")))</f>
        <v xml:space="preserve"> </v>
      </c>
      <c r="C783" s="3" t="str">
        <f ca="1">IF(OR(INDEX($K$2:$K$1001,MATCH(ROWS($J$2:J783),$J$2:$J$1001,0),1)&gt;=100000,INDEX($Q$1005:$U$1005,1,MATCH(COLUMNS($Q$1006:R1006),$Q$1006:$U$1006,0))&gt;=100000), " ",IF(INDEX($Q$2:$U$1001,MATCH(ROWS($J$2:J783),$J$2:$J$1001,0),MATCH(COLUMNS($Q$1006:R1006),$Q$1006:$U$1006,0)), HYPERLINK("#",""), HYPERLINK(CONCATENATE("#Metadata!", ADDRESS(INDEX($L$2:$L$1001,MATCH(ROWS($J$2:J783),$J$2:$J$1001,0),0), INDEX($Q$1004:$U$1004,1,MATCH(COLUMNS($Q$1006:R1006),$Q$1006:$U$1006,0)))),"Fix")))</f>
        <v xml:space="preserve"> </v>
      </c>
      <c r="D783" s="3" t="str">
        <f ca="1">IF(OR(INDEX($K$2:$K$1001,MATCH(ROWS($J$2:J783),$J$2:$J$1001,0),1)&gt;=100000,INDEX($Q$1005:$U$1005,1,MATCH(COLUMNS($Q$1006:S1006),$Q$1006:$U$1006,0))&gt;=100000), " ",IF(INDEX($Q$2:$U$1001,MATCH(ROWS($J$2:J783),$J$2:$J$1001,0),MATCH(COLUMNS($Q$1006:S1006),$Q$1006:$U$1006,0)), HYPERLINK("#",""), HYPERLINK(CONCATENATE("#Metadata!", ADDRESS(INDEX($L$2:$L$1001,MATCH(ROWS($J$2:J783),$J$2:$J$1001,0),0), INDEX($Q$1004:$U$1004,1,MATCH(COLUMNS($Q$1006:S1006),$Q$1006:$U$1006,0)))),"Fix")))</f>
        <v xml:space="preserve"> </v>
      </c>
      <c r="E783" s="3" t="str">
        <f ca="1">IF(OR(INDEX($K$2:$K$1001,MATCH(ROWS($J$2:J783),$J$2:$J$1001,0),1)&gt;=100000,INDEX($Q$1005:$U$1005,1,MATCH(COLUMNS($Q$1006:T1006),$Q$1006:$U$1006,0))&gt;=100000), " ",IF(INDEX($Q$2:$U$1001,MATCH(ROWS($J$2:J783),$J$2:$J$1001,0),MATCH(COLUMNS($Q$1006:T1006),$Q$1006:$U$1006,0)), HYPERLINK("#",""), HYPERLINK(CONCATENATE("#Metadata!", ADDRESS(INDEX($L$2:$L$1001,MATCH(ROWS($J$2:J783),$J$2:$J$1001,0),0), INDEX($Q$1004:$U$1004,1,MATCH(COLUMNS($Q$1006:T1006),$Q$1006:$U$1006,0)))),"Fix")))</f>
        <v xml:space="preserve"> </v>
      </c>
      <c r="F783" s="3" t="str">
        <f ca="1">IF(OR(INDEX($K$2:$K$1001,MATCH(ROWS($J$2:J783),$J$2:$J$1001,0),1)&gt;=100000,INDEX($Q$1005:$U$1005,1,MATCH(COLUMNS($Q$1006:U1006),$Q$1006:$U$1006,0))&gt;=100000), " ",IF(INDEX($Q$2:$U$1001,MATCH(ROWS($J$2:J783),$J$2:$J$1001,0),MATCH(COLUMNS($Q$1006:U1006),$Q$1006:$U$1006,0)), HYPERLINK("#",""), HYPERLINK(CONCATENATE("#Metadata!", ADDRESS(INDEX($L$2:$L$1001,MATCH(ROWS($J$2:J783),$J$2:$J$1001,0),0), INDEX($Q$1004:$U$1004,1,MATCH(COLUMNS($Q$1006:U1006),$Q$1006:$U$1006,0)))),"Fix")))</f>
        <v xml:space="preserve"> </v>
      </c>
      <c r="J783">
        <f ca="1"/>
        <v>782</v>
      </c>
      <c r="K783">
        <v>100783</v>
      </c>
      <c r="L783">
        <v>783</v>
      </c>
      <c r="M783" t="b">
        <f t="shared" si="12"/>
        <v>1</v>
      </c>
      <c r="N783" t="b">
        <f>COUNTBLANK(Metadata!B783:F783)=COLUMNS(Metadata!B783:F783)</f>
        <v>1</v>
      </c>
      <c r="O783" t="str">
        <v/>
      </c>
      <c r="Q783" t="b">
        <f ca="1"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R783" t="b">
        <f>IF(Metadata!C783="",FALSE,TRUE)</f>
        <v>0</v>
      </c>
      <c r="S783" t="b">
        <f>OR(AND(IF(Metadata!D783="",FALSE,TRUE),EXACT(Metadata!D783,"missing: not collected")),AND(IF(Metadata!D783="",FALSE,TRUE),OR(EXACT(Metadata!D783,"t"),EXACT(Metadata!D783,"f"))))</f>
        <v>0</v>
      </c>
      <c r="T783" t="b">
        <f>AND(IF(Metadata!E783="",FALSE,TRUE),OR(EXACT(Metadata!E783,"a"),EXACT(Metadata!E783,"b")))</f>
        <v>0</v>
      </c>
      <c r="U783" t="b">
        <f>OR(AND(IF(Metadata!F783="",FALSE,TRUE),OR(EXACT(Metadata!F783,"missing: not collected"),EXACT(Metadata!F783,"missing: not provided"))),AND(IF(Metadata!F783="",FALSE,TRUE),OR(EXACT(Metadata!F783,"lo"),EXACT(Metadata!F783,"med"),EXACT(Metadata!F783,"hi"))))</f>
        <v>0</v>
      </c>
    </row>
    <row r="784" spans="1:21" x14ac:dyDescent="0.2">
      <c r="A784" s="4" t="str">
        <f ca="1">IF(B784=" "," ",HYPERLINK(CONCATENATE("#metadata!",ADDRESS(INDEX($L$2:$L$1001,MATCH(ROWS($J$2:J784),$J$2:$J$1001,0),0),1)),INDEX($O$2:$O$1001,MATCH(ROWS($J$2:J784),$J$2:$J$1001,0),0)))</f>
        <v xml:space="preserve"> </v>
      </c>
      <c r="B784" s="3" t="str">
        <f ca="1">IF(OR(INDEX($K$2:$K$1001,MATCH(ROWS($J$2:J784),$J$2:$J$1001,0),1)&gt;=100000,INDEX($Q$1005:$U$1005,1,MATCH(COLUMNS($Q$1006:Q1006),$Q$1006:$U$1006,0))&gt;=100000), " ",IF(INDEX($Q$2:$U$1001,MATCH(ROWS($J$2:J784),$J$2:$J$1001,0),MATCH(COLUMNS($Q$1006:Q1006),$Q$1006:$U$1006,0)), HYPERLINK("#",""), HYPERLINK(CONCATENATE("#Metadata!", ADDRESS(INDEX($L$2:$L$1001,MATCH(ROWS($J$2:J784),$J$2:$J$1001,0),0), INDEX($Q$1004:$U$1004,1,MATCH(COLUMNS($Q$1006:Q1006),$Q$1006:$U$1006,0)))),"Fix")))</f>
        <v xml:space="preserve"> </v>
      </c>
      <c r="C784" s="3" t="str">
        <f ca="1">IF(OR(INDEX($K$2:$K$1001,MATCH(ROWS($J$2:J784),$J$2:$J$1001,0),1)&gt;=100000,INDEX($Q$1005:$U$1005,1,MATCH(COLUMNS($Q$1006:R1006),$Q$1006:$U$1006,0))&gt;=100000), " ",IF(INDEX($Q$2:$U$1001,MATCH(ROWS($J$2:J784),$J$2:$J$1001,0),MATCH(COLUMNS($Q$1006:R1006),$Q$1006:$U$1006,0)), HYPERLINK("#",""), HYPERLINK(CONCATENATE("#Metadata!", ADDRESS(INDEX($L$2:$L$1001,MATCH(ROWS($J$2:J784),$J$2:$J$1001,0),0), INDEX($Q$1004:$U$1004,1,MATCH(COLUMNS($Q$1006:R1006),$Q$1006:$U$1006,0)))),"Fix")))</f>
        <v xml:space="preserve"> </v>
      </c>
      <c r="D784" s="3" t="str">
        <f ca="1">IF(OR(INDEX($K$2:$K$1001,MATCH(ROWS($J$2:J784),$J$2:$J$1001,0),1)&gt;=100000,INDEX($Q$1005:$U$1005,1,MATCH(COLUMNS($Q$1006:S1006),$Q$1006:$U$1006,0))&gt;=100000), " ",IF(INDEX($Q$2:$U$1001,MATCH(ROWS($J$2:J784),$J$2:$J$1001,0),MATCH(COLUMNS($Q$1006:S1006),$Q$1006:$U$1006,0)), HYPERLINK("#",""), HYPERLINK(CONCATENATE("#Metadata!", ADDRESS(INDEX($L$2:$L$1001,MATCH(ROWS($J$2:J784),$J$2:$J$1001,0),0), INDEX($Q$1004:$U$1004,1,MATCH(COLUMNS($Q$1006:S1006),$Q$1006:$U$1006,0)))),"Fix")))</f>
        <v xml:space="preserve"> </v>
      </c>
      <c r="E784" s="3" t="str">
        <f ca="1">IF(OR(INDEX($K$2:$K$1001,MATCH(ROWS($J$2:J784),$J$2:$J$1001,0),1)&gt;=100000,INDEX($Q$1005:$U$1005,1,MATCH(COLUMNS($Q$1006:T1006),$Q$1006:$U$1006,0))&gt;=100000), " ",IF(INDEX($Q$2:$U$1001,MATCH(ROWS($J$2:J784),$J$2:$J$1001,0),MATCH(COLUMNS($Q$1006:T1006),$Q$1006:$U$1006,0)), HYPERLINK("#",""), HYPERLINK(CONCATENATE("#Metadata!", ADDRESS(INDEX($L$2:$L$1001,MATCH(ROWS($J$2:J784),$J$2:$J$1001,0),0), INDEX($Q$1004:$U$1004,1,MATCH(COLUMNS($Q$1006:T1006),$Q$1006:$U$1006,0)))),"Fix")))</f>
        <v xml:space="preserve"> </v>
      </c>
      <c r="F784" s="3" t="str">
        <f ca="1">IF(OR(INDEX($K$2:$K$1001,MATCH(ROWS($J$2:J784),$J$2:$J$1001,0),1)&gt;=100000,INDEX($Q$1005:$U$1005,1,MATCH(COLUMNS($Q$1006:U1006),$Q$1006:$U$1006,0))&gt;=100000), " ",IF(INDEX($Q$2:$U$1001,MATCH(ROWS($J$2:J784),$J$2:$J$1001,0),MATCH(COLUMNS($Q$1006:U1006),$Q$1006:$U$1006,0)), HYPERLINK("#",""), HYPERLINK(CONCATENATE("#Metadata!", ADDRESS(INDEX($L$2:$L$1001,MATCH(ROWS($J$2:J784),$J$2:$J$1001,0),0), INDEX($Q$1004:$U$1004,1,MATCH(COLUMNS($Q$1006:U1006),$Q$1006:$U$1006,0)))),"Fix")))</f>
        <v xml:space="preserve"> </v>
      </c>
      <c r="J784">
        <f ca="1"/>
        <v>783</v>
      </c>
      <c r="K784">
        <v>100784</v>
      </c>
      <c r="L784">
        <v>784</v>
      </c>
      <c r="M784" t="b">
        <f t="shared" si="12"/>
        <v>1</v>
      </c>
      <c r="N784" t="b">
        <f>COUNTBLANK(Metadata!B784:F784)=COLUMNS(Metadata!B784:F784)</f>
        <v>1</v>
      </c>
      <c r="O784" t="str">
        <v/>
      </c>
      <c r="Q784" t="b">
        <f ca="1"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R784" t="b">
        <f>IF(Metadata!C784="",FALSE,TRUE)</f>
        <v>0</v>
      </c>
      <c r="S784" t="b">
        <f>OR(AND(IF(Metadata!D784="",FALSE,TRUE),EXACT(Metadata!D784,"missing: not collected")),AND(IF(Metadata!D784="",FALSE,TRUE),OR(EXACT(Metadata!D784,"t"),EXACT(Metadata!D784,"f"))))</f>
        <v>0</v>
      </c>
      <c r="T784" t="b">
        <f>AND(IF(Metadata!E784="",FALSE,TRUE),OR(EXACT(Metadata!E784,"a"),EXACT(Metadata!E784,"b")))</f>
        <v>0</v>
      </c>
      <c r="U784" t="b">
        <f>OR(AND(IF(Metadata!F784="",FALSE,TRUE),OR(EXACT(Metadata!F784,"missing: not collected"),EXACT(Metadata!F784,"missing: not provided"))),AND(IF(Metadata!F784="",FALSE,TRUE),OR(EXACT(Metadata!F784,"lo"),EXACT(Metadata!F784,"med"),EXACT(Metadata!F784,"hi"))))</f>
        <v>0</v>
      </c>
    </row>
    <row r="785" spans="1:21" x14ac:dyDescent="0.2">
      <c r="A785" s="4" t="str">
        <f ca="1">IF(B785=" "," ",HYPERLINK(CONCATENATE("#metadata!",ADDRESS(INDEX($L$2:$L$1001,MATCH(ROWS($J$2:J785),$J$2:$J$1001,0),0),1)),INDEX($O$2:$O$1001,MATCH(ROWS($J$2:J785),$J$2:$J$1001,0),0)))</f>
        <v xml:space="preserve"> </v>
      </c>
      <c r="B785" s="3" t="str">
        <f ca="1">IF(OR(INDEX($K$2:$K$1001,MATCH(ROWS($J$2:J785),$J$2:$J$1001,0),1)&gt;=100000,INDEX($Q$1005:$U$1005,1,MATCH(COLUMNS($Q$1006:Q1006),$Q$1006:$U$1006,0))&gt;=100000), " ",IF(INDEX($Q$2:$U$1001,MATCH(ROWS($J$2:J785),$J$2:$J$1001,0),MATCH(COLUMNS($Q$1006:Q1006),$Q$1006:$U$1006,0)), HYPERLINK("#",""), HYPERLINK(CONCATENATE("#Metadata!", ADDRESS(INDEX($L$2:$L$1001,MATCH(ROWS($J$2:J785),$J$2:$J$1001,0),0), INDEX($Q$1004:$U$1004,1,MATCH(COLUMNS($Q$1006:Q1006),$Q$1006:$U$1006,0)))),"Fix")))</f>
        <v xml:space="preserve"> </v>
      </c>
      <c r="C785" s="3" t="str">
        <f ca="1">IF(OR(INDEX($K$2:$K$1001,MATCH(ROWS($J$2:J785),$J$2:$J$1001,0),1)&gt;=100000,INDEX($Q$1005:$U$1005,1,MATCH(COLUMNS($Q$1006:R1006),$Q$1006:$U$1006,0))&gt;=100000), " ",IF(INDEX($Q$2:$U$1001,MATCH(ROWS($J$2:J785),$J$2:$J$1001,0),MATCH(COLUMNS($Q$1006:R1006),$Q$1006:$U$1006,0)), HYPERLINK("#",""), HYPERLINK(CONCATENATE("#Metadata!", ADDRESS(INDEX($L$2:$L$1001,MATCH(ROWS($J$2:J785),$J$2:$J$1001,0),0), INDEX($Q$1004:$U$1004,1,MATCH(COLUMNS($Q$1006:R1006),$Q$1006:$U$1006,0)))),"Fix")))</f>
        <v xml:space="preserve"> </v>
      </c>
      <c r="D785" s="3" t="str">
        <f ca="1">IF(OR(INDEX($K$2:$K$1001,MATCH(ROWS($J$2:J785),$J$2:$J$1001,0),1)&gt;=100000,INDEX($Q$1005:$U$1005,1,MATCH(COLUMNS($Q$1006:S1006),$Q$1006:$U$1006,0))&gt;=100000), " ",IF(INDEX($Q$2:$U$1001,MATCH(ROWS($J$2:J785),$J$2:$J$1001,0),MATCH(COLUMNS($Q$1006:S1006),$Q$1006:$U$1006,0)), HYPERLINK("#",""), HYPERLINK(CONCATENATE("#Metadata!", ADDRESS(INDEX($L$2:$L$1001,MATCH(ROWS($J$2:J785),$J$2:$J$1001,0),0), INDEX($Q$1004:$U$1004,1,MATCH(COLUMNS($Q$1006:S1006),$Q$1006:$U$1006,0)))),"Fix")))</f>
        <v xml:space="preserve"> </v>
      </c>
      <c r="E785" s="3" t="str">
        <f ca="1">IF(OR(INDEX($K$2:$K$1001,MATCH(ROWS($J$2:J785),$J$2:$J$1001,0),1)&gt;=100000,INDEX($Q$1005:$U$1005,1,MATCH(COLUMNS($Q$1006:T1006),$Q$1006:$U$1006,0))&gt;=100000), " ",IF(INDEX($Q$2:$U$1001,MATCH(ROWS($J$2:J785),$J$2:$J$1001,0),MATCH(COLUMNS($Q$1006:T1006),$Q$1006:$U$1006,0)), HYPERLINK("#",""), HYPERLINK(CONCATENATE("#Metadata!", ADDRESS(INDEX($L$2:$L$1001,MATCH(ROWS($J$2:J785),$J$2:$J$1001,0),0), INDEX($Q$1004:$U$1004,1,MATCH(COLUMNS($Q$1006:T1006),$Q$1006:$U$1006,0)))),"Fix")))</f>
        <v xml:space="preserve"> </v>
      </c>
      <c r="F785" s="3" t="str">
        <f ca="1">IF(OR(INDEX($K$2:$K$1001,MATCH(ROWS($J$2:J785),$J$2:$J$1001,0),1)&gt;=100000,INDEX($Q$1005:$U$1005,1,MATCH(COLUMNS($Q$1006:U1006),$Q$1006:$U$1006,0))&gt;=100000), " ",IF(INDEX($Q$2:$U$1001,MATCH(ROWS($J$2:J785),$J$2:$J$1001,0),MATCH(COLUMNS($Q$1006:U1006),$Q$1006:$U$1006,0)), HYPERLINK("#",""), HYPERLINK(CONCATENATE("#Metadata!", ADDRESS(INDEX($L$2:$L$1001,MATCH(ROWS($J$2:J785),$J$2:$J$1001,0),0), INDEX($Q$1004:$U$1004,1,MATCH(COLUMNS($Q$1006:U1006),$Q$1006:$U$1006,0)))),"Fix")))</f>
        <v xml:space="preserve"> </v>
      </c>
      <c r="J785">
        <f ca="1"/>
        <v>784</v>
      </c>
      <c r="K785">
        <v>100785</v>
      </c>
      <c r="L785">
        <v>785</v>
      </c>
      <c r="M785" t="b">
        <f t="shared" si="12"/>
        <v>1</v>
      </c>
      <c r="N785" t="b">
        <f>COUNTBLANK(Metadata!B785:F785)=COLUMNS(Metadata!B785:F785)</f>
        <v>1</v>
      </c>
      <c r="O785" t="str">
        <v/>
      </c>
      <c r="Q785" t="b">
        <f ca="1"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R785" t="b">
        <f>IF(Metadata!C785="",FALSE,TRUE)</f>
        <v>0</v>
      </c>
      <c r="S785" t="b">
        <f>OR(AND(IF(Metadata!D785="",FALSE,TRUE),EXACT(Metadata!D785,"missing: not collected")),AND(IF(Metadata!D785="",FALSE,TRUE),OR(EXACT(Metadata!D785,"t"),EXACT(Metadata!D785,"f"))))</f>
        <v>0</v>
      </c>
      <c r="T785" t="b">
        <f>AND(IF(Metadata!E785="",FALSE,TRUE),OR(EXACT(Metadata!E785,"a"),EXACT(Metadata!E785,"b")))</f>
        <v>0</v>
      </c>
      <c r="U785" t="b">
        <f>OR(AND(IF(Metadata!F785="",FALSE,TRUE),OR(EXACT(Metadata!F785,"missing: not collected"),EXACT(Metadata!F785,"missing: not provided"))),AND(IF(Metadata!F785="",FALSE,TRUE),OR(EXACT(Metadata!F785,"lo"),EXACT(Metadata!F785,"med"),EXACT(Metadata!F785,"hi"))))</f>
        <v>0</v>
      </c>
    </row>
    <row r="786" spans="1:21" x14ac:dyDescent="0.2">
      <c r="A786" s="4" t="str">
        <f ca="1">IF(B786=" "," ",HYPERLINK(CONCATENATE("#metadata!",ADDRESS(INDEX($L$2:$L$1001,MATCH(ROWS($J$2:J786),$J$2:$J$1001,0),0),1)),INDEX($O$2:$O$1001,MATCH(ROWS($J$2:J786),$J$2:$J$1001,0),0)))</f>
        <v xml:space="preserve"> </v>
      </c>
      <c r="B786" s="3" t="str">
        <f ca="1">IF(OR(INDEX($K$2:$K$1001,MATCH(ROWS($J$2:J786),$J$2:$J$1001,0),1)&gt;=100000,INDEX($Q$1005:$U$1005,1,MATCH(COLUMNS($Q$1006:Q1006),$Q$1006:$U$1006,0))&gt;=100000), " ",IF(INDEX($Q$2:$U$1001,MATCH(ROWS($J$2:J786),$J$2:$J$1001,0),MATCH(COLUMNS($Q$1006:Q1006),$Q$1006:$U$1006,0)), HYPERLINK("#",""), HYPERLINK(CONCATENATE("#Metadata!", ADDRESS(INDEX($L$2:$L$1001,MATCH(ROWS($J$2:J786),$J$2:$J$1001,0),0), INDEX($Q$1004:$U$1004,1,MATCH(COLUMNS($Q$1006:Q1006),$Q$1006:$U$1006,0)))),"Fix")))</f>
        <v xml:space="preserve"> </v>
      </c>
      <c r="C786" s="3" t="str">
        <f ca="1">IF(OR(INDEX($K$2:$K$1001,MATCH(ROWS($J$2:J786),$J$2:$J$1001,0),1)&gt;=100000,INDEX($Q$1005:$U$1005,1,MATCH(COLUMNS($Q$1006:R1006),$Q$1006:$U$1006,0))&gt;=100000), " ",IF(INDEX($Q$2:$U$1001,MATCH(ROWS($J$2:J786),$J$2:$J$1001,0),MATCH(COLUMNS($Q$1006:R1006),$Q$1006:$U$1006,0)), HYPERLINK("#",""), HYPERLINK(CONCATENATE("#Metadata!", ADDRESS(INDEX($L$2:$L$1001,MATCH(ROWS($J$2:J786),$J$2:$J$1001,0),0), INDEX($Q$1004:$U$1004,1,MATCH(COLUMNS($Q$1006:R1006),$Q$1006:$U$1006,0)))),"Fix")))</f>
        <v xml:space="preserve"> </v>
      </c>
      <c r="D786" s="3" t="str">
        <f ca="1">IF(OR(INDEX($K$2:$K$1001,MATCH(ROWS($J$2:J786),$J$2:$J$1001,0),1)&gt;=100000,INDEX($Q$1005:$U$1005,1,MATCH(COLUMNS($Q$1006:S1006),$Q$1006:$U$1006,0))&gt;=100000), " ",IF(INDEX($Q$2:$U$1001,MATCH(ROWS($J$2:J786),$J$2:$J$1001,0),MATCH(COLUMNS($Q$1006:S1006),$Q$1006:$U$1006,0)), HYPERLINK("#",""), HYPERLINK(CONCATENATE("#Metadata!", ADDRESS(INDEX($L$2:$L$1001,MATCH(ROWS($J$2:J786),$J$2:$J$1001,0),0), INDEX($Q$1004:$U$1004,1,MATCH(COLUMNS($Q$1006:S1006),$Q$1006:$U$1006,0)))),"Fix")))</f>
        <v xml:space="preserve"> </v>
      </c>
      <c r="E786" s="3" t="str">
        <f ca="1">IF(OR(INDEX($K$2:$K$1001,MATCH(ROWS($J$2:J786),$J$2:$J$1001,0),1)&gt;=100000,INDEX($Q$1005:$U$1005,1,MATCH(COLUMNS($Q$1006:T1006),$Q$1006:$U$1006,0))&gt;=100000), " ",IF(INDEX($Q$2:$U$1001,MATCH(ROWS($J$2:J786),$J$2:$J$1001,0),MATCH(COLUMNS($Q$1006:T1006),$Q$1006:$U$1006,0)), HYPERLINK("#",""), HYPERLINK(CONCATENATE("#Metadata!", ADDRESS(INDEX($L$2:$L$1001,MATCH(ROWS($J$2:J786),$J$2:$J$1001,0),0), INDEX($Q$1004:$U$1004,1,MATCH(COLUMNS($Q$1006:T1006),$Q$1006:$U$1006,0)))),"Fix")))</f>
        <v xml:space="preserve"> </v>
      </c>
      <c r="F786" s="3" t="str">
        <f ca="1">IF(OR(INDEX($K$2:$K$1001,MATCH(ROWS($J$2:J786),$J$2:$J$1001,0),1)&gt;=100000,INDEX($Q$1005:$U$1005,1,MATCH(COLUMNS($Q$1006:U1006),$Q$1006:$U$1006,0))&gt;=100000), " ",IF(INDEX($Q$2:$U$1001,MATCH(ROWS($J$2:J786),$J$2:$J$1001,0),MATCH(COLUMNS($Q$1006:U1006),$Q$1006:$U$1006,0)), HYPERLINK("#",""), HYPERLINK(CONCATENATE("#Metadata!", ADDRESS(INDEX($L$2:$L$1001,MATCH(ROWS($J$2:J786),$J$2:$J$1001,0),0), INDEX($Q$1004:$U$1004,1,MATCH(COLUMNS($Q$1006:U1006),$Q$1006:$U$1006,0)))),"Fix")))</f>
        <v xml:space="preserve"> </v>
      </c>
      <c r="J786">
        <f ca="1"/>
        <v>785</v>
      </c>
      <c r="K786">
        <v>100786</v>
      </c>
      <c r="L786">
        <v>786</v>
      </c>
      <c r="M786" t="b">
        <f t="shared" si="12"/>
        <v>1</v>
      </c>
      <c r="N786" t="b">
        <f>COUNTBLANK(Metadata!B786:F786)=COLUMNS(Metadata!B786:F786)</f>
        <v>1</v>
      </c>
      <c r="O786" t="str">
        <v/>
      </c>
      <c r="Q786" t="b">
        <f ca="1"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R786" t="b">
        <f>IF(Metadata!C786="",FALSE,TRUE)</f>
        <v>0</v>
      </c>
      <c r="S786" t="b">
        <f>OR(AND(IF(Metadata!D786="",FALSE,TRUE),EXACT(Metadata!D786,"missing: not collected")),AND(IF(Metadata!D786="",FALSE,TRUE),OR(EXACT(Metadata!D786,"t"),EXACT(Metadata!D786,"f"))))</f>
        <v>0</v>
      </c>
      <c r="T786" t="b">
        <f>AND(IF(Metadata!E786="",FALSE,TRUE),OR(EXACT(Metadata!E786,"a"),EXACT(Metadata!E786,"b")))</f>
        <v>0</v>
      </c>
      <c r="U786" t="b">
        <f>OR(AND(IF(Metadata!F786="",FALSE,TRUE),OR(EXACT(Metadata!F786,"missing: not collected"),EXACT(Metadata!F786,"missing: not provided"))),AND(IF(Metadata!F786="",FALSE,TRUE),OR(EXACT(Metadata!F786,"lo"),EXACT(Metadata!F786,"med"),EXACT(Metadata!F786,"hi"))))</f>
        <v>0</v>
      </c>
    </row>
    <row r="787" spans="1:21" x14ac:dyDescent="0.2">
      <c r="A787" s="4" t="str">
        <f ca="1">IF(B787=" "," ",HYPERLINK(CONCATENATE("#metadata!",ADDRESS(INDEX($L$2:$L$1001,MATCH(ROWS($J$2:J787),$J$2:$J$1001,0),0),1)),INDEX($O$2:$O$1001,MATCH(ROWS($J$2:J787),$J$2:$J$1001,0),0)))</f>
        <v xml:space="preserve"> </v>
      </c>
      <c r="B787" s="3" t="str">
        <f ca="1">IF(OR(INDEX($K$2:$K$1001,MATCH(ROWS($J$2:J787),$J$2:$J$1001,0),1)&gt;=100000,INDEX($Q$1005:$U$1005,1,MATCH(COLUMNS($Q$1006:Q1006),$Q$1006:$U$1006,0))&gt;=100000), " ",IF(INDEX($Q$2:$U$1001,MATCH(ROWS($J$2:J787),$J$2:$J$1001,0),MATCH(COLUMNS($Q$1006:Q1006),$Q$1006:$U$1006,0)), HYPERLINK("#",""), HYPERLINK(CONCATENATE("#Metadata!", ADDRESS(INDEX($L$2:$L$1001,MATCH(ROWS($J$2:J787),$J$2:$J$1001,0),0), INDEX($Q$1004:$U$1004,1,MATCH(COLUMNS($Q$1006:Q1006),$Q$1006:$U$1006,0)))),"Fix")))</f>
        <v xml:space="preserve"> </v>
      </c>
      <c r="C787" s="3" t="str">
        <f ca="1">IF(OR(INDEX($K$2:$K$1001,MATCH(ROWS($J$2:J787),$J$2:$J$1001,0),1)&gt;=100000,INDEX($Q$1005:$U$1005,1,MATCH(COLUMNS($Q$1006:R1006),$Q$1006:$U$1006,0))&gt;=100000), " ",IF(INDEX($Q$2:$U$1001,MATCH(ROWS($J$2:J787),$J$2:$J$1001,0),MATCH(COLUMNS($Q$1006:R1006),$Q$1006:$U$1006,0)), HYPERLINK("#",""), HYPERLINK(CONCATENATE("#Metadata!", ADDRESS(INDEX($L$2:$L$1001,MATCH(ROWS($J$2:J787),$J$2:$J$1001,0),0), INDEX($Q$1004:$U$1004,1,MATCH(COLUMNS($Q$1006:R1006),$Q$1006:$U$1006,0)))),"Fix")))</f>
        <v xml:space="preserve"> </v>
      </c>
      <c r="D787" s="3" t="str">
        <f ca="1">IF(OR(INDEX($K$2:$K$1001,MATCH(ROWS($J$2:J787),$J$2:$J$1001,0),1)&gt;=100000,INDEX($Q$1005:$U$1005,1,MATCH(COLUMNS($Q$1006:S1006),$Q$1006:$U$1006,0))&gt;=100000), " ",IF(INDEX($Q$2:$U$1001,MATCH(ROWS($J$2:J787),$J$2:$J$1001,0),MATCH(COLUMNS($Q$1006:S1006),$Q$1006:$U$1006,0)), HYPERLINK("#",""), HYPERLINK(CONCATENATE("#Metadata!", ADDRESS(INDEX($L$2:$L$1001,MATCH(ROWS($J$2:J787),$J$2:$J$1001,0),0), INDEX($Q$1004:$U$1004,1,MATCH(COLUMNS($Q$1006:S1006),$Q$1006:$U$1006,0)))),"Fix")))</f>
        <v xml:space="preserve"> </v>
      </c>
      <c r="E787" s="3" t="str">
        <f ca="1">IF(OR(INDEX($K$2:$K$1001,MATCH(ROWS($J$2:J787),$J$2:$J$1001,0),1)&gt;=100000,INDEX($Q$1005:$U$1005,1,MATCH(COLUMNS($Q$1006:T1006),$Q$1006:$U$1006,0))&gt;=100000), " ",IF(INDEX($Q$2:$U$1001,MATCH(ROWS($J$2:J787),$J$2:$J$1001,0),MATCH(COLUMNS($Q$1006:T1006),$Q$1006:$U$1006,0)), HYPERLINK("#",""), HYPERLINK(CONCATENATE("#Metadata!", ADDRESS(INDEX($L$2:$L$1001,MATCH(ROWS($J$2:J787),$J$2:$J$1001,0),0), INDEX($Q$1004:$U$1004,1,MATCH(COLUMNS($Q$1006:T1006),$Q$1006:$U$1006,0)))),"Fix")))</f>
        <v xml:space="preserve"> </v>
      </c>
      <c r="F787" s="3" t="str">
        <f ca="1">IF(OR(INDEX($K$2:$K$1001,MATCH(ROWS($J$2:J787),$J$2:$J$1001,0),1)&gt;=100000,INDEX($Q$1005:$U$1005,1,MATCH(COLUMNS($Q$1006:U1006),$Q$1006:$U$1006,0))&gt;=100000), " ",IF(INDEX($Q$2:$U$1001,MATCH(ROWS($J$2:J787),$J$2:$J$1001,0),MATCH(COLUMNS($Q$1006:U1006),$Q$1006:$U$1006,0)), HYPERLINK("#",""), HYPERLINK(CONCATENATE("#Metadata!", ADDRESS(INDEX($L$2:$L$1001,MATCH(ROWS($J$2:J787),$J$2:$J$1001,0),0), INDEX($Q$1004:$U$1004,1,MATCH(COLUMNS($Q$1006:U1006),$Q$1006:$U$1006,0)))),"Fix")))</f>
        <v xml:space="preserve"> </v>
      </c>
      <c r="J787">
        <f ca="1"/>
        <v>786</v>
      </c>
      <c r="K787">
        <v>100787</v>
      </c>
      <c r="L787">
        <v>787</v>
      </c>
      <c r="M787" t="b">
        <f t="shared" si="12"/>
        <v>1</v>
      </c>
      <c r="N787" t="b">
        <f>COUNTBLANK(Metadata!B787:F787)=COLUMNS(Metadata!B787:F787)</f>
        <v>1</v>
      </c>
      <c r="O787" t="str">
        <v/>
      </c>
      <c r="Q787" t="b">
        <f ca="1"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R787" t="b">
        <f>IF(Metadata!C787="",FALSE,TRUE)</f>
        <v>0</v>
      </c>
      <c r="S787" t="b">
        <f>OR(AND(IF(Metadata!D787="",FALSE,TRUE),EXACT(Metadata!D787,"missing: not collected")),AND(IF(Metadata!D787="",FALSE,TRUE),OR(EXACT(Metadata!D787,"t"),EXACT(Metadata!D787,"f"))))</f>
        <v>0</v>
      </c>
      <c r="T787" t="b">
        <f>AND(IF(Metadata!E787="",FALSE,TRUE),OR(EXACT(Metadata!E787,"a"),EXACT(Metadata!E787,"b")))</f>
        <v>0</v>
      </c>
      <c r="U787" t="b">
        <f>OR(AND(IF(Metadata!F787="",FALSE,TRUE),OR(EXACT(Metadata!F787,"missing: not collected"),EXACT(Metadata!F787,"missing: not provided"))),AND(IF(Metadata!F787="",FALSE,TRUE),OR(EXACT(Metadata!F787,"lo"),EXACT(Metadata!F787,"med"),EXACT(Metadata!F787,"hi"))))</f>
        <v>0</v>
      </c>
    </row>
    <row r="788" spans="1:21" x14ac:dyDescent="0.2">
      <c r="A788" s="4" t="str">
        <f ca="1">IF(B788=" "," ",HYPERLINK(CONCATENATE("#metadata!",ADDRESS(INDEX($L$2:$L$1001,MATCH(ROWS($J$2:J788),$J$2:$J$1001,0),0),1)),INDEX($O$2:$O$1001,MATCH(ROWS($J$2:J788),$J$2:$J$1001,0),0)))</f>
        <v xml:space="preserve"> </v>
      </c>
      <c r="B788" s="3" t="str">
        <f ca="1">IF(OR(INDEX($K$2:$K$1001,MATCH(ROWS($J$2:J788),$J$2:$J$1001,0),1)&gt;=100000,INDEX($Q$1005:$U$1005,1,MATCH(COLUMNS($Q$1006:Q1006),$Q$1006:$U$1006,0))&gt;=100000), " ",IF(INDEX($Q$2:$U$1001,MATCH(ROWS($J$2:J788),$J$2:$J$1001,0),MATCH(COLUMNS($Q$1006:Q1006),$Q$1006:$U$1006,0)), HYPERLINK("#",""), HYPERLINK(CONCATENATE("#Metadata!", ADDRESS(INDEX($L$2:$L$1001,MATCH(ROWS($J$2:J788),$J$2:$J$1001,0),0), INDEX($Q$1004:$U$1004,1,MATCH(COLUMNS($Q$1006:Q1006),$Q$1006:$U$1006,0)))),"Fix")))</f>
        <v xml:space="preserve"> </v>
      </c>
      <c r="C788" s="3" t="str">
        <f ca="1">IF(OR(INDEX($K$2:$K$1001,MATCH(ROWS($J$2:J788),$J$2:$J$1001,0),1)&gt;=100000,INDEX($Q$1005:$U$1005,1,MATCH(COLUMNS($Q$1006:R1006),$Q$1006:$U$1006,0))&gt;=100000), " ",IF(INDEX($Q$2:$U$1001,MATCH(ROWS($J$2:J788),$J$2:$J$1001,0),MATCH(COLUMNS($Q$1006:R1006),$Q$1006:$U$1006,0)), HYPERLINK("#",""), HYPERLINK(CONCATENATE("#Metadata!", ADDRESS(INDEX($L$2:$L$1001,MATCH(ROWS($J$2:J788),$J$2:$J$1001,0),0), INDEX($Q$1004:$U$1004,1,MATCH(COLUMNS($Q$1006:R1006),$Q$1006:$U$1006,0)))),"Fix")))</f>
        <v xml:space="preserve"> </v>
      </c>
      <c r="D788" s="3" t="str">
        <f ca="1">IF(OR(INDEX($K$2:$K$1001,MATCH(ROWS($J$2:J788),$J$2:$J$1001,0),1)&gt;=100000,INDEX($Q$1005:$U$1005,1,MATCH(COLUMNS($Q$1006:S1006),$Q$1006:$U$1006,0))&gt;=100000), " ",IF(INDEX($Q$2:$U$1001,MATCH(ROWS($J$2:J788),$J$2:$J$1001,0),MATCH(COLUMNS($Q$1006:S1006),$Q$1006:$U$1006,0)), HYPERLINK("#",""), HYPERLINK(CONCATENATE("#Metadata!", ADDRESS(INDEX($L$2:$L$1001,MATCH(ROWS($J$2:J788),$J$2:$J$1001,0),0), INDEX($Q$1004:$U$1004,1,MATCH(COLUMNS($Q$1006:S1006),$Q$1006:$U$1006,0)))),"Fix")))</f>
        <v xml:space="preserve"> </v>
      </c>
      <c r="E788" s="3" t="str">
        <f ca="1">IF(OR(INDEX($K$2:$K$1001,MATCH(ROWS($J$2:J788),$J$2:$J$1001,0),1)&gt;=100000,INDEX($Q$1005:$U$1005,1,MATCH(COLUMNS($Q$1006:T1006),$Q$1006:$U$1006,0))&gt;=100000), " ",IF(INDEX($Q$2:$U$1001,MATCH(ROWS($J$2:J788),$J$2:$J$1001,0),MATCH(COLUMNS($Q$1006:T1006),$Q$1006:$U$1006,0)), HYPERLINK("#",""), HYPERLINK(CONCATENATE("#Metadata!", ADDRESS(INDEX($L$2:$L$1001,MATCH(ROWS($J$2:J788),$J$2:$J$1001,0),0), INDEX($Q$1004:$U$1004,1,MATCH(COLUMNS($Q$1006:T1006),$Q$1006:$U$1006,0)))),"Fix")))</f>
        <v xml:space="preserve"> </v>
      </c>
      <c r="F788" s="3" t="str">
        <f ca="1">IF(OR(INDEX($K$2:$K$1001,MATCH(ROWS($J$2:J788),$J$2:$J$1001,0),1)&gt;=100000,INDEX($Q$1005:$U$1005,1,MATCH(COLUMNS($Q$1006:U1006),$Q$1006:$U$1006,0))&gt;=100000), " ",IF(INDEX($Q$2:$U$1001,MATCH(ROWS($J$2:J788),$J$2:$J$1001,0),MATCH(COLUMNS($Q$1006:U1006),$Q$1006:$U$1006,0)), HYPERLINK("#",""), HYPERLINK(CONCATENATE("#Metadata!", ADDRESS(INDEX($L$2:$L$1001,MATCH(ROWS($J$2:J788),$J$2:$J$1001,0),0), INDEX($Q$1004:$U$1004,1,MATCH(COLUMNS($Q$1006:U1006),$Q$1006:$U$1006,0)))),"Fix")))</f>
        <v xml:space="preserve"> </v>
      </c>
      <c r="J788">
        <f ca="1"/>
        <v>787</v>
      </c>
      <c r="K788">
        <v>100788</v>
      </c>
      <c r="L788">
        <v>788</v>
      </c>
      <c r="M788" t="b">
        <f t="shared" si="12"/>
        <v>1</v>
      </c>
      <c r="N788" t="b">
        <f>COUNTBLANK(Metadata!B788:F788)=COLUMNS(Metadata!B788:F788)</f>
        <v>1</v>
      </c>
      <c r="O788" t="str">
        <v/>
      </c>
      <c r="Q788" t="b">
        <f ca="1"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R788" t="b">
        <f>IF(Metadata!C788="",FALSE,TRUE)</f>
        <v>0</v>
      </c>
      <c r="S788" t="b">
        <f>OR(AND(IF(Metadata!D788="",FALSE,TRUE),EXACT(Metadata!D788,"missing: not collected")),AND(IF(Metadata!D788="",FALSE,TRUE),OR(EXACT(Metadata!D788,"t"),EXACT(Metadata!D788,"f"))))</f>
        <v>0</v>
      </c>
      <c r="T788" t="b">
        <f>AND(IF(Metadata!E788="",FALSE,TRUE),OR(EXACT(Metadata!E788,"a"),EXACT(Metadata!E788,"b")))</f>
        <v>0</v>
      </c>
      <c r="U788" t="b">
        <f>OR(AND(IF(Metadata!F788="",FALSE,TRUE),OR(EXACT(Metadata!F788,"missing: not collected"),EXACT(Metadata!F788,"missing: not provided"))),AND(IF(Metadata!F788="",FALSE,TRUE),OR(EXACT(Metadata!F788,"lo"),EXACT(Metadata!F788,"med"),EXACT(Metadata!F788,"hi"))))</f>
        <v>0</v>
      </c>
    </row>
    <row r="789" spans="1:21" x14ac:dyDescent="0.2">
      <c r="A789" s="4" t="str">
        <f ca="1">IF(B789=" "," ",HYPERLINK(CONCATENATE("#metadata!",ADDRESS(INDEX($L$2:$L$1001,MATCH(ROWS($J$2:J789),$J$2:$J$1001,0),0),1)),INDEX($O$2:$O$1001,MATCH(ROWS($J$2:J789),$J$2:$J$1001,0),0)))</f>
        <v xml:space="preserve"> </v>
      </c>
      <c r="B789" s="3" t="str">
        <f ca="1">IF(OR(INDEX($K$2:$K$1001,MATCH(ROWS($J$2:J789),$J$2:$J$1001,0),1)&gt;=100000,INDEX($Q$1005:$U$1005,1,MATCH(COLUMNS($Q$1006:Q1006),$Q$1006:$U$1006,0))&gt;=100000), " ",IF(INDEX($Q$2:$U$1001,MATCH(ROWS($J$2:J789),$J$2:$J$1001,0),MATCH(COLUMNS($Q$1006:Q1006),$Q$1006:$U$1006,0)), HYPERLINK("#",""), HYPERLINK(CONCATENATE("#Metadata!", ADDRESS(INDEX($L$2:$L$1001,MATCH(ROWS($J$2:J789),$J$2:$J$1001,0),0), INDEX($Q$1004:$U$1004,1,MATCH(COLUMNS($Q$1006:Q1006),$Q$1006:$U$1006,0)))),"Fix")))</f>
        <v xml:space="preserve"> </v>
      </c>
      <c r="C789" s="3" t="str">
        <f ca="1">IF(OR(INDEX($K$2:$K$1001,MATCH(ROWS($J$2:J789),$J$2:$J$1001,0),1)&gt;=100000,INDEX($Q$1005:$U$1005,1,MATCH(COLUMNS($Q$1006:R1006),$Q$1006:$U$1006,0))&gt;=100000), " ",IF(INDEX($Q$2:$U$1001,MATCH(ROWS($J$2:J789),$J$2:$J$1001,0),MATCH(COLUMNS($Q$1006:R1006),$Q$1006:$U$1006,0)), HYPERLINK("#",""), HYPERLINK(CONCATENATE("#Metadata!", ADDRESS(INDEX($L$2:$L$1001,MATCH(ROWS($J$2:J789),$J$2:$J$1001,0),0), INDEX($Q$1004:$U$1004,1,MATCH(COLUMNS($Q$1006:R1006),$Q$1006:$U$1006,0)))),"Fix")))</f>
        <v xml:space="preserve"> </v>
      </c>
      <c r="D789" s="3" t="str">
        <f ca="1">IF(OR(INDEX($K$2:$K$1001,MATCH(ROWS($J$2:J789),$J$2:$J$1001,0),1)&gt;=100000,INDEX($Q$1005:$U$1005,1,MATCH(COLUMNS($Q$1006:S1006),$Q$1006:$U$1006,0))&gt;=100000), " ",IF(INDEX($Q$2:$U$1001,MATCH(ROWS($J$2:J789),$J$2:$J$1001,0),MATCH(COLUMNS($Q$1006:S1006),$Q$1006:$U$1006,0)), HYPERLINK("#",""), HYPERLINK(CONCATENATE("#Metadata!", ADDRESS(INDEX($L$2:$L$1001,MATCH(ROWS($J$2:J789),$J$2:$J$1001,0),0), INDEX($Q$1004:$U$1004,1,MATCH(COLUMNS($Q$1006:S1006),$Q$1006:$U$1006,0)))),"Fix")))</f>
        <v xml:space="preserve"> </v>
      </c>
      <c r="E789" s="3" t="str">
        <f ca="1">IF(OR(INDEX($K$2:$K$1001,MATCH(ROWS($J$2:J789),$J$2:$J$1001,0),1)&gt;=100000,INDEX($Q$1005:$U$1005,1,MATCH(COLUMNS($Q$1006:T1006),$Q$1006:$U$1006,0))&gt;=100000), " ",IF(INDEX($Q$2:$U$1001,MATCH(ROWS($J$2:J789),$J$2:$J$1001,0),MATCH(COLUMNS($Q$1006:T1006),$Q$1006:$U$1006,0)), HYPERLINK("#",""), HYPERLINK(CONCATENATE("#Metadata!", ADDRESS(INDEX($L$2:$L$1001,MATCH(ROWS($J$2:J789),$J$2:$J$1001,0),0), INDEX($Q$1004:$U$1004,1,MATCH(COLUMNS($Q$1006:T1006),$Q$1006:$U$1006,0)))),"Fix")))</f>
        <v xml:space="preserve"> </v>
      </c>
      <c r="F789" s="3" t="str">
        <f ca="1">IF(OR(INDEX($K$2:$K$1001,MATCH(ROWS($J$2:J789),$J$2:$J$1001,0),1)&gt;=100000,INDEX($Q$1005:$U$1005,1,MATCH(COLUMNS($Q$1006:U1006),$Q$1006:$U$1006,0))&gt;=100000), " ",IF(INDEX($Q$2:$U$1001,MATCH(ROWS($J$2:J789),$J$2:$J$1001,0),MATCH(COLUMNS($Q$1006:U1006),$Q$1006:$U$1006,0)), HYPERLINK("#",""), HYPERLINK(CONCATENATE("#Metadata!", ADDRESS(INDEX($L$2:$L$1001,MATCH(ROWS($J$2:J789),$J$2:$J$1001,0),0), INDEX($Q$1004:$U$1004,1,MATCH(COLUMNS($Q$1006:U1006),$Q$1006:$U$1006,0)))),"Fix")))</f>
        <v xml:space="preserve"> </v>
      </c>
      <c r="J789">
        <f ca="1"/>
        <v>788</v>
      </c>
      <c r="K789">
        <v>100789</v>
      </c>
      <c r="L789">
        <v>789</v>
      </c>
      <c r="M789" t="b">
        <f t="shared" si="12"/>
        <v>1</v>
      </c>
      <c r="N789" t="b">
        <f>COUNTBLANK(Metadata!B789:F789)=COLUMNS(Metadata!B789:F789)</f>
        <v>1</v>
      </c>
      <c r="O789" t="str">
        <v/>
      </c>
      <c r="Q789" t="b">
        <f ca="1"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R789" t="b">
        <f>IF(Metadata!C789="",FALSE,TRUE)</f>
        <v>0</v>
      </c>
      <c r="S789" t="b">
        <f>OR(AND(IF(Metadata!D789="",FALSE,TRUE),EXACT(Metadata!D789,"missing: not collected")),AND(IF(Metadata!D789="",FALSE,TRUE),OR(EXACT(Metadata!D789,"t"),EXACT(Metadata!D789,"f"))))</f>
        <v>0</v>
      </c>
      <c r="T789" t="b">
        <f>AND(IF(Metadata!E789="",FALSE,TRUE),OR(EXACT(Metadata!E789,"a"),EXACT(Metadata!E789,"b")))</f>
        <v>0</v>
      </c>
      <c r="U789" t="b">
        <f>OR(AND(IF(Metadata!F789="",FALSE,TRUE),OR(EXACT(Metadata!F789,"missing: not collected"),EXACT(Metadata!F789,"missing: not provided"))),AND(IF(Metadata!F789="",FALSE,TRUE),OR(EXACT(Metadata!F789,"lo"),EXACT(Metadata!F789,"med"),EXACT(Metadata!F789,"hi"))))</f>
        <v>0</v>
      </c>
    </row>
    <row r="790" spans="1:21" x14ac:dyDescent="0.2">
      <c r="A790" s="4" t="str">
        <f ca="1">IF(B790=" "," ",HYPERLINK(CONCATENATE("#metadata!",ADDRESS(INDEX($L$2:$L$1001,MATCH(ROWS($J$2:J790),$J$2:$J$1001,0),0),1)),INDEX($O$2:$O$1001,MATCH(ROWS($J$2:J790),$J$2:$J$1001,0),0)))</f>
        <v xml:space="preserve"> </v>
      </c>
      <c r="B790" s="3" t="str">
        <f ca="1">IF(OR(INDEX($K$2:$K$1001,MATCH(ROWS($J$2:J790),$J$2:$J$1001,0),1)&gt;=100000,INDEX($Q$1005:$U$1005,1,MATCH(COLUMNS($Q$1006:Q1006),$Q$1006:$U$1006,0))&gt;=100000), " ",IF(INDEX($Q$2:$U$1001,MATCH(ROWS($J$2:J790),$J$2:$J$1001,0),MATCH(COLUMNS($Q$1006:Q1006),$Q$1006:$U$1006,0)), HYPERLINK("#",""), HYPERLINK(CONCATENATE("#Metadata!", ADDRESS(INDEX($L$2:$L$1001,MATCH(ROWS($J$2:J790),$J$2:$J$1001,0),0), INDEX($Q$1004:$U$1004,1,MATCH(COLUMNS($Q$1006:Q1006),$Q$1006:$U$1006,0)))),"Fix")))</f>
        <v xml:space="preserve"> </v>
      </c>
      <c r="C790" s="3" t="str">
        <f ca="1">IF(OR(INDEX($K$2:$K$1001,MATCH(ROWS($J$2:J790),$J$2:$J$1001,0),1)&gt;=100000,INDEX($Q$1005:$U$1005,1,MATCH(COLUMNS($Q$1006:R1006),$Q$1006:$U$1006,0))&gt;=100000), " ",IF(INDEX($Q$2:$U$1001,MATCH(ROWS($J$2:J790),$J$2:$J$1001,0),MATCH(COLUMNS($Q$1006:R1006),$Q$1006:$U$1006,0)), HYPERLINK("#",""), HYPERLINK(CONCATENATE("#Metadata!", ADDRESS(INDEX($L$2:$L$1001,MATCH(ROWS($J$2:J790),$J$2:$J$1001,0),0), INDEX($Q$1004:$U$1004,1,MATCH(COLUMNS($Q$1006:R1006),$Q$1006:$U$1006,0)))),"Fix")))</f>
        <v xml:space="preserve"> </v>
      </c>
      <c r="D790" s="3" t="str">
        <f ca="1">IF(OR(INDEX($K$2:$K$1001,MATCH(ROWS($J$2:J790),$J$2:$J$1001,0),1)&gt;=100000,INDEX($Q$1005:$U$1005,1,MATCH(COLUMNS($Q$1006:S1006),$Q$1006:$U$1006,0))&gt;=100000), " ",IF(INDEX($Q$2:$U$1001,MATCH(ROWS($J$2:J790),$J$2:$J$1001,0),MATCH(COLUMNS($Q$1006:S1006),$Q$1006:$U$1006,0)), HYPERLINK("#",""), HYPERLINK(CONCATENATE("#Metadata!", ADDRESS(INDEX($L$2:$L$1001,MATCH(ROWS($J$2:J790),$J$2:$J$1001,0),0), INDEX($Q$1004:$U$1004,1,MATCH(COLUMNS($Q$1006:S1006),$Q$1006:$U$1006,0)))),"Fix")))</f>
        <v xml:space="preserve"> </v>
      </c>
      <c r="E790" s="3" t="str">
        <f ca="1">IF(OR(INDEX($K$2:$K$1001,MATCH(ROWS($J$2:J790),$J$2:$J$1001,0),1)&gt;=100000,INDEX($Q$1005:$U$1005,1,MATCH(COLUMNS($Q$1006:T1006),$Q$1006:$U$1006,0))&gt;=100000), " ",IF(INDEX($Q$2:$U$1001,MATCH(ROWS($J$2:J790),$J$2:$J$1001,0),MATCH(COLUMNS($Q$1006:T1006),$Q$1006:$U$1006,0)), HYPERLINK("#",""), HYPERLINK(CONCATENATE("#Metadata!", ADDRESS(INDEX($L$2:$L$1001,MATCH(ROWS($J$2:J790),$J$2:$J$1001,0),0), INDEX($Q$1004:$U$1004,1,MATCH(COLUMNS($Q$1006:T1006),$Q$1006:$U$1006,0)))),"Fix")))</f>
        <v xml:space="preserve"> </v>
      </c>
      <c r="F790" s="3" t="str">
        <f ca="1">IF(OR(INDEX($K$2:$K$1001,MATCH(ROWS($J$2:J790),$J$2:$J$1001,0),1)&gt;=100000,INDEX($Q$1005:$U$1005,1,MATCH(COLUMNS($Q$1006:U1006),$Q$1006:$U$1006,0))&gt;=100000), " ",IF(INDEX($Q$2:$U$1001,MATCH(ROWS($J$2:J790),$J$2:$J$1001,0),MATCH(COLUMNS($Q$1006:U1006),$Q$1006:$U$1006,0)), HYPERLINK("#",""), HYPERLINK(CONCATENATE("#Metadata!", ADDRESS(INDEX($L$2:$L$1001,MATCH(ROWS($J$2:J790),$J$2:$J$1001,0),0), INDEX($Q$1004:$U$1004,1,MATCH(COLUMNS($Q$1006:U1006),$Q$1006:$U$1006,0)))),"Fix")))</f>
        <v xml:space="preserve"> </v>
      </c>
      <c r="J790">
        <f ca="1"/>
        <v>789</v>
      </c>
      <c r="K790">
        <v>100790</v>
      </c>
      <c r="L790">
        <v>790</v>
      </c>
      <c r="M790" t="b">
        <f t="shared" si="12"/>
        <v>1</v>
      </c>
      <c r="N790" t="b">
        <f>COUNTBLANK(Metadata!B790:F790)=COLUMNS(Metadata!B790:F790)</f>
        <v>1</v>
      </c>
      <c r="O790" t="str">
        <v/>
      </c>
      <c r="Q790" t="b">
        <f ca="1"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R790" t="b">
        <f>IF(Metadata!C790="",FALSE,TRUE)</f>
        <v>0</v>
      </c>
      <c r="S790" t="b">
        <f>OR(AND(IF(Metadata!D790="",FALSE,TRUE),EXACT(Metadata!D790,"missing: not collected")),AND(IF(Metadata!D790="",FALSE,TRUE),OR(EXACT(Metadata!D790,"t"),EXACT(Metadata!D790,"f"))))</f>
        <v>0</v>
      </c>
      <c r="T790" t="b">
        <f>AND(IF(Metadata!E790="",FALSE,TRUE),OR(EXACT(Metadata!E790,"a"),EXACT(Metadata!E790,"b")))</f>
        <v>0</v>
      </c>
      <c r="U790" t="b">
        <f>OR(AND(IF(Metadata!F790="",FALSE,TRUE),OR(EXACT(Metadata!F790,"missing: not collected"),EXACT(Metadata!F790,"missing: not provided"))),AND(IF(Metadata!F790="",FALSE,TRUE),OR(EXACT(Metadata!F790,"lo"),EXACT(Metadata!F790,"med"),EXACT(Metadata!F790,"hi"))))</f>
        <v>0</v>
      </c>
    </row>
    <row r="791" spans="1:21" x14ac:dyDescent="0.2">
      <c r="A791" s="4" t="str">
        <f ca="1">IF(B791=" "," ",HYPERLINK(CONCATENATE("#metadata!",ADDRESS(INDEX($L$2:$L$1001,MATCH(ROWS($J$2:J791),$J$2:$J$1001,0),0),1)),INDEX($O$2:$O$1001,MATCH(ROWS($J$2:J791),$J$2:$J$1001,0),0)))</f>
        <v xml:space="preserve"> </v>
      </c>
      <c r="B791" s="3" t="str">
        <f ca="1">IF(OR(INDEX($K$2:$K$1001,MATCH(ROWS($J$2:J791),$J$2:$J$1001,0),1)&gt;=100000,INDEX($Q$1005:$U$1005,1,MATCH(COLUMNS($Q$1006:Q1006),$Q$1006:$U$1006,0))&gt;=100000), " ",IF(INDEX($Q$2:$U$1001,MATCH(ROWS($J$2:J791),$J$2:$J$1001,0),MATCH(COLUMNS($Q$1006:Q1006),$Q$1006:$U$1006,0)), HYPERLINK("#",""), HYPERLINK(CONCATENATE("#Metadata!", ADDRESS(INDEX($L$2:$L$1001,MATCH(ROWS($J$2:J791),$J$2:$J$1001,0),0), INDEX($Q$1004:$U$1004,1,MATCH(COLUMNS($Q$1006:Q1006),$Q$1006:$U$1006,0)))),"Fix")))</f>
        <v xml:space="preserve"> </v>
      </c>
      <c r="C791" s="3" t="str">
        <f ca="1">IF(OR(INDEX($K$2:$K$1001,MATCH(ROWS($J$2:J791),$J$2:$J$1001,0),1)&gt;=100000,INDEX($Q$1005:$U$1005,1,MATCH(COLUMNS($Q$1006:R1006),$Q$1006:$U$1006,0))&gt;=100000), " ",IF(INDEX($Q$2:$U$1001,MATCH(ROWS($J$2:J791),$J$2:$J$1001,0),MATCH(COLUMNS($Q$1006:R1006),$Q$1006:$U$1006,0)), HYPERLINK("#",""), HYPERLINK(CONCATENATE("#Metadata!", ADDRESS(INDEX($L$2:$L$1001,MATCH(ROWS($J$2:J791),$J$2:$J$1001,0),0), INDEX($Q$1004:$U$1004,1,MATCH(COLUMNS($Q$1006:R1006),$Q$1006:$U$1006,0)))),"Fix")))</f>
        <v xml:space="preserve"> </v>
      </c>
      <c r="D791" s="3" t="str">
        <f ca="1">IF(OR(INDEX($K$2:$K$1001,MATCH(ROWS($J$2:J791),$J$2:$J$1001,0),1)&gt;=100000,INDEX($Q$1005:$U$1005,1,MATCH(COLUMNS($Q$1006:S1006),$Q$1006:$U$1006,0))&gt;=100000), " ",IF(INDEX($Q$2:$U$1001,MATCH(ROWS($J$2:J791),$J$2:$J$1001,0),MATCH(COLUMNS($Q$1006:S1006),$Q$1006:$U$1006,0)), HYPERLINK("#",""), HYPERLINK(CONCATENATE("#Metadata!", ADDRESS(INDEX($L$2:$L$1001,MATCH(ROWS($J$2:J791),$J$2:$J$1001,0),0), INDEX($Q$1004:$U$1004,1,MATCH(COLUMNS($Q$1006:S1006),$Q$1006:$U$1006,0)))),"Fix")))</f>
        <v xml:space="preserve"> </v>
      </c>
      <c r="E791" s="3" t="str">
        <f ca="1">IF(OR(INDEX($K$2:$K$1001,MATCH(ROWS($J$2:J791),$J$2:$J$1001,0),1)&gt;=100000,INDEX($Q$1005:$U$1005,1,MATCH(COLUMNS($Q$1006:T1006),$Q$1006:$U$1006,0))&gt;=100000), " ",IF(INDEX($Q$2:$U$1001,MATCH(ROWS($J$2:J791),$J$2:$J$1001,0),MATCH(COLUMNS($Q$1006:T1006),$Q$1006:$U$1006,0)), HYPERLINK("#",""), HYPERLINK(CONCATENATE("#Metadata!", ADDRESS(INDEX($L$2:$L$1001,MATCH(ROWS($J$2:J791),$J$2:$J$1001,0),0), INDEX($Q$1004:$U$1004,1,MATCH(COLUMNS($Q$1006:T1006),$Q$1006:$U$1006,0)))),"Fix")))</f>
        <v xml:space="preserve"> </v>
      </c>
      <c r="F791" s="3" t="str">
        <f ca="1">IF(OR(INDEX($K$2:$K$1001,MATCH(ROWS($J$2:J791),$J$2:$J$1001,0),1)&gt;=100000,INDEX($Q$1005:$U$1005,1,MATCH(COLUMNS($Q$1006:U1006),$Q$1006:$U$1006,0))&gt;=100000), " ",IF(INDEX($Q$2:$U$1001,MATCH(ROWS($J$2:J791),$J$2:$J$1001,0),MATCH(COLUMNS($Q$1006:U1006),$Q$1006:$U$1006,0)), HYPERLINK("#",""), HYPERLINK(CONCATENATE("#Metadata!", ADDRESS(INDEX($L$2:$L$1001,MATCH(ROWS($J$2:J791),$J$2:$J$1001,0),0), INDEX($Q$1004:$U$1004,1,MATCH(COLUMNS($Q$1006:U1006),$Q$1006:$U$1006,0)))),"Fix")))</f>
        <v xml:space="preserve"> </v>
      </c>
      <c r="J791">
        <f ca="1"/>
        <v>790</v>
      </c>
      <c r="K791">
        <v>100791</v>
      </c>
      <c r="L791">
        <v>791</v>
      </c>
      <c r="M791" t="b">
        <f t="shared" si="12"/>
        <v>1</v>
      </c>
      <c r="N791" t="b">
        <f>COUNTBLANK(Metadata!B791:F791)=COLUMNS(Metadata!B791:F791)</f>
        <v>1</v>
      </c>
      <c r="O791" t="str">
        <v/>
      </c>
      <c r="Q791" t="b">
        <f ca="1"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R791" t="b">
        <f>IF(Metadata!C791="",FALSE,TRUE)</f>
        <v>0</v>
      </c>
      <c r="S791" t="b">
        <f>OR(AND(IF(Metadata!D791="",FALSE,TRUE),EXACT(Metadata!D791,"missing: not collected")),AND(IF(Metadata!D791="",FALSE,TRUE),OR(EXACT(Metadata!D791,"t"),EXACT(Metadata!D791,"f"))))</f>
        <v>0</v>
      </c>
      <c r="T791" t="b">
        <f>AND(IF(Metadata!E791="",FALSE,TRUE),OR(EXACT(Metadata!E791,"a"),EXACT(Metadata!E791,"b")))</f>
        <v>0</v>
      </c>
      <c r="U791" t="b">
        <f>OR(AND(IF(Metadata!F791="",FALSE,TRUE),OR(EXACT(Metadata!F791,"missing: not collected"),EXACT(Metadata!F791,"missing: not provided"))),AND(IF(Metadata!F791="",FALSE,TRUE),OR(EXACT(Metadata!F791,"lo"),EXACT(Metadata!F791,"med"),EXACT(Metadata!F791,"hi"))))</f>
        <v>0</v>
      </c>
    </row>
    <row r="792" spans="1:21" x14ac:dyDescent="0.2">
      <c r="A792" s="4" t="str">
        <f ca="1">IF(B792=" "," ",HYPERLINK(CONCATENATE("#metadata!",ADDRESS(INDEX($L$2:$L$1001,MATCH(ROWS($J$2:J792),$J$2:$J$1001,0),0),1)),INDEX($O$2:$O$1001,MATCH(ROWS($J$2:J792),$J$2:$J$1001,0),0)))</f>
        <v xml:space="preserve"> </v>
      </c>
      <c r="B792" s="3" t="str">
        <f ca="1">IF(OR(INDEX($K$2:$K$1001,MATCH(ROWS($J$2:J792),$J$2:$J$1001,0),1)&gt;=100000,INDEX($Q$1005:$U$1005,1,MATCH(COLUMNS($Q$1006:Q1006),$Q$1006:$U$1006,0))&gt;=100000), " ",IF(INDEX($Q$2:$U$1001,MATCH(ROWS($J$2:J792),$J$2:$J$1001,0),MATCH(COLUMNS($Q$1006:Q1006),$Q$1006:$U$1006,0)), HYPERLINK("#",""), HYPERLINK(CONCATENATE("#Metadata!", ADDRESS(INDEX($L$2:$L$1001,MATCH(ROWS($J$2:J792),$J$2:$J$1001,0),0), INDEX($Q$1004:$U$1004,1,MATCH(COLUMNS($Q$1006:Q1006),$Q$1006:$U$1006,0)))),"Fix")))</f>
        <v xml:space="preserve"> </v>
      </c>
      <c r="C792" s="3" t="str">
        <f ca="1">IF(OR(INDEX($K$2:$K$1001,MATCH(ROWS($J$2:J792),$J$2:$J$1001,0),1)&gt;=100000,INDEX($Q$1005:$U$1005,1,MATCH(COLUMNS($Q$1006:R1006),$Q$1006:$U$1006,0))&gt;=100000), " ",IF(INDEX($Q$2:$U$1001,MATCH(ROWS($J$2:J792),$J$2:$J$1001,0),MATCH(COLUMNS($Q$1006:R1006),$Q$1006:$U$1006,0)), HYPERLINK("#",""), HYPERLINK(CONCATENATE("#Metadata!", ADDRESS(INDEX($L$2:$L$1001,MATCH(ROWS($J$2:J792),$J$2:$J$1001,0),0), INDEX($Q$1004:$U$1004,1,MATCH(COLUMNS($Q$1006:R1006),$Q$1006:$U$1006,0)))),"Fix")))</f>
        <v xml:space="preserve"> </v>
      </c>
      <c r="D792" s="3" t="str">
        <f ca="1">IF(OR(INDEX($K$2:$K$1001,MATCH(ROWS($J$2:J792),$J$2:$J$1001,0),1)&gt;=100000,INDEX($Q$1005:$U$1005,1,MATCH(COLUMNS($Q$1006:S1006),$Q$1006:$U$1006,0))&gt;=100000), " ",IF(INDEX($Q$2:$U$1001,MATCH(ROWS($J$2:J792),$J$2:$J$1001,0),MATCH(COLUMNS($Q$1006:S1006),$Q$1006:$U$1006,0)), HYPERLINK("#",""), HYPERLINK(CONCATENATE("#Metadata!", ADDRESS(INDEX($L$2:$L$1001,MATCH(ROWS($J$2:J792),$J$2:$J$1001,0),0), INDEX($Q$1004:$U$1004,1,MATCH(COLUMNS($Q$1006:S1006),$Q$1006:$U$1006,0)))),"Fix")))</f>
        <v xml:space="preserve"> </v>
      </c>
      <c r="E792" s="3" t="str">
        <f ca="1">IF(OR(INDEX($K$2:$K$1001,MATCH(ROWS($J$2:J792),$J$2:$J$1001,0),1)&gt;=100000,INDEX($Q$1005:$U$1005,1,MATCH(COLUMNS($Q$1006:T1006),$Q$1006:$U$1006,0))&gt;=100000), " ",IF(INDEX($Q$2:$U$1001,MATCH(ROWS($J$2:J792),$J$2:$J$1001,0),MATCH(COLUMNS($Q$1006:T1006),$Q$1006:$U$1006,0)), HYPERLINK("#",""), HYPERLINK(CONCATENATE("#Metadata!", ADDRESS(INDEX($L$2:$L$1001,MATCH(ROWS($J$2:J792),$J$2:$J$1001,0),0), INDEX($Q$1004:$U$1004,1,MATCH(COLUMNS($Q$1006:T1006),$Q$1006:$U$1006,0)))),"Fix")))</f>
        <v xml:space="preserve"> </v>
      </c>
      <c r="F792" s="3" t="str">
        <f ca="1">IF(OR(INDEX($K$2:$K$1001,MATCH(ROWS($J$2:J792),$J$2:$J$1001,0),1)&gt;=100000,INDEX($Q$1005:$U$1005,1,MATCH(COLUMNS($Q$1006:U1006),$Q$1006:$U$1006,0))&gt;=100000), " ",IF(INDEX($Q$2:$U$1001,MATCH(ROWS($J$2:J792),$J$2:$J$1001,0),MATCH(COLUMNS($Q$1006:U1006),$Q$1006:$U$1006,0)), HYPERLINK("#",""), HYPERLINK(CONCATENATE("#Metadata!", ADDRESS(INDEX($L$2:$L$1001,MATCH(ROWS($J$2:J792),$J$2:$J$1001,0),0), INDEX($Q$1004:$U$1004,1,MATCH(COLUMNS($Q$1006:U1006),$Q$1006:$U$1006,0)))),"Fix")))</f>
        <v xml:space="preserve"> </v>
      </c>
      <c r="J792">
        <f ca="1"/>
        <v>791</v>
      </c>
      <c r="K792">
        <v>100792</v>
      </c>
      <c r="L792">
        <v>792</v>
      </c>
      <c r="M792" t="b">
        <f t="shared" si="12"/>
        <v>1</v>
      </c>
      <c r="N792" t="b">
        <f>COUNTBLANK(Metadata!B792:F792)=COLUMNS(Metadata!B792:F792)</f>
        <v>1</v>
      </c>
      <c r="O792" t="str">
        <v/>
      </c>
      <c r="Q792" t="b">
        <f ca="1"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R792" t="b">
        <f>IF(Metadata!C792="",FALSE,TRUE)</f>
        <v>0</v>
      </c>
      <c r="S792" t="b">
        <f>OR(AND(IF(Metadata!D792="",FALSE,TRUE),EXACT(Metadata!D792,"missing: not collected")),AND(IF(Metadata!D792="",FALSE,TRUE),OR(EXACT(Metadata!D792,"t"),EXACT(Metadata!D792,"f"))))</f>
        <v>0</v>
      </c>
      <c r="T792" t="b">
        <f>AND(IF(Metadata!E792="",FALSE,TRUE),OR(EXACT(Metadata!E792,"a"),EXACT(Metadata!E792,"b")))</f>
        <v>0</v>
      </c>
      <c r="U792" t="b">
        <f>OR(AND(IF(Metadata!F792="",FALSE,TRUE),OR(EXACT(Metadata!F792,"missing: not collected"),EXACT(Metadata!F792,"missing: not provided"))),AND(IF(Metadata!F792="",FALSE,TRUE),OR(EXACT(Metadata!F792,"lo"),EXACT(Metadata!F792,"med"),EXACT(Metadata!F792,"hi"))))</f>
        <v>0</v>
      </c>
    </row>
    <row r="793" spans="1:21" x14ac:dyDescent="0.2">
      <c r="A793" s="4" t="str">
        <f ca="1">IF(B793=" "," ",HYPERLINK(CONCATENATE("#metadata!",ADDRESS(INDEX($L$2:$L$1001,MATCH(ROWS($J$2:J793),$J$2:$J$1001,0),0),1)),INDEX($O$2:$O$1001,MATCH(ROWS($J$2:J793),$J$2:$J$1001,0),0)))</f>
        <v xml:space="preserve"> </v>
      </c>
      <c r="B793" s="3" t="str">
        <f ca="1">IF(OR(INDEX($K$2:$K$1001,MATCH(ROWS($J$2:J793),$J$2:$J$1001,0),1)&gt;=100000,INDEX($Q$1005:$U$1005,1,MATCH(COLUMNS($Q$1006:Q1006),$Q$1006:$U$1006,0))&gt;=100000), " ",IF(INDEX($Q$2:$U$1001,MATCH(ROWS($J$2:J793),$J$2:$J$1001,0),MATCH(COLUMNS($Q$1006:Q1006),$Q$1006:$U$1006,0)), HYPERLINK("#",""), HYPERLINK(CONCATENATE("#Metadata!", ADDRESS(INDEX($L$2:$L$1001,MATCH(ROWS($J$2:J793),$J$2:$J$1001,0),0), INDEX($Q$1004:$U$1004,1,MATCH(COLUMNS($Q$1006:Q1006),$Q$1006:$U$1006,0)))),"Fix")))</f>
        <v xml:space="preserve"> </v>
      </c>
      <c r="C793" s="3" t="str">
        <f ca="1">IF(OR(INDEX($K$2:$K$1001,MATCH(ROWS($J$2:J793),$J$2:$J$1001,0),1)&gt;=100000,INDEX($Q$1005:$U$1005,1,MATCH(COLUMNS($Q$1006:R1006),$Q$1006:$U$1006,0))&gt;=100000), " ",IF(INDEX($Q$2:$U$1001,MATCH(ROWS($J$2:J793),$J$2:$J$1001,0),MATCH(COLUMNS($Q$1006:R1006),$Q$1006:$U$1006,0)), HYPERLINK("#",""), HYPERLINK(CONCATENATE("#Metadata!", ADDRESS(INDEX($L$2:$L$1001,MATCH(ROWS($J$2:J793),$J$2:$J$1001,0),0), INDEX($Q$1004:$U$1004,1,MATCH(COLUMNS($Q$1006:R1006),$Q$1006:$U$1006,0)))),"Fix")))</f>
        <v xml:space="preserve"> </v>
      </c>
      <c r="D793" s="3" t="str">
        <f ca="1">IF(OR(INDEX($K$2:$K$1001,MATCH(ROWS($J$2:J793),$J$2:$J$1001,0),1)&gt;=100000,INDEX($Q$1005:$U$1005,1,MATCH(COLUMNS($Q$1006:S1006),$Q$1006:$U$1006,0))&gt;=100000), " ",IF(INDEX($Q$2:$U$1001,MATCH(ROWS($J$2:J793),$J$2:$J$1001,0),MATCH(COLUMNS($Q$1006:S1006),$Q$1006:$U$1006,0)), HYPERLINK("#",""), HYPERLINK(CONCATENATE("#Metadata!", ADDRESS(INDEX($L$2:$L$1001,MATCH(ROWS($J$2:J793),$J$2:$J$1001,0),0), INDEX($Q$1004:$U$1004,1,MATCH(COLUMNS($Q$1006:S1006),$Q$1006:$U$1006,0)))),"Fix")))</f>
        <v xml:space="preserve"> </v>
      </c>
      <c r="E793" s="3" t="str">
        <f ca="1">IF(OR(INDEX($K$2:$K$1001,MATCH(ROWS($J$2:J793),$J$2:$J$1001,0),1)&gt;=100000,INDEX($Q$1005:$U$1005,1,MATCH(COLUMNS($Q$1006:T1006),$Q$1006:$U$1006,0))&gt;=100000), " ",IF(INDEX($Q$2:$U$1001,MATCH(ROWS($J$2:J793),$J$2:$J$1001,0),MATCH(COLUMNS($Q$1006:T1006),$Q$1006:$U$1006,0)), HYPERLINK("#",""), HYPERLINK(CONCATENATE("#Metadata!", ADDRESS(INDEX($L$2:$L$1001,MATCH(ROWS($J$2:J793),$J$2:$J$1001,0),0), INDEX($Q$1004:$U$1004,1,MATCH(COLUMNS($Q$1006:T1006),$Q$1006:$U$1006,0)))),"Fix")))</f>
        <v xml:space="preserve"> </v>
      </c>
      <c r="F793" s="3" t="str">
        <f ca="1">IF(OR(INDEX($K$2:$K$1001,MATCH(ROWS($J$2:J793),$J$2:$J$1001,0),1)&gt;=100000,INDEX($Q$1005:$U$1005,1,MATCH(COLUMNS($Q$1006:U1006),$Q$1006:$U$1006,0))&gt;=100000), " ",IF(INDEX($Q$2:$U$1001,MATCH(ROWS($J$2:J793),$J$2:$J$1001,0),MATCH(COLUMNS($Q$1006:U1006),$Q$1006:$U$1006,0)), HYPERLINK("#",""), HYPERLINK(CONCATENATE("#Metadata!", ADDRESS(INDEX($L$2:$L$1001,MATCH(ROWS($J$2:J793),$J$2:$J$1001,0),0), INDEX($Q$1004:$U$1004,1,MATCH(COLUMNS($Q$1006:U1006),$Q$1006:$U$1006,0)))),"Fix")))</f>
        <v xml:space="preserve"> </v>
      </c>
      <c r="J793">
        <f ca="1"/>
        <v>792</v>
      </c>
      <c r="K793">
        <v>100793</v>
      </c>
      <c r="L793">
        <v>793</v>
      </c>
      <c r="M793" t="b">
        <f t="shared" si="12"/>
        <v>1</v>
      </c>
      <c r="N793" t="b">
        <f>COUNTBLANK(Metadata!B793:F793)=COLUMNS(Metadata!B793:F793)</f>
        <v>1</v>
      </c>
      <c r="O793" t="str">
        <v/>
      </c>
      <c r="Q793" t="b">
        <f ca="1"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R793" t="b">
        <f>IF(Metadata!C793="",FALSE,TRUE)</f>
        <v>0</v>
      </c>
      <c r="S793" t="b">
        <f>OR(AND(IF(Metadata!D793="",FALSE,TRUE),EXACT(Metadata!D793,"missing: not collected")),AND(IF(Metadata!D793="",FALSE,TRUE),OR(EXACT(Metadata!D793,"t"),EXACT(Metadata!D793,"f"))))</f>
        <v>0</v>
      </c>
      <c r="T793" t="b">
        <f>AND(IF(Metadata!E793="",FALSE,TRUE),OR(EXACT(Metadata!E793,"a"),EXACT(Metadata!E793,"b")))</f>
        <v>0</v>
      </c>
      <c r="U793" t="b">
        <f>OR(AND(IF(Metadata!F793="",FALSE,TRUE),OR(EXACT(Metadata!F793,"missing: not collected"),EXACT(Metadata!F793,"missing: not provided"))),AND(IF(Metadata!F793="",FALSE,TRUE),OR(EXACT(Metadata!F793,"lo"),EXACT(Metadata!F793,"med"),EXACT(Metadata!F793,"hi"))))</f>
        <v>0</v>
      </c>
    </row>
    <row r="794" spans="1:21" x14ac:dyDescent="0.2">
      <c r="A794" s="4" t="str">
        <f ca="1">IF(B794=" "," ",HYPERLINK(CONCATENATE("#metadata!",ADDRESS(INDEX($L$2:$L$1001,MATCH(ROWS($J$2:J794),$J$2:$J$1001,0),0),1)),INDEX($O$2:$O$1001,MATCH(ROWS($J$2:J794),$J$2:$J$1001,0),0)))</f>
        <v xml:space="preserve"> </v>
      </c>
      <c r="B794" s="3" t="str">
        <f ca="1">IF(OR(INDEX($K$2:$K$1001,MATCH(ROWS($J$2:J794),$J$2:$J$1001,0),1)&gt;=100000,INDEX($Q$1005:$U$1005,1,MATCH(COLUMNS($Q$1006:Q1006),$Q$1006:$U$1006,0))&gt;=100000), " ",IF(INDEX($Q$2:$U$1001,MATCH(ROWS($J$2:J794),$J$2:$J$1001,0),MATCH(COLUMNS($Q$1006:Q1006),$Q$1006:$U$1006,0)), HYPERLINK("#",""), HYPERLINK(CONCATENATE("#Metadata!", ADDRESS(INDEX($L$2:$L$1001,MATCH(ROWS($J$2:J794),$J$2:$J$1001,0),0), INDEX($Q$1004:$U$1004,1,MATCH(COLUMNS($Q$1006:Q1006),$Q$1006:$U$1006,0)))),"Fix")))</f>
        <v xml:space="preserve"> </v>
      </c>
      <c r="C794" s="3" t="str">
        <f ca="1">IF(OR(INDEX($K$2:$K$1001,MATCH(ROWS($J$2:J794),$J$2:$J$1001,0),1)&gt;=100000,INDEX($Q$1005:$U$1005,1,MATCH(COLUMNS($Q$1006:R1006),$Q$1006:$U$1006,0))&gt;=100000), " ",IF(INDEX($Q$2:$U$1001,MATCH(ROWS($J$2:J794),$J$2:$J$1001,0),MATCH(COLUMNS($Q$1006:R1006),$Q$1006:$U$1006,0)), HYPERLINK("#",""), HYPERLINK(CONCATENATE("#Metadata!", ADDRESS(INDEX($L$2:$L$1001,MATCH(ROWS($J$2:J794),$J$2:$J$1001,0),0), INDEX($Q$1004:$U$1004,1,MATCH(COLUMNS($Q$1006:R1006),$Q$1006:$U$1006,0)))),"Fix")))</f>
        <v xml:space="preserve"> </v>
      </c>
      <c r="D794" s="3" t="str">
        <f ca="1">IF(OR(INDEX($K$2:$K$1001,MATCH(ROWS($J$2:J794),$J$2:$J$1001,0),1)&gt;=100000,INDEX($Q$1005:$U$1005,1,MATCH(COLUMNS($Q$1006:S1006),$Q$1006:$U$1006,0))&gt;=100000), " ",IF(INDEX($Q$2:$U$1001,MATCH(ROWS($J$2:J794),$J$2:$J$1001,0),MATCH(COLUMNS($Q$1006:S1006),$Q$1006:$U$1006,0)), HYPERLINK("#",""), HYPERLINK(CONCATENATE("#Metadata!", ADDRESS(INDEX($L$2:$L$1001,MATCH(ROWS($J$2:J794),$J$2:$J$1001,0),0), INDEX($Q$1004:$U$1004,1,MATCH(COLUMNS($Q$1006:S1006),$Q$1006:$U$1006,0)))),"Fix")))</f>
        <v xml:space="preserve"> </v>
      </c>
      <c r="E794" s="3" t="str">
        <f ca="1">IF(OR(INDEX($K$2:$K$1001,MATCH(ROWS($J$2:J794),$J$2:$J$1001,0),1)&gt;=100000,INDEX($Q$1005:$U$1005,1,MATCH(COLUMNS($Q$1006:T1006),$Q$1006:$U$1006,0))&gt;=100000), " ",IF(INDEX($Q$2:$U$1001,MATCH(ROWS($J$2:J794),$J$2:$J$1001,0),MATCH(COLUMNS($Q$1006:T1006),$Q$1006:$U$1006,0)), HYPERLINK("#",""), HYPERLINK(CONCATENATE("#Metadata!", ADDRESS(INDEX($L$2:$L$1001,MATCH(ROWS($J$2:J794),$J$2:$J$1001,0),0), INDEX($Q$1004:$U$1004,1,MATCH(COLUMNS($Q$1006:T1006),$Q$1006:$U$1006,0)))),"Fix")))</f>
        <v xml:space="preserve"> </v>
      </c>
      <c r="F794" s="3" t="str">
        <f ca="1">IF(OR(INDEX($K$2:$K$1001,MATCH(ROWS($J$2:J794),$J$2:$J$1001,0),1)&gt;=100000,INDEX($Q$1005:$U$1005,1,MATCH(COLUMNS($Q$1006:U1006),$Q$1006:$U$1006,0))&gt;=100000), " ",IF(INDEX($Q$2:$U$1001,MATCH(ROWS($J$2:J794),$J$2:$J$1001,0),MATCH(COLUMNS($Q$1006:U1006),$Q$1006:$U$1006,0)), HYPERLINK("#",""), HYPERLINK(CONCATENATE("#Metadata!", ADDRESS(INDEX($L$2:$L$1001,MATCH(ROWS($J$2:J794),$J$2:$J$1001,0),0), INDEX($Q$1004:$U$1004,1,MATCH(COLUMNS($Q$1006:U1006),$Q$1006:$U$1006,0)))),"Fix")))</f>
        <v xml:space="preserve"> </v>
      </c>
      <c r="J794">
        <f ca="1"/>
        <v>793</v>
      </c>
      <c r="K794">
        <v>100794</v>
      </c>
      <c r="L794">
        <v>794</v>
      </c>
      <c r="M794" t="b">
        <f t="shared" si="12"/>
        <v>1</v>
      </c>
      <c r="N794" t="b">
        <f>COUNTBLANK(Metadata!B794:F794)=COLUMNS(Metadata!B794:F794)</f>
        <v>1</v>
      </c>
      <c r="O794" t="str">
        <v/>
      </c>
      <c r="Q794" t="b">
        <f ca="1"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R794" t="b">
        <f>IF(Metadata!C794="",FALSE,TRUE)</f>
        <v>0</v>
      </c>
      <c r="S794" t="b">
        <f>OR(AND(IF(Metadata!D794="",FALSE,TRUE),EXACT(Metadata!D794,"missing: not collected")),AND(IF(Metadata!D794="",FALSE,TRUE),OR(EXACT(Metadata!D794,"t"),EXACT(Metadata!D794,"f"))))</f>
        <v>0</v>
      </c>
      <c r="T794" t="b">
        <f>AND(IF(Metadata!E794="",FALSE,TRUE),OR(EXACT(Metadata!E794,"a"),EXACT(Metadata!E794,"b")))</f>
        <v>0</v>
      </c>
      <c r="U794" t="b">
        <f>OR(AND(IF(Metadata!F794="",FALSE,TRUE),OR(EXACT(Metadata!F794,"missing: not collected"),EXACT(Metadata!F794,"missing: not provided"))),AND(IF(Metadata!F794="",FALSE,TRUE),OR(EXACT(Metadata!F794,"lo"),EXACT(Metadata!F794,"med"),EXACT(Metadata!F794,"hi"))))</f>
        <v>0</v>
      </c>
    </row>
    <row r="795" spans="1:21" x14ac:dyDescent="0.2">
      <c r="A795" s="4" t="str">
        <f ca="1">IF(B795=" "," ",HYPERLINK(CONCATENATE("#metadata!",ADDRESS(INDEX($L$2:$L$1001,MATCH(ROWS($J$2:J795),$J$2:$J$1001,0),0),1)),INDEX($O$2:$O$1001,MATCH(ROWS($J$2:J795),$J$2:$J$1001,0),0)))</f>
        <v xml:space="preserve"> </v>
      </c>
      <c r="B795" s="3" t="str">
        <f ca="1">IF(OR(INDEX($K$2:$K$1001,MATCH(ROWS($J$2:J795),$J$2:$J$1001,0),1)&gt;=100000,INDEX($Q$1005:$U$1005,1,MATCH(COLUMNS($Q$1006:Q1006),$Q$1006:$U$1006,0))&gt;=100000), " ",IF(INDEX($Q$2:$U$1001,MATCH(ROWS($J$2:J795),$J$2:$J$1001,0),MATCH(COLUMNS($Q$1006:Q1006),$Q$1006:$U$1006,0)), HYPERLINK("#",""), HYPERLINK(CONCATENATE("#Metadata!", ADDRESS(INDEX($L$2:$L$1001,MATCH(ROWS($J$2:J795),$J$2:$J$1001,0),0), INDEX($Q$1004:$U$1004,1,MATCH(COLUMNS($Q$1006:Q1006),$Q$1006:$U$1006,0)))),"Fix")))</f>
        <v xml:space="preserve"> </v>
      </c>
      <c r="C795" s="3" t="str">
        <f ca="1">IF(OR(INDEX($K$2:$K$1001,MATCH(ROWS($J$2:J795),$J$2:$J$1001,0),1)&gt;=100000,INDEX($Q$1005:$U$1005,1,MATCH(COLUMNS($Q$1006:R1006),$Q$1006:$U$1006,0))&gt;=100000), " ",IF(INDEX($Q$2:$U$1001,MATCH(ROWS($J$2:J795),$J$2:$J$1001,0),MATCH(COLUMNS($Q$1006:R1006),$Q$1006:$U$1006,0)), HYPERLINK("#",""), HYPERLINK(CONCATENATE("#Metadata!", ADDRESS(INDEX($L$2:$L$1001,MATCH(ROWS($J$2:J795),$J$2:$J$1001,0),0), INDEX($Q$1004:$U$1004,1,MATCH(COLUMNS($Q$1006:R1006),$Q$1006:$U$1006,0)))),"Fix")))</f>
        <v xml:space="preserve"> </v>
      </c>
      <c r="D795" s="3" t="str">
        <f ca="1">IF(OR(INDEX($K$2:$K$1001,MATCH(ROWS($J$2:J795),$J$2:$J$1001,0),1)&gt;=100000,INDEX($Q$1005:$U$1005,1,MATCH(COLUMNS($Q$1006:S1006),$Q$1006:$U$1006,0))&gt;=100000), " ",IF(INDEX($Q$2:$U$1001,MATCH(ROWS($J$2:J795),$J$2:$J$1001,0),MATCH(COLUMNS($Q$1006:S1006),$Q$1006:$U$1006,0)), HYPERLINK("#",""), HYPERLINK(CONCATENATE("#Metadata!", ADDRESS(INDEX($L$2:$L$1001,MATCH(ROWS($J$2:J795),$J$2:$J$1001,0),0), INDEX($Q$1004:$U$1004,1,MATCH(COLUMNS($Q$1006:S1006),$Q$1006:$U$1006,0)))),"Fix")))</f>
        <v xml:space="preserve"> </v>
      </c>
      <c r="E795" s="3" t="str">
        <f ca="1">IF(OR(INDEX($K$2:$K$1001,MATCH(ROWS($J$2:J795),$J$2:$J$1001,0),1)&gt;=100000,INDEX($Q$1005:$U$1005,1,MATCH(COLUMNS($Q$1006:T1006),$Q$1006:$U$1006,0))&gt;=100000), " ",IF(INDEX($Q$2:$U$1001,MATCH(ROWS($J$2:J795),$J$2:$J$1001,0),MATCH(COLUMNS($Q$1006:T1006),$Q$1006:$U$1006,0)), HYPERLINK("#",""), HYPERLINK(CONCATENATE("#Metadata!", ADDRESS(INDEX($L$2:$L$1001,MATCH(ROWS($J$2:J795),$J$2:$J$1001,0),0), INDEX($Q$1004:$U$1004,1,MATCH(COLUMNS($Q$1006:T1006),$Q$1006:$U$1006,0)))),"Fix")))</f>
        <v xml:space="preserve"> </v>
      </c>
      <c r="F795" s="3" t="str">
        <f ca="1">IF(OR(INDEX($K$2:$K$1001,MATCH(ROWS($J$2:J795),$J$2:$J$1001,0),1)&gt;=100000,INDEX($Q$1005:$U$1005,1,MATCH(COLUMNS($Q$1006:U1006),$Q$1006:$U$1006,0))&gt;=100000), " ",IF(INDEX($Q$2:$U$1001,MATCH(ROWS($J$2:J795),$J$2:$J$1001,0),MATCH(COLUMNS($Q$1006:U1006),$Q$1006:$U$1006,0)), HYPERLINK("#",""), HYPERLINK(CONCATENATE("#Metadata!", ADDRESS(INDEX($L$2:$L$1001,MATCH(ROWS($J$2:J795),$J$2:$J$1001,0),0), INDEX($Q$1004:$U$1004,1,MATCH(COLUMNS($Q$1006:U1006),$Q$1006:$U$1006,0)))),"Fix")))</f>
        <v xml:space="preserve"> </v>
      </c>
      <c r="J795">
        <f ca="1"/>
        <v>794</v>
      </c>
      <c r="K795">
        <v>100795</v>
      </c>
      <c r="L795">
        <v>795</v>
      </c>
      <c r="M795" t="b">
        <f t="shared" si="12"/>
        <v>1</v>
      </c>
      <c r="N795" t="b">
        <f>COUNTBLANK(Metadata!B795:F795)=COLUMNS(Metadata!B795:F795)</f>
        <v>1</v>
      </c>
      <c r="O795" t="str">
        <v/>
      </c>
      <c r="Q795" t="b">
        <f ca="1"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R795" t="b">
        <f>IF(Metadata!C795="",FALSE,TRUE)</f>
        <v>0</v>
      </c>
      <c r="S795" t="b">
        <f>OR(AND(IF(Metadata!D795="",FALSE,TRUE),EXACT(Metadata!D795,"missing: not collected")),AND(IF(Metadata!D795="",FALSE,TRUE),OR(EXACT(Metadata!D795,"t"),EXACT(Metadata!D795,"f"))))</f>
        <v>0</v>
      </c>
      <c r="T795" t="b">
        <f>AND(IF(Metadata!E795="",FALSE,TRUE),OR(EXACT(Metadata!E795,"a"),EXACT(Metadata!E795,"b")))</f>
        <v>0</v>
      </c>
      <c r="U795" t="b">
        <f>OR(AND(IF(Metadata!F795="",FALSE,TRUE),OR(EXACT(Metadata!F795,"missing: not collected"),EXACT(Metadata!F795,"missing: not provided"))),AND(IF(Metadata!F795="",FALSE,TRUE),OR(EXACT(Metadata!F795,"lo"),EXACT(Metadata!F795,"med"),EXACT(Metadata!F795,"hi"))))</f>
        <v>0</v>
      </c>
    </row>
    <row r="796" spans="1:21" x14ac:dyDescent="0.2">
      <c r="A796" s="4" t="str">
        <f ca="1">IF(B796=" "," ",HYPERLINK(CONCATENATE("#metadata!",ADDRESS(INDEX($L$2:$L$1001,MATCH(ROWS($J$2:J796),$J$2:$J$1001,0),0),1)),INDEX($O$2:$O$1001,MATCH(ROWS($J$2:J796),$J$2:$J$1001,0),0)))</f>
        <v xml:space="preserve"> </v>
      </c>
      <c r="B796" s="3" t="str">
        <f ca="1">IF(OR(INDEX($K$2:$K$1001,MATCH(ROWS($J$2:J796),$J$2:$J$1001,0),1)&gt;=100000,INDEX($Q$1005:$U$1005,1,MATCH(COLUMNS($Q$1006:Q1006),$Q$1006:$U$1006,0))&gt;=100000), " ",IF(INDEX($Q$2:$U$1001,MATCH(ROWS($J$2:J796),$J$2:$J$1001,0),MATCH(COLUMNS($Q$1006:Q1006),$Q$1006:$U$1006,0)), HYPERLINK("#",""), HYPERLINK(CONCATENATE("#Metadata!", ADDRESS(INDEX($L$2:$L$1001,MATCH(ROWS($J$2:J796),$J$2:$J$1001,0),0), INDEX($Q$1004:$U$1004,1,MATCH(COLUMNS($Q$1006:Q1006),$Q$1006:$U$1006,0)))),"Fix")))</f>
        <v xml:space="preserve"> </v>
      </c>
      <c r="C796" s="3" t="str">
        <f ca="1">IF(OR(INDEX($K$2:$K$1001,MATCH(ROWS($J$2:J796),$J$2:$J$1001,0),1)&gt;=100000,INDEX($Q$1005:$U$1005,1,MATCH(COLUMNS($Q$1006:R1006),$Q$1006:$U$1006,0))&gt;=100000), " ",IF(INDEX($Q$2:$U$1001,MATCH(ROWS($J$2:J796),$J$2:$J$1001,0),MATCH(COLUMNS($Q$1006:R1006),$Q$1006:$U$1006,0)), HYPERLINK("#",""), HYPERLINK(CONCATENATE("#Metadata!", ADDRESS(INDEX($L$2:$L$1001,MATCH(ROWS($J$2:J796),$J$2:$J$1001,0),0), INDEX($Q$1004:$U$1004,1,MATCH(COLUMNS($Q$1006:R1006),$Q$1006:$U$1006,0)))),"Fix")))</f>
        <v xml:space="preserve"> </v>
      </c>
      <c r="D796" s="3" t="str">
        <f ca="1">IF(OR(INDEX($K$2:$K$1001,MATCH(ROWS($J$2:J796),$J$2:$J$1001,0),1)&gt;=100000,INDEX($Q$1005:$U$1005,1,MATCH(COLUMNS($Q$1006:S1006),$Q$1006:$U$1006,0))&gt;=100000), " ",IF(INDEX($Q$2:$U$1001,MATCH(ROWS($J$2:J796),$J$2:$J$1001,0),MATCH(COLUMNS($Q$1006:S1006),$Q$1006:$U$1006,0)), HYPERLINK("#",""), HYPERLINK(CONCATENATE("#Metadata!", ADDRESS(INDEX($L$2:$L$1001,MATCH(ROWS($J$2:J796),$J$2:$J$1001,0),0), INDEX($Q$1004:$U$1004,1,MATCH(COLUMNS($Q$1006:S1006),$Q$1006:$U$1006,0)))),"Fix")))</f>
        <v xml:space="preserve"> </v>
      </c>
      <c r="E796" s="3" t="str">
        <f ca="1">IF(OR(INDEX($K$2:$K$1001,MATCH(ROWS($J$2:J796),$J$2:$J$1001,0),1)&gt;=100000,INDEX($Q$1005:$U$1005,1,MATCH(COLUMNS($Q$1006:T1006),$Q$1006:$U$1006,0))&gt;=100000), " ",IF(INDEX($Q$2:$U$1001,MATCH(ROWS($J$2:J796),$J$2:$J$1001,0),MATCH(COLUMNS($Q$1006:T1006),$Q$1006:$U$1006,0)), HYPERLINK("#",""), HYPERLINK(CONCATENATE("#Metadata!", ADDRESS(INDEX($L$2:$L$1001,MATCH(ROWS($J$2:J796),$J$2:$J$1001,0),0), INDEX($Q$1004:$U$1004,1,MATCH(COLUMNS($Q$1006:T1006),$Q$1006:$U$1006,0)))),"Fix")))</f>
        <v xml:space="preserve"> </v>
      </c>
      <c r="F796" s="3" t="str">
        <f ca="1">IF(OR(INDEX($K$2:$K$1001,MATCH(ROWS($J$2:J796),$J$2:$J$1001,0),1)&gt;=100000,INDEX($Q$1005:$U$1005,1,MATCH(COLUMNS($Q$1006:U1006),$Q$1006:$U$1006,0))&gt;=100000), " ",IF(INDEX($Q$2:$U$1001,MATCH(ROWS($J$2:J796),$J$2:$J$1001,0),MATCH(COLUMNS($Q$1006:U1006),$Q$1006:$U$1006,0)), HYPERLINK("#",""), HYPERLINK(CONCATENATE("#Metadata!", ADDRESS(INDEX($L$2:$L$1001,MATCH(ROWS($J$2:J796),$J$2:$J$1001,0),0), INDEX($Q$1004:$U$1004,1,MATCH(COLUMNS($Q$1006:U1006),$Q$1006:$U$1006,0)))),"Fix")))</f>
        <v xml:space="preserve"> </v>
      </c>
      <c r="J796">
        <f ca="1"/>
        <v>795</v>
      </c>
      <c r="K796">
        <v>100796</v>
      </c>
      <c r="L796">
        <v>796</v>
      </c>
      <c r="M796" t="b">
        <f t="shared" si="12"/>
        <v>1</v>
      </c>
      <c r="N796" t="b">
        <f>COUNTBLANK(Metadata!B796:F796)=COLUMNS(Metadata!B796:F796)</f>
        <v>1</v>
      </c>
      <c r="O796" t="str">
        <v/>
      </c>
      <c r="Q796" t="b">
        <f ca="1"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R796" t="b">
        <f>IF(Metadata!C796="",FALSE,TRUE)</f>
        <v>0</v>
      </c>
      <c r="S796" t="b">
        <f>OR(AND(IF(Metadata!D796="",FALSE,TRUE),EXACT(Metadata!D796,"missing: not collected")),AND(IF(Metadata!D796="",FALSE,TRUE),OR(EXACT(Metadata!D796,"t"),EXACT(Metadata!D796,"f"))))</f>
        <v>0</v>
      </c>
      <c r="T796" t="b">
        <f>AND(IF(Metadata!E796="",FALSE,TRUE),OR(EXACT(Metadata!E796,"a"),EXACT(Metadata!E796,"b")))</f>
        <v>0</v>
      </c>
      <c r="U796" t="b">
        <f>OR(AND(IF(Metadata!F796="",FALSE,TRUE),OR(EXACT(Metadata!F796,"missing: not collected"),EXACT(Metadata!F796,"missing: not provided"))),AND(IF(Metadata!F796="",FALSE,TRUE),OR(EXACT(Metadata!F796,"lo"),EXACT(Metadata!F796,"med"),EXACT(Metadata!F796,"hi"))))</f>
        <v>0</v>
      </c>
    </row>
    <row r="797" spans="1:21" x14ac:dyDescent="0.2">
      <c r="A797" s="4" t="str">
        <f ca="1">IF(B797=" "," ",HYPERLINK(CONCATENATE("#metadata!",ADDRESS(INDEX($L$2:$L$1001,MATCH(ROWS($J$2:J797),$J$2:$J$1001,0),0),1)),INDEX($O$2:$O$1001,MATCH(ROWS($J$2:J797),$J$2:$J$1001,0),0)))</f>
        <v xml:space="preserve"> </v>
      </c>
      <c r="B797" s="3" t="str">
        <f ca="1">IF(OR(INDEX($K$2:$K$1001,MATCH(ROWS($J$2:J797),$J$2:$J$1001,0),1)&gt;=100000,INDEX($Q$1005:$U$1005,1,MATCH(COLUMNS($Q$1006:Q1006),$Q$1006:$U$1006,0))&gt;=100000), " ",IF(INDEX($Q$2:$U$1001,MATCH(ROWS($J$2:J797),$J$2:$J$1001,0),MATCH(COLUMNS($Q$1006:Q1006),$Q$1006:$U$1006,0)), HYPERLINK("#",""), HYPERLINK(CONCATENATE("#Metadata!", ADDRESS(INDEX($L$2:$L$1001,MATCH(ROWS($J$2:J797),$J$2:$J$1001,0),0), INDEX($Q$1004:$U$1004,1,MATCH(COLUMNS($Q$1006:Q1006),$Q$1006:$U$1006,0)))),"Fix")))</f>
        <v xml:space="preserve"> </v>
      </c>
      <c r="C797" s="3" t="str">
        <f ca="1">IF(OR(INDEX($K$2:$K$1001,MATCH(ROWS($J$2:J797),$J$2:$J$1001,0),1)&gt;=100000,INDEX($Q$1005:$U$1005,1,MATCH(COLUMNS($Q$1006:R1006),$Q$1006:$U$1006,0))&gt;=100000), " ",IF(INDEX($Q$2:$U$1001,MATCH(ROWS($J$2:J797),$J$2:$J$1001,0),MATCH(COLUMNS($Q$1006:R1006),$Q$1006:$U$1006,0)), HYPERLINK("#",""), HYPERLINK(CONCATENATE("#Metadata!", ADDRESS(INDEX($L$2:$L$1001,MATCH(ROWS($J$2:J797),$J$2:$J$1001,0),0), INDEX($Q$1004:$U$1004,1,MATCH(COLUMNS($Q$1006:R1006),$Q$1006:$U$1006,0)))),"Fix")))</f>
        <v xml:space="preserve"> </v>
      </c>
      <c r="D797" s="3" t="str">
        <f ca="1">IF(OR(INDEX($K$2:$K$1001,MATCH(ROWS($J$2:J797),$J$2:$J$1001,0),1)&gt;=100000,INDEX($Q$1005:$U$1005,1,MATCH(COLUMNS($Q$1006:S1006),$Q$1006:$U$1006,0))&gt;=100000), " ",IF(INDEX($Q$2:$U$1001,MATCH(ROWS($J$2:J797),$J$2:$J$1001,0),MATCH(COLUMNS($Q$1006:S1006),$Q$1006:$U$1006,0)), HYPERLINK("#",""), HYPERLINK(CONCATENATE("#Metadata!", ADDRESS(INDEX($L$2:$L$1001,MATCH(ROWS($J$2:J797),$J$2:$J$1001,0),0), INDEX($Q$1004:$U$1004,1,MATCH(COLUMNS($Q$1006:S1006),$Q$1006:$U$1006,0)))),"Fix")))</f>
        <v xml:space="preserve"> </v>
      </c>
      <c r="E797" s="3" t="str">
        <f ca="1">IF(OR(INDEX($K$2:$K$1001,MATCH(ROWS($J$2:J797),$J$2:$J$1001,0),1)&gt;=100000,INDEX($Q$1005:$U$1005,1,MATCH(COLUMNS($Q$1006:T1006),$Q$1006:$U$1006,0))&gt;=100000), " ",IF(INDEX($Q$2:$U$1001,MATCH(ROWS($J$2:J797),$J$2:$J$1001,0),MATCH(COLUMNS($Q$1006:T1006),$Q$1006:$U$1006,0)), HYPERLINK("#",""), HYPERLINK(CONCATENATE("#Metadata!", ADDRESS(INDEX($L$2:$L$1001,MATCH(ROWS($J$2:J797),$J$2:$J$1001,0),0), INDEX($Q$1004:$U$1004,1,MATCH(COLUMNS($Q$1006:T1006),$Q$1006:$U$1006,0)))),"Fix")))</f>
        <v xml:space="preserve"> </v>
      </c>
      <c r="F797" s="3" t="str">
        <f ca="1">IF(OR(INDEX($K$2:$K$1001,MATCH(ROWS($J$2:J797),$J$2:$J$1001,0),1)&gt;=100000,INDEX($Q$1005:$U$1005,1,MATCH(COLUMNS($Q$1006:U1006),$Q$1006:$U$1006,0))&gt;=100000), " ",IF(INDEX($Q$2:$U$1001,MATCH(ROWS($J$2:J797),$J$2:$J$1001,0),MATCH(COLUMNS($Q$1006:U1006),$Q$1006:$U$1006,0)), HYPERLINK("#",""), HYPERLINK(CONCATENATE("#Metadata!", ADDRESS(INDEX($L$2:$L$1001,MATCH(ROWS($J$2:J797),$J$2:$J$1001,0),0), INDEX($Q$1004:$U$1004,1,MATCH(COLUMNS($Q$1006:U1006),$Q$1006:$U$1006,0)))),"Fix")))</f>
        <v xml:space="preserve"> </v>
      </c>
      <c r="J797">
        <f ca="1"/>
        <v>796</v>
      </c>
      <c r="K797">
        <v>100797</v>
      </c>
      <c r="L797">
        <v>797</v>
      </c>
      <c r="M797" t="b">
        <f t="shared" si="12"/>
        <v>1</v>
      </c>
      <c r="N797" t="b">
        <f>COUNTBLANK(Metadata!B797:F797)=COLUMNS(Metadata!B797:F797)</f>
        <v>1</v>
      </c>
      <c r="O797" t="str">
        <v/>
      </c>
      <c r="Q797" t="b">
        <f ca="1"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R797" t="b">
        <f>IF(Metadata!C797="",FALSE,TRUE)</f>
        <v>0</v>
      </c>
      <c r="S797" t="b">
        <f>OR(AND(IF(Metadata!D797="",FALSE,TRUE),EXACT(Metadata!D797,"missing: not collected")),AND(IF(Metadata!D797="",FALSE,TRUE),OR(EXACT(Metadata!D797,"t"),EXACT(Metadata!D797,"f"))))</f>
        <v>0</v>
      </c>
      <c r="T797" t="b">
        <f>AND(IF(Metadata!E797="",FALSE,TRUE),OR(EXACT(Metadata!E797,"a"),EXACT(Metadata!E797,"b")))</f>
        <v>0</v>
      </c>
      <c r="U797" t="b">
        <f>OR(AND(IF(Metadata!F797="",FALSE,TRUE),OR(EXACT(Metadata!F797,"missing: not collected"),EXACT(Metadata!F797,"missing: not provided"))),AND(IF(Metadata!F797="",FALSE,TRUE),OR(EXACT(Metadata!F797,"lo"),EXACT(Metadata!F797,"med"),EXACT(Metadata!F797,"hi"))))</f>
        <v>0</v>
      </c>
    </row>
    <row r="798" spans="1:21" x14ac:dyDescent="0.2">
      <c r="A798" s="4" t="str">
        <f ca="1">IF(B798=" "," ",HYPERLINK(CONCATENATE("#metadata!",ADDRESS(INDEX($L$2:$L$1001,MATCH(ROWS($J$2:J798),$J$2:$J$1001,0),0),1)),INDEX($O$2:$O$1001,MATCH(ROWS($J$2:J798),$J$2:$J$1001,0),0)))</f>
        <v xml:space="preserve"> </v>
      </c>
      <c r="B798" s="3" t="str">
        <f ca="1">IF(OR(INDEX($K$2:$K$1001,MATCH(ROWS($J$2:J798),$J$2:$J$1001,0),1)&gt;=100000,INDEX($Q$1005:$U$1005,1,MATCH(COLUMNS($Q$1006:Q1006),$Q$1006:$U$1006,0))&gt;=100000), " ",IF(INDEX($Q$2:$U$1001,MATCH(ROWS($J$2:J798),$J$2:$J$1001,0),MATCH(COLUMNS($Q$1006:Q1006),$Q$1006:$U$1006,0)), HYPERLINK("#",""), HYPERLINK(CONCATENATE("#Metadata!", ADDRESS(INDEX($L$2:$L$1001,MATCH(ROWS($J$2:J798),$J$2:$J$1001,0),0), INDEX($Q$1004:$U$1004,1,MATCH(COLUMNS($Q$1006:Q1006),$Q$1006:$U$1006,0)))),"Fix")))</f>
        <v xml:space="preserve"> </v>
      </c>
      <c r="C798" s="3" t="str">
        <f ca="1">IF(OR(INDEX($K$2:$K$1001,MATCH(ROWS($J$2:J798),$J$2:$J$1001,0),1)&gt;=100000,INDEX($Q$1005:$U$1005,1,MATCH(COLUMNS($Q$1006:R1006),$Q$1006:$U$1006,0))&gt;=100000), " ",IF(INDEX($Q$2:$U$1001,MATCH(ROWS($J$2:J798),$J$2:$J$1001,0),MATCH(COLUMNS($Q$1006:R1006),$Q$1006:$U$1006,0)), HYPERLINK("#",""), HYPERLINK(CONCATENATE("#Metadata!", ADDRESS(INDEX($L$2:$L$1001,MATCH(ROWS($J$2:J798),$J$2:$J$1001,0),0), INDEX($Q$1004:$U$1004,1,MATCH(COLUMNS($Q$1006:R1006),$Q$1006:$U$1006,0)))),"Fix")))</f>
        <v xml:space="preserve"> </v>
      </c>
      <c r="D798" s="3" t="str">
        <f ca="1">IF(OR(INDEX($K$2:$K$1001,MATCH(ROWS($J$2:J798),$J$2:$J$1001,0),1)&gt;=100000,INDEX($Q$1005:$U$1005,1,MATCH(COLUMNS($Q$1006:S1006),$Q$1006:$U$1006,0))&gt;=100000), " ",IF(INDEX($Q$2:$U$1001,MATCH(ROWS($J$2:J798),$J$2:$J$1001,0),MATCH(COLUMNS($Q$1006:S1006),$Q$1006:$U$1006,0)), HYPERLINK("#",""), HYPERLINK(CONCATENATE("#Metadata!", ADDRESS(INDEX($L$2:$L$1001,MATCH(ROWS($J$2:J798),$J$2:$J$1001,0),0), INDEX($Q$1004:$U$1004,1,MATCH(COLUMNS($Q$1006:S1006),$Q$1006:$U$1006,0)))),"Fix")))</f>
        <v xml:space="preserve"> </v>
      </c>
      <c r="E798" s="3" t="str">
        <f ca="1">IF(OR(INDEX($K$2:$K$1001,MATCH(ROWS($J$2:J798),$J$2:$J$1001,0),1)&gt;=100000,INDEX($Q$1005:$U$1005,1,MATCH(COLUMNS($Q$1006:T1006),$Q$1006:$U$1006,0))&gt;=100000), " ",IF(INDEX($Q$2:$U$1001,MATCH(ROWS($J$2:J798),$J$2:$J$1001,0),MATCH(COLUMNS($Q$1006:T1006),$Q$1006:$U$1006,0)), HYPERLINK("#",""), HYPERLINK(CONCATENATE("#Metadata!", ADDRESS(INDEX($L$2:$L$1001,MATCH(ROWS($J$2:J798),$J$2:$J$1001,0),0), INDEX($Q$1004:$U$1004,1,MATCH(COLUMNS($Q$1006:T1006),$Q$1006:$U$1006,0)))),"Fix")))</f>
        <v xml:space="preserve"> </v>
      </c>
      <c r="F798" s="3" t="str">
        <f ca="1">IF(OR(INDEX($K$2:$K$1001,MATCH(ROWS($J$2:J798),$J$2:$J$1001,0),1)&gt;=100000,INDEX($Q$1005:$U$1005,1,MATCH(COLUMNS($Q$1006:U1006),$Q$1006:$U$1006,0))&gt;=100000), " ",IF(INDEX($Q$2:$U$1001,MATCH(ROWS($J$2:J798),$J$2:$J$1001,0),MATCH(COLUMNS($Q$1006:U1006),$Q$1006:$U$1006,0)), HYPERLINK("#",""), HYPERLINK(CONCATENATE("#Metadata!", ADDRESS(INDEX($L$2:$L$1001,MATCH(ROWS($J$2:J798),$J$2:$J$1001,0),0), INDEX($Q$1004:$U$1004,1,MATCH(COLUMNS($Q$1006:U1006),$Q$1006:$U$1006,0)))),"Fix")))</f>
        <v xml:space="preserve"> </v>
      </c>
      <c r="J798">
        <f ca="1"/>
        <v>797</v>
      </c>
      <c r="K798">
        <v>100798</v>
      </c>
      <c r="L798">
        <v>798</v>
      </c>
      <c r="M798" t="b">
        <f t="shared" si="12"/>
        <v>1</v>
      </c>
      <c r="N798" t="b">
        <f>COUNTBLANK(Metadata!B798:F798)=COLUMNS(Metadata!B798:F798)</f>
        <v>1</v>
      </c>
      <c r="O798" t="str">
        <v/>
      </c>
      <c r="Q798" t="b">
        <f ca="1"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R798" t="b">
        <f>IF(Metadata!C798="",FALSE,TRUE)</f>
        <v>0</v>
      </c>
      <c r="S798" t="b">
        <f>OR(AND(IF(Metadata!D798="",FALSE,TRUE),EXACT(Metadata!D798,"missing: not collected")),AND(IF(Metadata!D798="",FALSE,TRUE),OR(EXACT(Metadata!D798,"t"),EXACT(Metadata!D798,"f"))))</f>
        <v>0</v>
      </c>
      <c r="T798" t="b">
        <f>AND(IF(Metadata!E798="",FALSE,TRUE),OR(EXACT(Metadata!E798,"a"),EXACT(Metadata!E798,"b")))</f>
        <v>0</v>
      </c>
      <c r="U798" t="b">
        <f>OR(AND(IF(Metadata!F798="",FALSE,TRUE),OR(EXACT(Metadata!F798,"missing: not collected"),EXACT(Metadata!F798,"missing: not provided"))),AND(IF(Metadata!F798="",FALSE,TRUE),OR(EXACT(Metadata!F798,"lo"),EXACT(Metadata!F798,"med"),EXACT(Metadata!F798,"hi"))))</f>
        <v>0</v>
      </c>
    </row>
    <row r="799" spans="1:21" x14ac:dyDescent="0.2">
      <c r="A799" s="4" t="str">
        <f ca="1">IF(B799=" "," ",HYPERLINK(CONCATENATE("#metadata!",ADDRESS(INDEX($L$2:$L$1001,MATCH(ROWS($J$2:J799),$J$2:$J$1001,0),0),1)),INDEX($O$2:$O$1001,MATCH(ROWS($J$2:J799),$J$2:$J$1001,0),0)))</f>
        <v xml:space="preserve"> </v>
      </c>
      <c r="B799" s="3" t="str">
        <f ca="1">IF(OR(INDEX($K$2:$K$1001,MATCH(ROWS($J$2:J799),$J$2:$J$1001,0),1)&gt;=100000,INDEX($Q$1005:$U$1005,1,MATCH(COLUMNS($Q$1006:Q1006),$Q$1006:$U$1006,0))&gt;=100000), " ",IF(INDEX($Q$2:$U$1001,MATCH(ROWS($J$2:J799),$J$2:$J$1001,0),MATCH(COLUMNS($Q$1006:Q1006),$Q$1006:$U$1006,0)), HYPERLINK("#",""), HYPERLINK(CONCATENATE("#Metadata!", ADDRESS(INDEX($L$2:$L$1001,MATCH(ROWS($J$2:J799),$J$2:$J$1001,0),0), INDEX($Q$1004:$U$1004,1,MATCH(COLUMNS($Q$1006:Q1006),$Q$1006:$U$1006,0)))),"Fix")))</f>
        <v xml:space="preserve"> </v>
      </c>
      <c r="C799" s="3" t="str">
        <f ca="1">IF(OR(INDEX($K$2:$K$1001,MATCH(ROWS($J$2:J799),$J$2:$J$1001,0),1)&gt;=100000,INDEX($Q$1005:$U$1005,1,MATCH(COLUMNS($Q$1006:R1006),$Q$1006:$U$1006,0))&gt;=100000), " ",IF(INDEX($Q$2:$U$1001,MATCH(ROWS($J$2:J799),$J$2:$J$1001,0),MATCH(COLUMNS($Q$1006:R1006),$Q$1006:$U$1006,0)), HYPERLINK("#",""), HYPERLINK(CONCATENATE("#Metadata!", ADDRESS(INDEX($L$2:$L$1001,MATCH(ROWS($J$2:J799),$J$2:$J$1001,0),0), INDEX($Q$1004:$U$1004,1,MATCH(COLUMNS($Q$1006:R1006),$Q$1006:$U$1006,0)))),"Fix")))</f>
        <v xml:space="preserve"> </v>
      </c>
      <c r="D799" s="3" t="str">
        <f ca="1">IF(OR(INDEX($K$2:$K$1001,MATCH(ROWS($J$2:J799),$J$2:$J$1001,0),1)&gt;=100000,INDEX($Q$1005:$U$1005,1,MATCH(COLUMNS($Q$1006:S1006),$Q$1006:$U$1006,0))&gt;=100000), " ",IF(INDEX($Q$2:$U$1001,MATCH(ROWS($J$2:J799),$J$2:$J$1001,0),MATCH(COLUMNS($Q$1006:S1006),$Q$1006:$U$1006,0)), HYPERLINK("#",""), HYPERLINK(CONCATENATE("#Metadata!", ADDRESS(INDEX($L$2:$L$1001,MATCH(ROWS($J$2:J799),$J$2:$J$1001,0),0), INDEX($Q$1004:$U$1004,1,MATCH(COLUMNS($Q$1006:S1006),$Q$1006:$U$1006,0)))),"Fix")))</f>
        <v xml:space="preserve"> </v>
      </c>
      <c r="E799" s="3" t="str">
        <f ca="1">IF(OR(INDEX($K$2:$K$1001,MATCH(ROWS($J$2:J799),$J$2:$J$1001,0),1)&gt;=100000,INDEX($Q$1005:$U$1005,1,MATCH(COLUMNS($Q$1006:T1006),$Q$1006:$U$1006,0))&gt;=100000), " ",IF(INDEX($Q$2:$U$1001,MATCH(ROWS($J$2:J799),$J$2:$J$1001,0),MATCH(COLUMNS($Q$1006:T1006),$Q$1006:$U$1006,0)), HYPERLINK("#",""), HYPERLINK(CONCATENATE("#Metadata!", ADDRESS(INDEX($L$2:$L$1001,MATCH(ROWS($J$2:J799),$J$2:$J$1001,0),0), INDEX($Q$1004:$U$1004,1,MATCH(COLUMNS($Q$1006:T1006),$Q$1006:$U$1006,0)))),"Fix")))</f>
        <v xml:space="preserve"> </v>
      </c>
      <c r="F799" s="3" t="str">
        <f ca="1">IF(OR(INDEX($K$2:$K$1001,MATCH(ROWS($J$2:J799),$J$2:$J$1001,0),1)&gt;=100000,INDEX($Q$1005:$U$1005,1,MATCH(COLUMNS($Q$1006:U1006),$Q$1006:$U$1006,0))&gt;=100000), " ",IF(INDEX($Q$2:$U$1001,MATCH(ROWS($J$2:J799),$J$2:$J$1001,0),MATCH(COLUMNS($Q$1006:U1006),$Q$1006:$U$1006,0)), HYPERLINK("#",""), HYPERLINK(CONCATENATE("#Metadata!", ADDRESS(INDEX($L$2:$L$1001,MATCH(ROWS($J$2:J799),$J$2:$J$1001,0),0), INDEX($Q$1004:$U$1004,1,MATCH(COLUMNS($Q$1006:U1006),$Q$1006:$U$1006,0)))),"Fix")))</f>
        <v xml:space="preserve"> </v>
      </c>
      <c r="J799">
        <f ca="1"/>
        <v>798</v>
      </c>
      <c r="K799">
        <v>100799</v>
      </c>
      <c r="L799">
        <v>799</v>
      </c>
      <c r="M799" t="b">
        <f t="shared" si="12"/>
        <v>1</v>
      </c>
      <c r="N799" t="b">
        <f>COUNTBLANK(Metadata!B799:F799)=COLUMNS(Metadata!B799:F799)</f>
        <v>1</v>
      </c>
      <c r="O799" t="str">
        <v/>
      </c>
      <c r="Q799" t="b">
        <f ca="1"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R799" t="b">
        <f>IF(Metadata!C799="",FALSE,TRUE)</f>
        <v>0</v>
      </c>
      <c r="S799" t="b">
        <f>OR(AND(IF(Metadata!D799="",FALSE,TRUE),EXACT(Metadata!D799,"missing: not collected")),AND(IF(Metadata!D799="",FALSE,TRUE),OR(EXACT(Metadata!D799,"t"),EXACT(Metadata!D799,"f"))))</f>
        <v>0</v>
      </c>
      <c r="T799" t="b">
        <f>AND(IF(Metadata!E799="",FALSE,TRUE),OR(EXACT(Metadata!E799,"a"),EXACT(Metadata!E799,"b")))</f>
        <v>0</v>
      </c>
      <c r="U799" t="b">
        <f>OR(AND(IF(Metadata!F799="",FALSE,TRUE),OR(EXACT(Metadata!F799,"missing: not collected"),EXACT(Metadata!F799,"missing: not provided"))),AND(IF(Metadata!F799="",FALSE,TRUE),OR(EXACT(Metadata!F799,"lo"),EXACT(Metadata!F799,"med"),EXACT(Metadata!F799,"hi"))))</f>
        <v>0</v>
      </c>
    </row>
    <row r="800" spans="1:21" x14ac:dyDescent="0.2">
      <c r="A800" s="4" t="str">
        <f ca="1">IF(B800=" "," ",HYPERLINK(CONCATENATE("#metadata!",ADDRESS(INDEX($L$2:$L$1001,MATCH(ROWS($J$2:J800),$J$2:$J$1001,0),0),1)),INDEX($O$2:$O$1001,MATCH(ROWS($J$2:J800),$J$2:$J$1001,0),0)))</f>
        <v xml:space="preserve"> </v>
      </c>
      <c r="B800" s="3" t="str">
        <f ca="1">IF(OR(INDEX($K$2:$K$1001,MATCH(ROWS($J$2:J800),$J$2:$J$1001,0),1)&gt;=100000,INDEX($Q$1005:$U$1005,1,MATCH(COLUMNS($Q$1006:Q1006),$Q$1006:$U$1006,0))&gt;=100000), " ",IF(INDEX($Q$2:$U$1001,MATCH(ROWS($J$2:J800),$J$2:$J$1001,0),MATCH(COLUMNS($Q$1006:Q1006),$Q$1006:$U$1006,0)), HYPERLINK("#",""), HYPERLINK(CONCATENATE("#Metadata!", ADDRESS(INDEX($L$2:$L$1001,MATCH(ROWS($J$2:J800),$J$2:$J$1001,0),0), INDEX($Q$1004:$U$1004,1,MATCH(COLUMNS($Q$1006:Q1006),$Q$1006:$U$1006,0)))),"Fix")))</f>
        <v xml:space="preserve"> </v>
      </c>
      <c r="C800" s="3" t="str">
        <f ca="1">IF(OR(INDEX($K$2:$K$1001,MATCH(ROWS($J$2:J800),$J$2:$J$1001,0),1)&gt;=100000,INDEX($Q$1005:$U$1005,1,MATCH(COLUMNS($Q$1006:R1006),$Q$1006:$U$1006,0))&gt;=100000), " ",IF(INDEX($Q$2:$U$1001,MATCH(ROWS($J$2:J800),$J$2:$J$1001,0),MATCH(COLUMNS($Q$1006:R1006),$Q$1006:$U$1006,0)), HYPERLINK("#",""), HYPERLINK(CONCATENATE("#Metadata!", ADDRESS(INDEX($L$2:$L$1001,MATCH(ROWS($J$2:J800),$J$2:$J$1001,0),0), INDEX($Q$1004:$U$1004,1,MATCH(COLUMNS($Q$1006:R1006),$Q$1006:$U$1006,0)))),"Fix")))</f>
        <v xml:space="preserve"> </v>
      </c>
      <c r="D800" s="3" t="str">
        <f ca="1">IF(OR(INDEX($K$2:$K$1001,MATCH(ROWS($J$2:J800),$J$2:$J$1001,0),1)&gt;=100000,INDEX($Q$1005:$U$1005,1,MATCH(COLUMNS($Q$1006:S1006),$Q$1006:$U$1006,0))&gt;=100000), " ",IF(INDEX($Q$2:$U$1001,MATCH(ROWS($J$2:J800),$J$2:$J$1001,0),MATCH(COLUMNS($Q$1006:S1006),$Q$1006:$U$1006,0)), HYPERLINK("#",""), HYPERLINK(CONCATENATE("#Metadata!", ADDRESS(INDEX($L$2:$L$1001,MATCH(ROWS($J$2:J800),$J$2:$J$1001,0),0), INDEX($Q$1004:$U$1004,1,MATCH(COLUMNS($Q$1006:S1006),$Q$1006:$U$1006,0)))),"Fix")))</f>
        <v xml:space="preserve"> </v>
      </c>
      <c r="E800" s="3" t="str">
        <f ca="1">IF(OR(INDEX($K$2:$K$1001,MATCH(ROWS($J$2:J800),$J$2:$J$1001,0),1)&gt;=100000,INDEX($Q$1005:$U$1005,1,MATCH(COLUMNS($Q$1006:T1006),$Q$1006:$U$1006,0))&gt;=100000), " ",IF(INDEX($Q$2:$U$1001,MATCH(ROWS($J$2:J800),$J$2:$J$1001,0),MATCH(COLUMNS($Q$1006:T1006),$Q$1006:$U$1006,0)), HYPERLINK("#",""), HYPERLINK(CONCATENATE("#Metadata!", ADDRESS(INDEX($L$2:$L$1001,MATCH(ROWS($J$2:J800),$J$2:$J$1001,0),0), INDEX($Q$1004:$U$1004,1,MATCH(COLUMNS($Q$1006:T1006),$Q$1006:$U$1006,0)))),"Fix")))</f>
        <v xml:space="preserve"> </v>
      </c>
      <c r="F800" s="3" t="str">
        <f ca="1">IF(OR(INDEX($K$2:$K$1001,MATCH(ROWS($J$2:J800),$J$2:$J$1001,0),1)&gt;=100000,INDEX($Q$1005:$U$1005,1,MATCH(COLUMNS($Q$1006:U1006),$Q$1006:$U$1006,0))&gt;=100000), " ",IF(INDEX($Q$2:$U$1001,MATCH(ROWS($J$2:J800),$J$2:$J$1001,0),MATCH(COLUMNS($Q$1006:U1006),$Q$1006:$U$1006,0)), HYPERLINK("#",""), HYPERLINK(CONCATENATE("#Metadata!", ADDRESS(INDEX($L$2:$L$1001,MATCH(ROWS($J$2:J800),$J$2:$J$1001,0),0), INDEX($Q$1004:$U$1004,1,MATCH(COLUMNS($Q$1006:U1006),$Q$1006:$U$1006,0)))),"Fix")))</f>
        <v xml:space="preserve"> </v>
      </c>
      <c r="J800">
        <f ca="1"/>
        <v>799</v>
      </c>
      <c r="K800">
        <v>100800</v>
      </c>
      <c r="L800">
        <v>800</v>
      </c>
      <c r="M800" t="b">
        <f t="shared" si="12"/>
        <v>1</v>
      </c>
      <c r="N800" t="b">
        <f>COUNTBLANK(Metadata!B800:F800)=COLUMNS(Metadata!B800:F800)</f>
        <v>1</v>
      </c>
      <c r="O800" t="str">
        <v/>
      </c>
      <c r="Q800" t="b">
        <f ca="1"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R800" t="b">
        <f>IF(Metadata!C800="",FALSE,TRUE)</f>
        <v>0</v>
      </c>
      <c r="S800" t="b">
        <f>OR(AND(IF(Metadata!D800="",FALSE,TRUE),EXACT(Metadata!D800,"missing: not collected")),AND(IF(Metadata!D800="",FALSE,TRUE),OR(EXACT(Metadata!D800,"t"),EXACT(Metadata!D800,"f"))))</f>
        <v>0</v>
      </c>
      <c r="T800" t="b">
        <f>AND(IF(Metadata!E800="",FALSE,TRUE),OR(EXACT(Metadata!E800,"a"),EXACT(Metadata!E800,"b")))</f>
        <v>0</v>
      </c>
      <c r="U800" t="b">
        <f>OR(AND(IF(Metadata!F800="",FALSE,TRUE),OR(EXACT(Metadata!F800,"missing: not collected"),EXACT(Metadata!F800,"missing: not provided"))),AND(IF(Metadata!F800="",FALSE,TRUE),OR(EXACT(Metadata!F800,"lo"),EXACT(Metadata!F800,"med"),EXACT(Metadata!F800,"hi"))))</f>
        <v>0</v>
      </c>
    </row>
    <row r="801" spans="1:21" x14ac:dyDescent="0.2">
      <c r="A801" s="4" t="str">
        <f ca="1">IF(B801=" "," ",HYPERLINK(CONCATENATE("#metadata!",ADDRESS(INDEX($L$2:$L$1001,MATCH(ROWS($J$2:J801),$J$2:$J$1001,0),0),1)),INDEX($O$2:$O$1001,MATCH(ROWS($J$2:J801),$J$2:$J$1001,0),0)))</f>
        <v xml:space="preserve"> </v>
      </c>
      <c r="B801" s="3" t="str">
        <f ca="1">IF(OR(INDEX($K$2:$K$1001,MATCH(ROWS($J$2:J801),$J$2:$J$1001,0),1)&gt;=100000,INDEX($Q$1005:$U$1005,1,MATCH(COLUMNS($Q$1006:Q1006),$Q$1006:$U$1006,0))&gt;=100000), " ",IF(INDEX($Q$2:$U$1001,MATCH(ROWS($J$2:J801),$J$2:$J$1001,0),MATCH(COLUMNS($Q$1006:Q1006),$Q$1006:$U$1006,0)), HYPERLINK("#",""), HYPERLINK(CONCATENATE("#Metadata!", ADDRESS(INDEX($L$2:$L$1001,MATCH(ROWS($J$2:J801),$J$2:$J$1001,0),0), INDEX($Q$1004:$U$1004,1,MATCH(COLUMNS($Q$1006:Q1006),$Q$1006:$U$1006,0)))),"Fix")))</f>
        <v xml:space="preserve"> </v>
      </c>
      <c r="C801" s="3" t="str">
        <f ca="1">IF(OR(INDEX($K$2:$K$1001,MATCH(ROWS($J$2:J801),$J$2:$J$1001,0),1)&gt;=100000,INDEX($Q$1005:$U$1005,1,MATCH(COLUMNS($Q$1006:R1006),$Q$1006:$U$1006,0))&gt;=100000), " ",IF(INDEX($Q$2:$U$1001,MATCH(ROWS($J$2:J801),$J$2:$J$1001,0),MATCH(COLUMNS($Q$1006:R1006),$Q$1006:$U$1006,0)), HYPERLINK("#",""), HYPERLINK(CONCATENATE("#Metadata!", ADDRESS(INDEX($L$2:$L$1001,MATCH(ROWS($J$2:J801),$J$2:$J$1001,0),0), INDEX($Q$1004:$U$1004,1,MATCH(COLUMNS($Q$1006:R1006),$Q$1006:$U$1006,0)))),"Fix")))</f>
        <v xml:space="preserve"> </v>
      </c>
      <c r="D801" s="3" t="str">
        <f ca="1">IF(OR(INDEX($K$2:$K$1001,MATCH(ROWS($J$2:J801),$J$2:$J$1001,0),1)&gt;=100000,INDEX($Q$1005:$U$1005,1,MATCH(COLUMNS($Q$1006:S1006),$Q$1006:$U$1006,0))&gt;=100000), " ",IF(INDEX($Q$2:$U$1001,MATCH(ROWS($J$2:J801),$J$2:$J$1001,0),MATCH(COLUMNS($Q$1006:S1006),$Q$1006:$U$1006,0)), HYPERLINK("#",""), HYPERLINK(CONCATENATE("#Metadata!", ADDRESS(INDEX($L$2:$L$1001,MATCH(ROWS($J$2:J801),$J$2:$J$1001,0),0), INDEX($Q$1004:$U$1004,1,MATCH(COLUMNS($Q$1006:S1006),$Q$1006:$U$1006,0)))),"Fix")))</f>
        <v xml:space="preserve"> </v>
      </c>
      <c r="E801" s="3" t="str">
        <f ca="1">IF(OR(INDEX($K$2:$K$1001,MATCH(ROWS($J$2:J801),$J$2:$J$1001,0),1)&gt;=100000,INDEX($Q$1005:$U$1005,1,MATCH(COLUMNS($Q$1006:T1006),$Q$1006:$U$1006,0))&gt;=100000), " ",IF(INDEX($Q$2:$U$1001,MATCH(ROWS($J$2:J801),$J$2:$J$1001,0),MATCH(COLUMNS($Q$1006:T1006),$Q$1006:$U$1006,0)), HYPERLINK("#",""), HYPERLINK(CONCATENATE("#Metadata!", ADDRESS(INDEX($L$2:$L$1001,MATCH(ROWS($J$2:J801),$J$2:$J$1001,0),0), INDEX($Q$1004:$U$1004,1,MATCH(COLUMNS($Q$1006:T1006),$Q$1006:$U$1006,0)))),"Fix")))</f>
        <v xml:space="preserve"> </v>
      </c>
      <c r="F801" s="3" t="str">
        <f ca="1">IF(OR(INDEX($K$2:$K$1001,MATCH(ROWS($J$2:J801),$J$2:$J$1001,0),1)&gt;=100000,INDEX($Q$1005:$U$1005,1,MATCH(COLUMNS($Q$1006:U1006),$Q$1006:$U$1006,0))&gt;=100000), " ",IF(INDEX($Q$2:$U$1001,MATCH(ROWS($J$2:J801),$J$2:$J$1001,0),MATCH(COLUMNS($Q$1006:U1006),$Q$1006:$U$1006,0)), HYPERLINK("#",""), HYPERLINK(CONCATENATE("#Metadata!", ADDRESS(INDEX($L$2:$L$1001,MATCH(ROWS($J$2:J801),$J$2:$J$1001,0),0), INDEX($Q$1004:$U$1004,1,MATCH(COLUMNS($Q$1006:U1006),$Q$1006:$U$1006,0)))),"Fix")))</f>
        <v xml:space="preserve"> </v>
      </c>
      <c r="J801">
        <f ca="1"/>
        <v>800</v>
      </c>
      <c r="K801">
        <v>100801</v>
      </c>
      <c r="L801">
        <v>801</v>
      </c>
      <c r="M801" t="b">
        <f t="shared" si="12"/>
        <v>1</v>
      </c>
      <c r="N801" t="b">
        <f>COUNTBLANK(Metadata!B801:F801)=COLUMNS(Metadata!B801:F801)</f>
        <v>1</v>
      </c>
      <c r="O801" t="str">
        <v/>
      </c>
      <c r="Q801" t="b">
        <f ca="1"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R801" t="b">
        <f>IF(Metadata!C801="",FALSE,TRUE)</f>
        <v>0</v>
      </c>
      <c r="S801" t="b">
        <f>OR(AND(IF(Metadata!D801="",FALSE,TRUE),EXACT(Metadata!D801,"missing: not collected")),AND(IF(Metadata!D801="",FALSE,TRUE),OR(EXACT(Metadata!D801,"t"),EXACT(Metadata!D801,"f"))))</f>
        <v>0</v>
      </c>
      <c r="T801" t="b">
        <f>AND(IF(Metadata!E801="",FALSE,TRUE),OR(EXACT(Metadata!E801,"a"),EXACT(Metadata!E801,"b")))</f>
        <v>0</v>
      </c>
      <c r="U801" t="b">
        <f>OR(AND(IF(Metadata!F801="",FALSE,TRUE),OR(EXACT(Metadata!F801,"missing: not collected"),EXACT(Metadata!F801,"missing: not provided"))),AND(IF(Metadata!F801="",FALSE,TRUE),OR(EXACT(Metadata!F801,"lo"),EXACT(Metadata!F801,"med"),EXACT(Metadata!F801,"hi"))))</f>
        <v>0</v>
      </c>
    </row>
    <row r="802" spans="1:21" x14ac:dyDescent="0.2">
      <c r="A802" s="4" t="str">
        <f ca="1">IF(B802=" "," ",HYPERLINK(CONCATENATE("#metadata!",ADDRESS(INDEX($L$2:$L$1001,MATCH(ROWS($J$2:J802),$J$2:$J$1001,0),0),1)),INDEX($O$2:$O$1001,MATCH(ROWS($J$2:J802),$J$2:$J$1001,0),0)))</f>
        <v xml:space="preserve"> </v>
      </c>
      <c r="B802" s="3" t="str">
        <f ca="1">IF(OR(INDEX($K$2:$K$1001,MATCH(ROWS($J$2:J802),$J$2:$J$1001,0),1)&gt;=100000,INDEX($Q$1005:$U$1005,1,MATCH(COLUMNS($Q$1006:Q1006),$Q$1006:$U$1006,0))&gt;=100000), " ",IF(INDEX($Q$2:$U$1001,MATCH(ROWS($J$2:J802),$J$2:$J$1001,0),MATCH(COLUMNS($Q$1006:Q1006),$Q$1006:$U$1006,0)), HYPERLINK("#",""), HYPERLINK(CONCATENATE("#Metadata!", ADDRESS(INDEX($L$2:$L$1001,MATCH(ROWS($J$2:J802),$J$2:$J$1001,0),0), INDEX($Q$1004:$U$1004,1,MATCH(COLUMNS($Q$1006:Q1006),$Q$1006:$U$1006,0)))),"Fix")))</f>
        <v xml:space="preserve"> </v>
      </c>
      <c r="C802" s="3" t="str">
        <f ca="1">IF(OR(INDEX($K$2:$K$1001,MATCH(ROWS($J$2:J802),$J$2:$J$1001,0),1)&gt;=100000,INDEX($Q$1005:$U$1005,1,MATCH(COLUMNS($Q$1006:R1006),$Q$1006:$U$1006,0))&gt;=100000), " ",IF(INDEX($Q$2:$U$1001,MATCH(ROWS($J$2:J802),$J$2:$J$1001,0),MATCH(COLUMNS($Q$1006:R1006),$Q$1006:$U$1006,0)), HYPERLINK("#",""), HYPERLINK(CONCATENATE("#Metadata!", ADDRESS(INDEX($L$2:$L$1001,MATCH(ROWS($J$2:J802),$J$2:$J$1001,0),0), INDEX($Q$1004:$U$1004,1,MATCH(COLUMNS($Q$1006:R1006),$Q$1006:$U$1006,0)))),"Fix")))</f>
        <v xml:space="preserve"> </v>
      </c>
      <c r="D802" s="3" t="str">
        <f ca="1">IF(OR(INDEX($K$2:$K$1001,MATCH(ROWS($J$2:J802),$J$2:$J$1001,0),1)&gt;=100000,INDEX($Q$1005:$U$1005,1,MATCH(COLUMNS($Q$1006:S1006),$Q$1006:$U$1006,0))&gt;=100000), " ",IF(INDEX($Q$2:$U$1001,MATCH(ROWS($J$2:J802),$J$2:$J$1001,0),MATCH(COLUMNS($Q$1006:S1006),$Q$1006:$U$1006,0)), HYPERLINK("#",""), HYPERLINK(CONCATENATE("#Metadata!", ADDRESS(INDEX($L$2:$L$1001,MATCH(ROWS($J$2:J802),$J$2:$J$1001,0),0), INDEX($Q$1004:$U$1004,1,MATCH(COLUMNS($Q$1006:S1006),$Q$1006:$U$1006,0)))),"Fix")))</f>
        <v xml:space="preserve"> </v>
      </c>
      <c r="E802" s="3" t="str">
        <f ca="1">IF(OR(INDEX($K$2:$K$1001,MATCH(ROWS($J$2:J802),$J$2:$J$1001,0),1)&gt;=100000,INDEX($Q$1005:$U$1005,1,MATCH(COLUMNS($Q$1006:T1006),$Q$1006:$U$1006,0))&gt;=100000), " ",IF(INDEX($Q$2:$U$1001,MATCH(ROWS($J$2:J802),$J$2:$J$1001,0),MATCH(COLUMNS($Q$1006:T1006),$Q$1006:$U$1006,0)), HYPERLINK("#",""), HYPERLINK(CONCATENATE("#Metadata!", ADDRESS(INDEX($L$2:$L$1001,MATCH(ROWS($J$2:J802),$J$2:$J$1001,0),0), INDEX($Q$1004:$U$1004,1,MATCH(COLUMNS($Q$1006:T1006),$Q$1006:$U$1006,0)))),"Fix")))</f>
        <v xml:space="preserve"> </v>
      </c>
      <c r="F802" s="3" t="str">
        <f ca="1">IF(OR(INDEX($K$2:$K$1001,MATCH(ROWS($J$2:J802),$J$2:$J$1001,0),1)&gt;=100000,INDEX($Q$1005:$U$1005,1,MATCH(COLUMNS($Q$1006:U1006),$Q$1006:$U$1006,0))&gt;=100000), " ",IF(INDEX($Q$2:$U$1001,MATCH(ROWS($J$2:J802),$J$2:$J$1001,0),MATCH(COLUMNS($Q$1006:U1006),$Q$1006:$U$1006,0)), HYPERLINK("#",""), HYPERLINK(CONCATENATE("#Metadata!", ADDRESS(INDEX($L$2:$L$1001,MATCH(ROWS($J$2:J802),$J$2:$J$1001,0),0), INDEX($Q$1004:$U$1004,1,MATCH(COLUMNS($Q$1006:U1006),$Q$1006:$U$1006,0)))),"Fix")))</f>
        <v xml:space="preserve"> </v>
      </c>
      <c r="J802">
        <f ca="1"/>
        <v>801</v>
      </c>
      <c r="K802">
        <v>100802</v>
      </c>
      <c r="L802">
        <v>802</v>
      </c>
      <c r="M802" t="b">
        <f t="shared" si="12"/>
        <v>1</v>
      </c>
      <c r="N802" t="b">
        <f>COUNTBLANK(Metadata!B802:F802)=COLUMNS(Metadata!B802:F802)</f>
        <v>1</v>
      </c>
      <c r="O802" t="str">
        <v/>
      </c>
      <c r="Q802" t="b">
        <f ca="1"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R802" t="b">
        <f>IF(Metadata!C802="",FALSE,TRUE)</f>
        <v>0</v>
      </c>
      <c r="S802" t="b">
        <f>OR(AND(IF(Metadata!D802="",FALSE,TRUE),EXACT(Metadata!D802,"missing: not collected")),AND(IF(Metadata!D802="",FALSE,TRUE),OR(EXACT(Metadata!D802,"t"),EXACT(Metadata!D802,"f"))))</f>
        <v>0</v>
      </c>
      <c r="T802" t="b">
        <f>AND(IF(Metadata!E802="",FALSE,TRUE),OR(EXACT(Metadata!E802,"a"),EXACT(Metadata!E802,"b")))</f>
        <v>0</v>
      </c>
      <c r="U802" t="b">
        <f>OR(AND(IF(Metadata!F802="",FALSE,TRUE),OR(EXACT(Metadata!F802,"missing: not collected"),EXACT(Metadata!F802,"missing: not provided"))),AND(IF(Metadata!F802="",FALSE,TRUE),OR(EXACT(Metadata!F802,"lo"),EXACT(Metadata!F802,"med"),EXACT(Metadata!F802,"hi"))))</f>
        <v>0</v>
      </c>
    </row>
    <row r="803" spans="1:21" x14ac:dyDescent="0.2">
      <c r="A803" s="4" t="str">
        <f ca="1">IF(B803=" "," ",HYPERLINK(CONCATENATE("#metadata!",ADDRESS(INDEX($L$2:$L$1001,MATCH(ROWS($J$2:J803),$J$2:$J$1001,0),0),1)),INDEX($O$2:$O$1001,MATCH(ROWS($J$2:J803),$J$2:$J$1001,0),0)))</f>
        <v xml:space="preserve"> </v>
      </c>
      <c r="B803" s="3" t="str">
        <f ca="1">IF(OR(INDEX($K$2:$K$1001,MATCH(ROWS($J$2:J803),$J$2:$J$1001,0),1)&gt;=100000,INDEX($Q$1005:$U$1005,1,MATCH(COLUMNS($Q$1006:Q1006),$Q$1006:$U$1006,0))&gt;=100000), " ",IF(INDEX($Q$2:$U$1001,MATCH(ROWS($J$2:J803),$J$2:$J$1001,0),MATCH(COLUMNS($Q$1006:Q1006),$Q$1006:$U$1006,0)), HYPERLINK("#",""), HYPERLINK(CONCATENATE("#Metadata!", ADDRESS(INDEX($L$2:$L$1001,MATCH(ROWS($J$2:J803),$J$2:$J$1001,0),0), INDEX($Q$1004:$U$1004,1,MATCH(COLUMNS($Q$1006:Q1006),$Q$1006:$U$1006,0)))),"Fix")))</f>
        <v xml:space="preserve"> </v>
      </c>
      <c r="C803" s="3" t="str">
        <f ca="1">IF(OR(INDEX($K$2:$K$1001,MATCH(ROWS($J$2:J803),$J$2:$J$1001,0),1)&gt;=100000,INDEX($Q$1005:$U$1005,1,MATCH(COLUMNS($Q$1006:R1006),$Q$1006:$U$1006,0))&gt;=100000), " ",IF(INDEX($Q$2:$U$1001,MATCH(ROWS($J$2:J803),$J$2:$J$1001,0),MATCH(COLUMNS($Q$1006:R1006),$Q$1006:$U$1006,0)), HYPERLINK("#",""), HYPERLINK(CONCATENATE("#Metadata!", ADDRESS(INDEX($L$2:$L$1001,MATCH(ROWS($J$2:J803),$J$2:$J$1001,0),0), INDEX($Q$1004:$U$1004,1,MATCH(COLUMNS($Q$1006:R1006),$Q$1006:$U$1006,0)))),"Fix")))</f>
        <v xml:space="preserve"> </v>
      </c>
      <c r="D803" s="3" t="str">
        <f ca="1">IF(OR(INDEX($K$2:$K$1001,MATCH(ROWS($J$2:J803),$J$2:$J$1001,0),1)&gt;=100000,INDEX($Q$1005:$U$1005,1,MATCH(COLUMNS($Q$1006:S1006),$Q$1006:$U$1006,0))&gt;=100000), " ",IF(INDEX($Q$2:$U$1001,MATCH(ROWS($J$2:J803),$J$2:$J$1001,0),MATCH(COLUMNS($Q$1006:S1006),$Q$1006:$U$1006,0)), HYPERLINK("#",""), HYPERLINK(CONCATENATE("#Metadata!", ADDRESS(INDEX($L$2:$L$1001,MATCH(ROWS($J$2:J803),$J$2:$J$1001,0),0), INDEX($Q$1004:$U$1004,1,MATCH(COLUMNS($Q$1006:S1006),$Q$1006:$U$1006,0)))),"Fix")))</f>
        <v xml:space="preserve"> </v>
      </c>
      <c r="E803" s="3" t="str">
        <f ca="1">IF(OR(INDEX($K$2:$K$1001,MATCH(ROWS($J$2:J803),$J$2:$J$1001,0),1)&gt;=100000,INDEX($Q$1005:$U$1005,1,MATCH(COLUMNS($Q$1006:T1006),$Q$1006:$U$1006,0))&gt;=100000), " ",IF(INDEX($Q$2:$U$1001,MATCH(ROWS($J$2:J803),$J$2:$J$1001,0),MATCH(COLUMNS($Q$1006:T1006),$Q$1006:$U$1006,0)), HYPERLINK("#",""), HYPERLINK(CONCATENATE("#Metadata!", ADDRESS(INDEX($L$2:$L$1001,MATCH(ROWS($J$2:J803),$J$2:$J$1001,0),0), INDEX($Q$1004:$U$1004,1,MATCH(COLUMNS($Q$1006:T1006),$Q$1006:$U$1006,0)))),"Fix")))</f>
        <v xml:space="preserve"> </v>
      </c>
      <c r="F803" s="3" t="str">
        <f ca="1">IF(OR(INDEX($K$2:$K$1001,MATCH(ROWS($J$2:J803),$J$2:$J$1001,0),1)&gt;=100000,INDEX($Q$1005:$U$1005,1,MATCH(COLUMNS($Q$1006:U1006),$Q$1006:$U$1006,0))&gt;=100000), " ",IF(INDEX($Q$2:$U$1001,MATCH(ROWS($J$2:J803),$J$2:$J$1001,0),MATCH(COLUMNS($Q$1006:U1006),$Q$1006:$U$1006,0)), HYPERLINK("#",""), HYPERLINK(CONCATENATE("#Metadata!", ADDRESS(INDEX($L$2:$L$1001,MATCH(ROWS($J$2:J803),$J$2:$J$1001,0),0), INDEX($Q$1004:$U$1004,1,MATCH(COLUMNS($Q$1006:U1006),$Q$1006:$U$1006,0)))),"Fix")))</f>
        <v xml:space="preserve"> </v>
      </c>
      <c r="J803">
        <f ca="1"/>
        <v>802</v>
      </c>
      <c r="K803">
        <v>100803</v>
      </c>
      <c r="L803">
        <v>803</v>
      </c>
      <c r="M803" t="b">
        <f t="shared" si="12"/>
        <v>1</v>
      </c>
      <c r="N803" t="b">
        <f>COUNTBLANK(Metadata!B803:F803)=COLUMNS(Metadata!B803:F803)</f>
        <v>1</v>
      </c>
      <c r="O803" t="str">
        <v/>
      </c>
      <c r="Q803" t="b">
        <f ca="1"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R803" t="b">
        <f>IF(Metadata!C803="",FALSE,TRUE)</f>
        <v>0</v>
      </c>
      <c r="S803" t="b">
        <f>OR(AND(IF(Metadata!D803="",FALSE,TRUE),EXACT(Metadata!D803,"missing: not collected")),AND(IF(Metadata!D803="",FALSE,TRUE),OR(EXACT(Metadata!D803,"t"),EXACT(Metadata!D803,"f"))))</f>
        <v>0</v>
      </c>
      <c r="T803" t="b">
        <f>AND(IF(Metadata!E803="",FALSE,TRUE),OR(EXACT(Metadata!E803,"a"),EXACT(Metadata!E803,"b")))</f>
        <v>0</v>
      </c>
      <c r="U803" t="b">
        <f>OR(AND(IF(Metadata!F803="",FALSE,TRUE),OR(EXACT(Metadata!F803,"missing: not collected"),EXACT(Metadata!F803,"missing: not provided"))),AND(IF(Metadata!F803="",FALSE,TRUE),OR(EXACT(Metadata!F803,"lo"),EXACT(Metadata!F803,"med"),EXACT(Metadata!F803,"hi"))))</f>
        <v>0</v>
      </c>
    </row>
    <row r="804" spans="1:21" x14ac:dyDescent="0.2">
      <c r="A804" s="4" t="str">
        <f ca="1">IF(B804=" "," ",HYPERLINK(CONCATENATE("#metadata!",ADDRESS(INDEX($L$2:$L$1001,MATCH(ROWS($J$2:J804),$J$2:$J$1001,0),0),1)),INDEX($O$2:$O$1001,MATCH(ROWS($J$2:J804),$J$2:$J$1001,0),0)))</f>
        <v xml:space="preserve"> </v>
      </c>
      <c r="B804" s="3" t="str">
        <f ca="1">IF(OR(INDEX($K$2:$K$1001,MATCH(ROWS($J$2:J804),$J$2:$J$1001,0),1)&gt;=100000,INDEX($Q$1005:$U$1005,1,MATCH(COLUMNS($Q$1006:Q1006),$Q$1006:$U$1006,0))&gt;=100000), " ",IF(INDEX($Q$2:$U$1001,MATCH(ROWS($J$2:J804),$J$2:$J$1001,0),MATCH(COLUMNS($Q$1006:Q1006),$Q$1006:$U$1006,0)), HYPERLINK("#",""), HYPERLINK(CONCATENATE("#Metadata!", ADDRESS(INDEX($L$2:$L$1001,MATCH(ROWS($J$2:J804),$J$2:$J$1001,0),0), INDEX($Q$1004:$U$1004,1,MATCH(COLUMNS($Q$1006:Q1006),$Q$1006:$U$1006,0)))),"Fix")))</f>
        <v xml:space="preserve"> </v>
      </c>
      <c r="C804" s="3" t="str">
        <f ca="1">IF(OR(INDEX($K$2:$K$1001,MATCH(ROWS($J$2:J804),$J$2:$J$1001,0),1)&gt;=100000,INDEX($Q$1005:$U$1005,1,MATCH(COLUMNS($Q$1006:R1006),$Q$1006:$U$1006,0))&gt;=100000), " ",IF(INDEX($Q$2:$U$1001,MATCH(ROWS($J$2:J804),$J$2:$J$1001,0),MATCH(COLUMNS($Q$1006:R1006),$Q$1006:$U$1006,0)), HYPERLINK("#",""), HYPERLINK(CONCATENATE("#Metadata!", ADDRESS(INDEX($L$2:$L$1001,MATCH(ROWS($J$2:J804),$J$2:$J$1001,0),0), INDEX($Q$1004:$U$1004,1,MATCH(COLUMNS($Q$1006:R1006),$Q$1006:$U$1006,0)))),"Fix")))</f>
        <v xml:space="preserve"> </v>
      </c>
      <c r="D804" s="3" t="str">
        <f ca="1">IF(OR(INDEX($K$2:$K$1001,MATCH(ROWS($J$2:J804),$J$2:$J$1001,0),1)&gt;=100000,INDEX($Q$1005:$U$1005,1,MATCH(COLUMNS($Q$1006:S1006),$Q$1006:$U$1006,0))&gt;=100000), " ",IF(INDEX($Q$2:$U$1001,MATCH(ROWS($J$2:J804),$J$2:$J$1001,0),MATCH(COLUMNS($Q$1006:S1006),$Q$1006:$U$1006,0)), HYPERLINK("#",""), HYPERLINK(CONCATENATE("#Metadata!", ADDRESS(INDEX($L$2:$L$1001,MATCH(ROWS($J$2:J804),$J$2:$J$1001,0),0), INDEX($Q$1004:$U$1004,1,MATCH(COLUMNS($Q$1006:S1006),$Q$1006:$U$1006,0)))),"Fix")))</f>
        <v xml:space="preserve"> </v>
      </c>
      <c r="E804" s="3" t="str">
        <f ca="1">IF(OR(INDEX($K$2:$K$1001,MATCH(ROWS($J$2:J804),$J$2:$J$1001,0),1)&gt;=100000,INDEX($Q$1005:$U$1005,1,MATCH(COLUMNS($Q$1006:T1006),$Q$1006:$U$1006,0))&gt;=100000), " ",IF(INDEX($Q$2:$U$1001,MATCH(ROWS($J$2:J804),$J$2:$J$1001,0),MATCH(COLUMNS($Q$1006:T1006),$Q$1006:$U$1006,0)), HYPERLINK("#",""), HYPERLINK(CONCATENATE("#Metadata!", ADDRESS(INDEX($L$2:$L$1001,MATCH(ROWS($J$2:J804),$J$2:$J$1001,0),0), INDEX($Q$1004:$U$1004,1,MATCH(COLUMNS($Q$1006:T1006),$Q$1006:$U$1006,0)))),"Fix")))</f>
        <v xml:space="preserve"> </v>
      </c>
      <c r="F804" s="3" t="str">
        <f ca="1">IF(OR(INDEX($K$2:$K$1001,MATCH(ROWS($J$2:J804),$J$2:$J$1001,0),1)&gt;=100000,INDEX($Q$1005:$U$1005,1,MATCH(COLUMNS($Q$1006:U1006),$Q$1006:$U$1006,0))&gt;=100000), " ",IF(INDEX($Q$2:$U$1001,MATCH(ROWS($J$2:J804),$J$2:$J$1001,0),MATCH(COLUMNS($Q$1006:U1006),$Q$1006:$U$1006,0)), HYPERLINK("#",""), HYPERLINK(CONCATENATE("#Metadata!", ADDRESS(INDEX($L$2:$L$1001,MATCH(ROWS($J$2:J804),$J$2:$J$1001,0),0), INDEX($Q$1004:$U$1004,1,MATCH(COLUMNS($Q$1006:U1006),$Q$1006:$U$1006,0)))),"Fix")))</f>
        <v xml:space="preserve"> </v>
      </c>
      <c r="J804">
        <f ca="1"/>
        <v>803</v>
      </c>
      <c r="K804">
        <v>100804</v>
      </c>
      <c r="L804">
        <v>804</v>
      </c>
      <c r="M804" t="b">
        <f t="shared" si="12"/>
        <v>1</v>
      </c>
      <c r="N804" t="b">
        <f>COUNTBLANK(Metadata!B804:F804)=COLUMNS(Metadata!B804:F804)</f>
        <v>1</v>
      </c>
      <c r="O804" t="str">
        <v/>
      </c>
      <c r="Q804" t="b">
        <f ca="1"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R804" t="b">
        <f>IF(Metadata!C804="",FALSE,TRUE)</f>
        <v>0</v>
      </c>
      <c r="S804" t="b">
        <f>OR(AND(IF(Metadata!D804="",FALSE,TRUE),EXACT(Metadata!D804,"missing: not collected")),AND(IF(Metadata!D804="",FALSE,TRUE),OR(EXACT(Metadata!D804,"t"),EXACT(Metadata!D804,"f"))))</f>
        <v>0</v>
      </c>
      <c r="T804" t="b">
        <f>AND(IF(Metadata!E804="",FALSE,TRUE),OR(EXACT(Metadata!E804,"a"),EXACT(Metadata!E804,"b")))</f>
        <v>0</v>
      </c>
      <c r="U804" t="b">
        <f>OR(AND(IF(Metadata!F804="",FALSE,TRUE),OR(EXACT(Metadata!F804,"missing: not collected"),EXACT(Metadata!F804,"missing: not provided"))),AND(IF(Metadata!F804="",FALSE,TRUE),OR(EXACT(Metadata!F804,"lo"),EXACT(Metadata!F804,"med"),EXACT(Metadata!F804,"hi"))))</f>
        <v>0</v>
      </c>
    </row>
    <row r="805" spans="1:21" x14ac:dyDescent="0.2">
      <c r="A805" s="4" t="str">
        <f ca="1">IF(B805=" "," ",HYPERLINK(CONCATENATE("#metadata!",ADDRESS(INDEX($L$2:$L$1001,MATCH(ROWS($J$2:J805),$J$2:$J$1001,0),0),1)),INDEX($O$2:$O$1001,MATCH(ROWS($J$2:J805),$J$2:$J$1001,0),0)))</f>
        <v xml:space="preserve"> </v>
      </c>
      <c r="B805" s="3" t="str">
        <f ca="1">IF(OR(INDEX($K$2:$K$1001,MATCH(ROWS($J$2:J805),$J$2:$J$1001,0),1)&gt;=100000,INDEX($Q$1005:$U$1005,1,MATCH(COLUMNS($Q$1006:Q1006),$Q$1006:$U$1006,0))&gt;=100000), " ",IF(INDEX($Q$2:$U$1001,MATCH(ROWS($J$2:J805),$J$2:$J$1001,0),MATCH(COLUMNS($Q$1006:Q1006),$Q$1006:$U$1006,0)), HYPERLINK("#",""), HYPERLINK(CONCATENATE("#Metadata!", ADDRESS(INDEX($L$2:$L$1001,MATCH(ROWS($J$2:J805),$J$2:$J$1001,0),0), INDEX($Q$1004:$U$1004,1,MATCH(COLUMNS($Q$1006:Q1006),$Q$1006:$U$1006,0)))),"Fix")))</f>
        <v xml:space="preserve"> </v>
      </c>
      <c r="C805" s="3" t="str">
        <f ca="1">IF(OR(INDEX($K$2:$K$1001,MATCH(ROWS($J$2:J805),$J$2:$J$1001,0),1)&gt;=100000,INDEX($Q$1005:$U$1005,1,MATCH(COLUMNS($Q$1006:R1006),$Q$1006:$U$1006,0))&gt;=100000), " ",IF(INDEX($Q$2:$U$1001,MATCH(ROWS($J$2:J805),$J$2:$J$1001,0),MATCH(COLUMNS($Q$1006:R1006),$Q$1006:$U$1006,0)), HYPERLINK("#",""), HYPERLINK(CONCATENATE("#Metadata!", ADDRESS(INDEX($L$2:$L$1001,MATCH(ROWS($J$2:J805),$J$2:$J$1001,0),0), INDEX($Q$1004:$U$1004,1,MATCH(COLUMNS($Q$1006:R1006),$Q$1006:$U$1006,0)))),"Fix")))</f>
        <v xml:space="preserve"> </v>
      </c>
      <c r="D805" s="3" t="str">
        <f ca="1">IF(OR(INDEX($K$2:$K$1001,MATCH(ROWS($J$2:J805),$J$2:$J$1001,0),1)&gt;=100000,INDEX($Q$1005:$U$1005,1,MATCH(COLUMNS($Q$1006:S1006),$Q$1006:$U$1006,0))&gt;=100000), " ",IF(INDEX($Q$2:$U$1001,MATCH(ROWS($J$2:J805),$J$2:$J$1001,0),MATCH(COLUMNS($Q$1006:S1006),$Q$1006:$U$1006,0)), HYPERLINK("#",""), HYPERLINK(CONCATENATE("#Metadata!", ADDRESS(INDEX($L$2:$L$1001,MATCH(ROWS($J$2:J805),$J$2:$J$1001,0),0), INDEX($Q$1004:$U$1004,1,MATCH(COLUMNS($Q$1006:S1006),$Q$1006:$U$1006,0)))),"Fix")))</f>
        <v xml:space="preserve"> </v>
      </c>
      <c r="E805" s="3" t="str">
        <f ca="1">IF(OR(INDEX($K$2:$K$1001,MATCH(ROWS($J$2:J805),$J$2:$J$1001,0),1)&gt;=100000,INDEX($Q$1005:$U$1005,1,MATCH(COLUMNS($Q$1006:T1006),$Q$1006:$U$1006,0))&gt;=100000), " ",IF(INDEX($Q$2:$U$1001,MATCH(ROWS($J$2:J805),$J$2:$J$1001,0),MATCH(COLUMNS($Q$1006:T1006),$Q$1006:$U$1006,0)), HYPERLINK("#",""), HYPERLINK(CONCATENATE("#Metadata!", ADDRESS(INDEX($L$2:$L$1001,MATCH(ROWS($J$2:J805),$J$2:$J$1001,0),0), INDEX($Q$1004:$U$1004,1,MATCH(COLUMNS($Q$1006:T1006),$Q$1006:$U$1006,0)))),"Fix")))</f>
        <v xml:space="preserve"> </v>
      </c>
      <c r="F805" s="3" t="str">
        <f ca="1">IF(OR(INDEX($K$2:$K$1001,MATCH(ROWS($J$2:J805),$J$2:$J$1001,0),1)&gt;=100000,INDEX($Q$1005:$U$1005,1,MATCH(COLUMNS($Q$1006:U1006),$Q$1006:$U$1006,0))&gt;=100000), " ",IF(INDEX($Q$2:$U$1001,MATCH(ROWS($J$2:J805),$J$2:$J$1001,0),MATCH(COLUMNS($Q$1006:U1006),$Q$1006:$U$1006,0)), HYPERLINK("#",""), HYPERLINK(CONCATENATE("#Metadata!", ADDRESS(INDEX($L$2:$L$1001,MATCH(ROWS($J$2:J805),$J$2:$J$1001,0),0), INDEX($Q$1004:$U$1004,1,MATCH(COLUMNS($Q$1006:U1006),$Q$1006:$U$1006,0)))),"Fix")))</f>
        <v xml:space="preserve"> </v>
      </c>
      <c r="J805">
        <f ca="1"/>
        <v>804</v>
      </c>
      <c r="K805">
        <v>100805</v>
      </c>
      <c r="L805">
        <v>805</v>
      </c>
      <c r="M805" t="b">
        <f t="shared" si="12"/>
        <v>1</v>
      </c>
      <c r="N805" t="b">
        <f>COUNTBLANK(Metadata!B805:F805)=COLUMNS(Metadata!B805:F805)</f>
        <v>1</v>
      </c>
      <c r="O805" t="str">
        <v/>
      </c>
      <c r="Q805" t="b">
        <f ca="1"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R805" t="b">
        <f>IF(Metadata!C805="",FALSE,TRUE)</f>
        <v>0</v>
      </c>
      <c r="S805" t="b">
        <f>OR(AND(IF(Metadata!D805="",FALSE,TRUE),EXACT(Metadata!D805,"missing: not collected")),AND(IF(Metadata!D805="",FALSE,TRUE),OR(EXACT(Metadata!D805,"t"),EXACT(Metadata!D805,"f"))))</f>
        <v>0</v>
      </c>
      <c r="T805" t="b">
        <f>AND(IF(Metadata!E805="",FALSE,TRUE),OR(EXACT(Metadata!E805,"a"),EXACT(Metadata!E805,"b")))</f>
        <v>0</v>
      </c>
      <c r="U805" t="b">
        <f>OR(AND(IF(Metadata!F805="",FALSE,TRUE),OR(EXACT(Metadata!F805,"missing: not collected"),EXACT(Metadata!F805,"missing: not provided"))),AND(IF(Metadata!F805="",FALSE,TRUE),OR(EXACT(Metadata!F805,"lo"),EXACT(Metadata!F805,"med"),EXACT(Metadata!F805,"hi"))))</f>
        <v>0</v>
      </c>
    </row>
    <row r="806" spans="1:21" x14ac:dyDescent="0.2">
      <c r="A806" s="4" t="str">
        <f ca="1">IF(B806=" "," ",HYPERLINK(CONCATENATE("#metadata!",ADDRESS(INDEX($L$2:$L$1001,MATCH(ROWS($J$2:J806),$J$2:$J$1001,0),0),1)),INDEX($O$2:$O$1001,MATCH(ROWS($J$2:J806),$J$2:$J$1001,0),0)))</f>
        <v xml:space="preserve"> </v>
      </c>
      <c r="B806" s="3" t="str">
        <f ca="1">IF(OR(INDEX($K$2:$K$1001,MATCH(ROWS($J$2:J806),$J$2:$J$1001,0),1)&gt;=100000,INDEX($Q$1005:$U$1005,1,MATCH(COLUMNS($Q$1006:Q1006),$Q$1006:$U$1006,0))&gt;=100000), " ",IF(INDEX($Q$2:$U$1001,MATCH(ROWS($J$2:J806),$J$2:$J$1001,0),MATCH(COLUMNS($Q$1006:Q1006),$Q$1006:$U$1006,0)), HYPERLINK("#",""), HYPERLINK(CONCATENATE("#Metadata!", ADDRESS(INDEX($L$2:$L$1001,MATCH(ROWS($J$2:J806),$J$2:$J$1001,0),0), INDEX($Q$1004:$U$1004,1,MATCH(COLUMNS($Q$1006:Q1006),$Q$1006:$U$1006,0)))),"Fix")))</f>
        <v xml:space="preserve"> </v>
      </c>
      <c r="C806" s="3" t="str">
        <f ca="1">IF(OR(INDEX($K$2:$K$1001,MATCH(ROWS($J$2:J806),$J$2:$J$1001,0),1)&gt;=100000,INDEX($Q$1005:$U$1005,1,MATCH(COLUMNS($Q$1006:R1006),$Q$1006:$U$1006,0))&gt;=100000), " ",IF(INDEX($Q$2:$U$1001,MATCH(ROWS($J$2:J806),$J$2:$J$1001,0),MATCH(COLUMNS($Q$1006:R1006),$Q$1006:$U$1006,0)), HYPERLINK("#",""), HYPERLINK(CONCATENATE("#Metadata!", ADDRESS(INDEX($L$2:$L$1001,MATCH(ROWS($J$2:J806),$J$2:$J$1001,0),0), INDEX($Q$1004:$U$1004,1,MATCH(COLUMNS($Q$1006:R1006),$Q$1006:$U$1006,0)))),"Fix")))</f>
        <v xml:space="preserve"> </v>
      </c>
      <c r="D806" s="3" t="str">
        <f ca="1">IF(OR(INDEX($K$2:$K$1001,MATCH(ROWS($J$2:J806),$J$2:$J$1001,0),1)&gt;=100000,INDEX($Q$1005:$U$1005,1,MATCH(COLUMNS($Q$1006:S1006),$Q$1006:$U$1006,0))&gt;=100000), " ",IF(INDEX($Q$2:$U$1001,MATCH(ROWS($J$2:J806),$J$2:$J$1001,0),MATCH(COLUMNS($Q$1006:S1006),$Q$1006:$U$1006,0)), HYPERLINK("#",""), HYPERLINK(CONCATENATE("#Metadata!", ADDRESS(INDEX($L$2:$L$1001,MATCH(ROWS($J$2:J806),$J$2:$J$1001,0),0), INDEX($Q$1004:$U$1004,1,MATCH(COLUMNS($Q$1006:S1006),$Q$1006:$U$1006,0)))),"Fix")))</f>
        <v xml:space="preserve"> </v>
      </c>
      <c r="E806" s="3" t="str">
        <f ca="1">IF(OR(INDEX($K$2:$K$1001,MATCH(ROWS($J$2:J806),$J$2:$J$1001,0),1)&gt;=100000,INDEX($Q$1005:$U$1005,1,MATCH(COLUMNS($Q$1006:T1006),$Q$1006:$U$1006,0))&gt;=100000), " ",IF(INDEX($Q$2:$U$1001,MATCH(ROWS($J$2:J806),$J$2:$J$1001,0),MATCH(COLUMNS($Q$1006:T1006),$Q$1006:$U$1006,0)), HYPERLINK("#",""), HYPERLINK(CONCATENATE("#Metadata!", ADDRESS(INDEX($L$2:$L$1001,MATCH(ROWS($J$2:J806),$J$2:$J$1001,0),0), INDEX($Q$1004:$U$1004,1,MATCH(COLUMNS($Q$1006:T1006),$Q$1006:$U$1006,0)))),"Fix")))</f>
        <v xml:space="preserve"> </v>
      </c>
      <c r="F806" s="3" t="str">
        <f ca="1">IF(OR(INDEX($K$2:$K$1001,MATCH(ROWS($J$2:J806),$J$2:$J$1001,0),1)&gt;=100000,INDEX($Q$1005:$U$1005,1,MATCH(COLUMNS($Q$1006:U1006),$Q$1006:$U$1006,0))&gt;=100000), " ",IF(INDEX($Q$2:$U$1001,MATCH(ROWS($J$2:J806),$J$2:$J$1001,0),MATCH(COLUMNS($Q$1006:U1006),$Q$1006:$U$1006,0)), HYPERLINK("#",""), HYPERLINK(CONCATENATE("#Metadata!", ADDRESS(INDEX($L$2:$L$1001,MATCH(ROWS($J$2:J806),$J$2:$J$1001,0),0), INDEX($Q$1004:$U$1004,1,MATCH(COLUMNS($Q$1006:U1006),$Q$1006:$U$1006,0)))),"Fix")))</f>
        <v xml:space="preserve"> </v>
      </c>
      <c r="J806">
        <f ca="1"/>
        <v>805</v>
      </c>
      <c r="K806">
        <v>100806</v>
      </c>
      <c r="L806">
        <v>806</v>
      </c>
      <c r="M806" t="b">
        <f t="shared" si="12"/>
        <v>1</v>
      </c>
      <c r="N806" t="b">
        <f>COUNTBLANK(Metadata!B806:F806)=COLUMNS(Metadata!B806:F806)</f>
        <v>1</v>
      </c>
      <c r="O806" t="str">
        <v/>
      </c>
      <c r="Q806" t="b">
        <f ca="1"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R806" t="b">
        <f>IF(Metadata!C806="",FALSE,TRUE)</f>
        <v>0</v>
      </c>
      <c r="S806" t="b">
        <f>OR(AND(IF(Metadata!D806="",FALSE,TRUE),EXACT(Metadata!D806,"missing: not collected")),AND(IF(Metadata!D806="",FALSE,TRUE),OR(EXACT(Metadata!D806,"t"),EXACT(Metadata!D806,"f"))))</f>
        <v>0</v>
      </c>
      <c r="T806" t="b">
        <f>AND(IF(Metadata!E806="",FALSE,TRUE),OR(EXACT(Metadata!E806,"a"),EXACT(Metadata!E806,"b")))</f>
        <v>0</v>
      </c>
      <c r="U806" t="b">
        <f>OR(AND(IF(Metadata!F806="",FALSE,TRUE),OR(EXACT(Metadata!F806,"missing: not collected"),EXACT(Metadata!F806,"missing: not provided"))),AND(IF(Metadata!F806="",FALSE,TRUE),OR(EXACT(Metadata!F806,"lo"),EXACT(Metadata!F806,"med"),EXACT(Metadata!F806,"hi"))))</f>
        <v>0</v>
      </c>
    </row>
    <row r="807" spans="1:21" x14ac:dyDescent="0.2">
      <c r="A807" s="4" t="str">
        <f ca="1">IF(B807=" "," ",HYPERLINK(CONCATENATE("#metadata!",ADDRESS(INDEX($L$2:$L$1001,MATCH(ROWS($J$2:J807),$J$2:$J$1001,0),0),1)),INDEX($O$2:$O$1001,MATCH(ROWS($J$2:J807),$J$2:$J$1001,0),0)))</f>
        <v xml:space="preserve"> </v>
      </c>
      <c r="B807" s="3" t="str">
        <f ca="1">IF(OR(INDEX($K$2:$K$1001,MATCH(ROWS($J$2:J807),$J$2:$J$1001,0),1)&gt;=100000,INDEX($Q$1005:$U$1005,1,MATCH(COLUMNS($Q$1006:Q1006),$Q$1006:$U$1006,0))&gt;=100000), " ",IF(INDEX($Q$2:$U$1001,MATCH(ROWS($J$2:J807),$J$2:$J$1001,0),MATCH(COLUMNS($Q$1006:Q1006),$Q$1006:$U$1006,0)), HYPERLINK("#",""), HYPERLINK(CONCATENATE("#Metadata!", ADDRESS(INDEX($L$2:$L$1001,MATCH(ROWS($J$2:J807),$J$2:$J$1001,0),0), INDEX($Q$1004:$U$1004,1,MATCH(COLUMNS($Q$1006:Q1006),$Q$1006:$U$1006,0)))),"Fix")))</f>
        <v xml:space="preserve"> </v>
      </c>
      <c r="C807" s="3" t="str">
        <f ca="1">IF(OR(INDEX($K$2:$K$1001,MATCH(ROWS($J$2:J807),$J$2:$J$1001,0),1)&gt;=100000,INDEX($Q$1005:$U$1005,1,MATCH(COLUMNS($Q$1006:R1006),$Q$1006:$U$1006,0))&gt;=100000), " ",IF(INDEX($Q$2:$U$1001,MATCH(ROWS($J$2:J807),$J$2:$J$1001,0),MATCH(COLUMNS($Q$1006:R1006),$Q$1006:$U$1006,0)), HYPERLINK("#",""), HYPERLINK(CONCATENATE("#Metadata!", ADDRESS(INDEX($L$2:$L$1001,MATCH(ROWS($J$2:J807),$J$2:$J$1001,0),0), INDEX($Q$1004:$U$1004,1,MATCH(COLUMNS($Q$1006:R1006),$Q$1006:$U$1006,0)))),"Fix")))</f>
        <v xml:space="preserve"> </v>
      </c>
      <c r="D807" s="3" t="str">
        <f ca="1">IF(OR(INDEX($K$2:$K$1001,MATCH(ROWS($J$2:J807),$J$2:$J$1001,0),1)&gt;=100000,INDEX($Q$1005:$U$1005,1,MATCH(COLUMNS($Q$1006:S1006),$Q$1006:$U$1006,0))&gt;=100000), " ",IF(INDEX($Q$2:$U$1001,MATCH(ROWS($J$2:J807),$J$2:$J$1001,0),MATCH(COLUMNS($Q$1006:S1006),$Q$1006:$U$1006,0)), HYPERLINK("#",""), HYPERLINK(CONCATENATE("#Metadata!", ADDRESS(INDEX($L$2:$L$1001,MATCH(ROWS($J$2:J807),$J$2:$J$1001,0),0), INDEX($Q$1004:$U$1004,1,MATCH(COLUMNS($Q$1006:S1006),$Q$1006:$U$1006,0)))),"Fix")))</f>
        <v xml:space="preserve"> </v>
      </c>
      <c r="E807" s="3" t="str">
        <f ca="1">IF(OR(INDEX($K$2:$K$1001,MATCH(ROWS($J$2:J807),$J$2:$J$1001,0),1)&gt;=100000,INDEX($Q$1005:$U$1005,1,MATCH(COLUMNS($Q$1006:T1006),$Q$1006:$U$1006,0))&gt;=100000), " ",IF(INDEX($Q$2:$U$1001,MATCH(ROWS($J$2:J807),$J$2:$J$1001,0),MATCH(COLUMNS($Q$1006:T1006),$Q$1006:$U$1006,0)), HYPERLINK("#",""), HYPERLINK(CONCATENATE("#Metadata!", ADDRESS(INDEX($L$2:$L$1001,MATCH(ROWS($J$2:J807),$J$2:$J$1001,0),0), INDEX($Q$1004:$U$1004,1,MATCH(COLUMNS($Q$1006:T1006),$Q$1006:$U$1006,0)))),"Fix")))</f>
        <v xml:space="preserve"> </v>
      </c>
      <c r="F807" s="3" t="str">
        <f ca="1">IF(OR(INDEX($K$2:$K$1001,MATCH(ROWS($J$2:J807),$J$2:$J$1001,0),1)&gt;=100000,INDEX($Q$1005:$U$1005,1,MATCH(COLUMNS($Q$1006:U1006),$Q$1006:$U$1006,0))&gt;=100000), " ",IF(INDEX($Q$2:$U$1001,MATCH(ROWS($J$2:J807),$J$2:$J$1001,0),MATCH(COLUMNS($Q$1006:U1006),$Q$1006:$U$1006,0)), HYPERLINK("#",""), HYPERLINK(CONCATENATE("#Metadata!", ADDRESS(INDEX($L$2:$L$1001,MATCH(ROWS($J$2:J807),$J$2:$J$1001,0),0), INDEX($Q$1004:$U$1004,1,MATCH(COLUMNS($Q$1006:U1006),$Q$1006:$U$1006,0)))),"Fix")))</f>
        <v xml:space="preserve"> </v>
      </c>
      <c r="J807">
        <f ca="1"/>
        <v>806</v>
      </c>
      <c r="K807">
        <v>100807</v>
      </c>
      <c r="L807">
        <v>807</v>
      </c>
      <c r="M807" t="b">
        <f t="shared" si="12"/>
        <v>1</v>
      </c>
      <c r="N807" t="b">
        <f>COUNTBLANK(Metadata!B807:F807)=COLUMNS(Metadata!B807:F807)</f>
        <v>1</v>
      </c>
      <c r="O807" t="str">
        <v/>
      </c>
      <c r="Q807" t="b">
        <f ca="1"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R807" t="b">
        <f>IF(Metadata!C807="",FALSE,TRUE)</f>
        <v>0</v>
      </c>
      <c r="S807" t="b">
        <f>OR(AND(IF(Metadata!D807="",FALSE,TRUE),EXACT(Metadata!D807,"missing: not collected")),AND(IF(Metadata!D807="",FALSE,TRUE),OR(EXACT(Metadata!D807,"t"),EXACT(Metadata!D807,"f"))))</f>
        <v>0</v>
      </c>
      <c r="T807" t="b">
        <f>AND(IF(Metadata!E807="",FALSE,TRUE),OR(EXACT(Metadata!E807,"a"),EXACT(Metadata!E807,"b")))</f>
        <v>0</v>
      </c>
      <c r="U807" t="b">
        <f>OR(AND(IF(Metadata!F807="",FALSE,TRUE),OR(EXACT(Metadata!F807,"missing: not collected"),EXACT(Metadata!F807,"missing: not provided"))),AND(IF(Metadata!F807="",FALSE,TRUE),OR(EXACT(Metadata!F807,"lo"),EXACT(Metadata!F807,"med"),EXACT(Metadata!F807,"hi"))))</f>
        <v>0</v>
      </c>
    </row>
    <row r="808" spans="1:21" x14ac:dyDescent="0.2">
      <c r="A808" s="4" t="str">
        <f ca="1">IF(B808=" "," ",HYPERLINK(CONCATENATE("#metadata!",ADDRESS(INDEX($L$2:$L$1001,MATCH(ROWS($J$2:J808),$J$2:$J$1001,0),0),1)),INDEX($O$2:$O$1001,MATCH(ROWS($J$2:J808),$J$2:$J$1001,0),0)))</f>
        <v xml:space="preserve"> </v>
      </c>
      <c r="B808" s="3" t="str">
        <f ca="1">IF(OR(INDEX($K$2:$K$1001,MATCH(ROWS($J$2:J808),$J$2:$J$1001,0),1)&gt;=100000,INDEX($Q$1005:$U$1005,1,MATCH(COLUMNS($Q$1006:Q1006),$Q$1006:$U$1006,0))&gt;=100000), " ",IF(INDEX($Q$2:$U$1001,MATCH(ROWS($J$2:J808),$J$2:$J$1001,0),MATCH(COLUMNS($Q$1006:Q1006),$Q$1006:$U$1006,0)), HYPERLINK("#",""), HYPERLINK(CONCATENATE("#Metadata!", ADDRESS(INDEX($L$2:$L$1001,MATCH(ROWS($J$2:J808),$J$2:$J$1001,0),0), INDEX($Q$1004:$U$1004,1,MATCH(COLUMNS($Q$1006:Q1006),$Q$1006:$U$1006,0)))),"Fix")))</f>
        <v xml:space="preserve"> </v>
      </c>
      <c r="C808" s="3" t="str">
        <f ca="1">IF(OR(INDEX($K$2:$K$1001,MATCH(ROWS($J$2:J808),$J$2:$J$1001,0),1)&gt;=100000,INDEX($Q$1005:$U$1005,1,MATCH(COLUMNS($Q$1006:R1006),$Q$1006:$U$1006,0))&gt;=100000), " ",IF(INDEX($Q$2:$U$1001,MATCH(ROWS($J$2:J808),$J$2:$J$1001,0),MATCH(COLUMNS($Q$1006:R1006),$Q$1006:$U$1006,0)), HYPERLINK("#",""), HYPERLINK(CONCATENATE("#Metadata!", ADDRESS(INDEX($L$2:$L$1001,MATCH(ROWS($J$2:J808),$J$2:$J$1001,0),0), INDEX($Q$1004:$U$1004,1,MATCH(COLUMNS($Q$1006:R1006),$Q$1006:$U$1006,0)))),"Fix")))</f>
        <v xml:space="preserve"> </v>
      </c>
      <c r="D808" s="3" t="str">
        <f ca="1">IF(OR(INDEX($K$2:$K$1001,MATCH(ROWS($J$2:J808),$J$2:$J$1001,0),1)&gt;=100000,INDEX($Q$1005:$U$1005,1,MATCH(COLUMNS($Q$1006:S1006),$Q$1006:$U$1006,0))&gt;=100000), " ",IF(INDEX($Q$2:$U$1001,MATCH(ROWS($J$2:J808),$J$2:$J$1001,0),MATCH(COLUMNS($Q$1006:S1006),$Q$1006:$U$1006,0)), HYPERLINK("#",""), HYPERLINK(CONCATENATE("#Metadata!", ADDRESS(INDEX($L$2:$L$1001,MATCH(ROWS($J$2:J808),$J$2:$J$1001,0),0), INDEX($Q$1004:$U$1004,1,MATCH(COLUMNS($Q$1006:S1006),$Q$1006:$U$1006,0)))),"Fix")))</f>
        <v xml:space="preserve"> </v>
      </c>
      <c r="E808" s="3" t="str">
        <f ca="1">IF(OR(INDEX($K$2:$K$1001,MATCH(ROWS($J$2:J808),$J$2:$J$1001,0),1)&gt;=100000,INDEX($Q$1005:$U$1005,1,MATCH(COLUMNS($Q$1006:T1006),$Q$1006:$U$1006,0))&gt;=100000), " ",IF(INDEX($Q$2:$U$1001,MATCH(ROWS($J$2:J808),$J$2:$J$1001,0),MATCH(COLUMNS($Q$1006:T1006),$Q$1006:$U$1006,0)), HYPERLINK("#",""), HYPERLINK(CONCATENATE("#Metadata!", ADDRESS(INDEX($L$2:$L$1001,MATCH(ROWS($J$2:J808),$J$2:$J$1001,0),0), INDEX($Q$1004:$U$1004,1,MATCH(COLUMNS($Q$1006:T1006),$Q$1006:$U$1006,0)))),"Fix")))</f>
        <v xml:space="preserve"> </v>
      </c>
      <c r="F808" s="3" t="str">
        <f ca="1">IF(OR(INDEX($K$2:$K$1001,MATCH(ROWS($J$2:J808),$J$2:$J$1001,0),1)&gt;=100000,INDEX($Q$1005:$U$1005,1,MATCH(COLUMNS($Q$1006:U1006),$Q$1006:$U$1006,0))&gt;=100000), " ",IF(INDEX($Q$2:$U$1001,MATCH(ROWS($J$2:J808),$J$2:$J$1001,0),MATCH(COLUMNS($Q$1006:U1006),$Q$1006:$U$1006,0)), HYPERLINK("#",""), HYPERLINK(CONCATENATE("#Metadata!", ADDRESS(INDEX($L$2:$L$1001,MATCH(ROWS($J$2:J808),$J$2:$J$1001,0),0), INDEX($Q$1004:$U$1004,1,MATCH(COLUMNS($Q$1006:U1006),$Q$1006:$U$1006,0)))),"Fix")))</f>
        <v xml:space="preserve"> </v>
      </c>
      <c r="J808">
        <f ca="1"/>
        <v>807</v>
      </c>
      <c r="K808">
        <v>100808</v>
      </c>
      <c r="L808">
        <v>808</v>
      </c>
      <c r="M808" t="b">
        <f t="shared" si="12"/>
        <v>1</v>
      </c>
      <c r="N808" t="b">
        <f>COUNTBLANK(Metadata!B808:F808)=COLUMNS(Metadata!B808:F808)</f>
        <v>1</v>
      </c>
      <c r="O808" t="str">
        <v/>
      </c>
      <c r="Q808" t="b">
        <f ca="1"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R808" t="b">
        <f>IF(Metadata!C808="",FALSE,TRUE)</f>
        <v>0</v>
      </c>
      <c r="S808" t="b">
        <f>OR(AND(IF(Metadata!D808="",FALSE,TRUE),EXACT(Metadata!D808,"missing: not collected")),AND(IF(Metadata!D808="",FALSE,TRUE),OR(EXACT(Metadata!D808,"t"),EXACT(Metadata!D808,"f"))))</f>
        <v>0</v>
      </c>
      <c r="T808" t="b">
        <f>AND(IF(Metadata!E808="",FALSE,TRUE),OR(EXACT(Metadata!E808,"a"),EXACT(Metadata!E808,"b")))</f>
        <v>0</v>
      </c>
      <c r="U808" t="b">
        <f>OR(AND(IF(Metadata!F808="",FALSE,TRUE),OR(EXACT(Metadata!F808,"missing: not collected"),EXACT(Metadata!F808,"missing: not provided"))),AND(IF(Metadata!F808="",FALSE,TRUE),OR(EXACT(Metadata!F808,"lo"),EXACT(Metadata!F808,"med"),EXACT(Metadata!F808,"hi"))))</f>
        <v>0</v>
      </c>
    </row>
    <row r="809" spans="1:21" x14ac:dyDescent="0.2">
      <c r="A809" s="4" t="str">
        <f ca="1">IF(B809=" "," ",HYPERLINK(CONCATENATE("#metadata!",ADDRESS(INDEX($L$2:$L$1001,MATCH(ROWS($J$2:J809),$J$2:$J$1001,0),0),1)),INDEX($O$2:$O$1001,MATCH(ROWS($J$2:J809),$J$2:$J$1001,0),0)))</f>
        <v xml:space="preserve"> </v>
      </c>
      <c r="B809" s="3" t="str">
        <f ca="1">IF(OR(INDEX($K$2:$K$1001,MATCH(ROWS($J$2:J809),$J$2:$J$1001,0),1)&gt;=100000,INDEX($Q$1005:$U$1005,1,MATCH(COLUMNS($Q$1006:Q1006),$Q$1006:$U$1006,0))&gt;=100000), " ",IF(INDEX($Q$2:$U$1001,MATCH(ROWS($J$2:J809),$J$2:$J$1001,0),MATCH(COLUMNS($Q$1006:Q1006),$Q$1006:$U$1006,0)), HYPERLINK("#",""), HYPERLINK(CONCATENATE("#Metadata!", ADDRESS(INDEX($L$2:$L$1001,MATCH(ROWS($J$2:J809),$J$2:$J$1001,0),0), INDEX($Q$1004:$U$1004,1,MATCH(COLUMNS($Q$1006:Q1006),$Q$1006:$U$1006,0)))),"Fix")))</f>
        <v xml:space="preserve"> </v>
      </c>
      <c r="C809" s="3" t="str">
        <f ca="1">IF(OR(INDEX($K$2:$K$1001,MATCH(ROWS($J$2:J809),$J$2:$J$1001,0),1)&gt;=100000,INDEX($Q$1005:$U$1005,1,MATCH(COLUMNS($Q$1006:R1006),$Q$1006:$U$1006,0))&gt;=100000), " ",IF(INDEX($Q$2:$U$1001,MATCH(ROWS($J$2:J809),$J$2:$J$1001,0),MATCH(COLUMNS($Q$1006:R1006),$Q$1006:$U$1006,0)), HYPERLINK("#",""), HYPERLINK(CONCATENATE("#Metadata!", ADDRESS(INDEX($L$2:$L$1001,MATCH(ROWS($J$2:J809),$J$2:$J$1001,0),0), INDEX($Q$1004:$U$1004,1,MATCH(COLUMNS($Q$1006:R1006),$Q$1006:$U$1006,0)))),"Fix")))</f>
        <v xml:space="preserve"> </v>
      </c>
      <c r="D809" s="3" t="str">
        <f ca="1">IF(OR(INDEX($K$2:$K$1001,MATCH(ROWS($J$2:J809),$J$2:$J$1001,0),1)&gt;=100000,INDEX($Q$1005:$U$1005,1,MATCH(COLUMNS($Q$1006:S1006),$Q$1006:$U$1006,0))&gt;=100000), " ",IF(INDEX($Q$2:$U$1001,MATCH(ROWS($J$2:J809),$J$2:$J$1001,0),MATCH(COLUMNS($Q$1006:S1006),$Q$1006:$U$1006,0)), HYPERLINK("#",""), HYPERLINK(CONCATENATE("#Metadata!", ADDRESS(INDEX($L$2:$L$1001,MATCH(ROWS($J$2:J809),$J$2:$J$1001,0),0), INDEX($Q$1004:$U$1004,1,MATCH(COLUMNS($Q$1006:S1006),$Q$1006:$U$1006,0)))),"Fix")))</f>
        <v xml:space="preserve"> </v>
      </c>
      <c r="E809" s="3" t="str">
        <f ca="1">IF(OR(INDEX($K$2:$K$1001,MATCH(ROWS($J$2:J809),$J$2:$J$1001,0),1)&gt;=100000,INDEX($Q$1005:$U$1005,1,MATCH(COLUMNS($Q$1006:T1006),$Q$1006:$U$1006,0))&gt;=100000), " ",IF(INDEX($Q$2:$U$1001,MATCH(ROWS($J$2:J809),$J$2:$J$1001,0),MATCH(COLUMNS($Q$1006:T1006),$Q$1006:$U$1006,0)), HYPERLINK("#",""), HYPERLINK(CONCATENATE("#Metadata!", ADDRESS(INDEX($L$2:$L$1001,MATCH(ROWS($J$2:J809),$J$2:$J$1001,0),0), INDEX($Q$1004:$U$1004,1,MATCH(COLUMNS($Q$1006:T1006),$Q$1006:$U$1006,0)))),"Fix")))</f>
        <v xml:space="preserve"> </v>
      </c>
      <c r="F809" s="3" t="str">
        <f ca="1">IF(OR(INDEX($K$2:$K$1001,MATCH(ROWS($J$2:J809),$J$2:$J$1001,0),1)&gt;=100000,INDEX($Q$1005:$U$1005,1,MATCH(COLUMNS($Q$1006:U1006),$Q$1006:$U$1006,0))&gt;=100000), " ",IF(INDEX($Q$2:$U$1001,MATCH(ROWS($J$2:J809),$J$2:$J$1001,0),MATCH(COLUMNS($Q$1006:U1006),$Q$1006:$U$1006,0)), HYPERLINK("#",""), HYPERLINK(CONCATENATE("#Metadata!", ADDRESS(INDEX($L$2:$L$1001,MATCH(ROWS($J$2:J809),$J$2:$J$1001,0),0), INDEX($Q$1004:$U$1004,1,MATCH(COLUMNS($Q$1006:U1006),$Q$1006:$U$1006,0)))),"Fix")))</f>
        <v xml:space="preserve"> </v>
      </c>
      <c r="J809">
        <f ca="1"/>
        <v>808</v>
      </c>
      <c r="K809">
        <v>100809</v>
      </c>
      <c r="L809">
        <v>809</v>
      </c>
      <c r="M809" t="b">
        <f t="shared" si="12"/>
        <v>1</v>
      </c>
      <c r="N809" t="b">
        <f>COUNTBLANK(Metadata!B809:F809)=COLUMNS(Metadata!B809:F809)</f>
        <v>1</v>
      </c>
      <c r="O809" t="str">
        <v/>
      </c>
      <c r="Q809" t="b">
        <f ca="1"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R809" t="b">
        <f>IF(Metadata!C809="",FALSE,TRUE)</f>
        <v>0</v>
      </c>
      <c r="S809" t="b">
        <f>OR(AND(IF(Metadata!D809="",FALSE,TRUE),EXACT(Metadata!D809,"missing: not collected")),AND(IF(Metadata!D809="",FALSE,TRUE),OR(EXACT(Metadata!D809,"t"),EXACT(Metadata!D809,"f"))))</f>
        <v>0</v>
      </c>
      <c r="T809" t="b">
        <f>AND(IF(Metadata!E809="",FALSE,TRUE),OR(EXACT(Metadata!E809,"a"),EXACT(Metadata!E809,"b")))</f>
        <v>0</v>
      </c>
      <c r="U809" t="b">
        <f>OR(AND(IF(Metadata!F809="",FALSE,TRUE),OR(EXACT(Metadata!F809,"missing: not collected"),EXACT(Metadata!F809,"missing: not provided"))),AND(IF(Metadata!F809="",FALSE,TRUE),OR(EXACT(Metadata!F809,"lo"),EXACT(Metadata!F809,"med"),EXACT(Metadata!F809,"hi"))))</f>
        <v>0</v>
      </c>
    </row>
    <row r="810" spans="1:21" x14ac:dyDescent="0.2">
      <c r="A810" s="4" t="str">
        <f ca="1">IF(B810=" "," ",HYPERLINK(CONCATENATE("#metadata!",ADDRESS(INDEX($L$2:$L$1001,MATCH(ROWS($J$2:J810),$J$2:$J$1001,0),0),1)),INDEX($O$2:$O$1001,MATCH(ROWS($J$2:J810),$J$2:$J$1001,0),0)))</f>
        <v xml:space="preserve"> </v>
      </c>
      <c r="B810" s="3" t="str">
        <f ca="1">IF(OR(INDEX($K$2:$K$1001,MATCH(ROWS($J$2:J810),$J$2:$J$1001,0),1)&gt;=100000,INDEX($Q$1005:$U$1005,1,MATCH(COLUMNS($Q$1006:Q1006),$Q$1006:$U$1006,0))&gt;=100000), " ",IF(INDEX($Q$2:$U$1001,MATCH(ROWS($J$2:J810),$J$2:$J$1001,0),MATCH(COLUMNS($Q$1006:Q1006),$Q$1006:$U$1006,0)), HYPERLINK("#",""), HYPERLINK(CONCATENATE("#Metadata!", ADDRESS(INDEX($L$2:$L$1001,MATCH(ROWS($J$2:J810),$J$2:$J$1001,0),0), INDEX($Q$1004:$U$1004,1,MATCH(COLUMNS($Q$1006:Q1006),$Q$1006:$U$1006,0)))),"Fix")))</f>
        <v xml:space="preserve"> </v>
      </c>
      <c r="C810" s="3" t="str">
        <f ca="1">IF(OR(INDEX($K$2:$K$1001,MATCH(ROWS($J$2:J810),$J$2:$J$1001,0),1)&gt;=100000,INDEX($Q$1005:$U$1005,1,MATCH(COLUMNS($Q$1006:R1006),$Q$1006:$U$1006,0))&gt;=100000), " ",IF(INDEX($Q$2:$U$1001,MATCH(ROWS($J$2:J810),$J$2:$J$1001,0),MATCH(COLUMNS($Q$1006:R1006),$Q$1006:$U$1006,0)), HYPERLINK("#",""), HYPERLINK(CONCATENATE("#Metadata!", ADDRESS(INDEX($L$2:$L$1001,MATCH(ROWS($J$2:J810),$J$2:$J$1001,0),0), INDEX($Q$1004:$U$1004,1,MATCH(COLUMNS($Q$1006:R1006),$Q$1006:$U$1006,0)))),"Fix")))</f>
        <v xml:space="preserve"> </v>
      </c>
      <c r="D810" s="3" t="str">
        <f ca="1">IF(OR(INDEX($K$2:$K$1001,MATCH(ROWS($J$2:J810),$J$2:$J$1001,0),1)&gt;=100000,INDEX($Q$1005:$U$1005,1,MATCH(COLUMNS($Q$1006:S1006),$Q$1006:$U$1006,0))&gt;=100000), " ",IF(INDEX($Q$2:$U$1001,MATCH(ROWS($J$2:J810),$J$2:$J$1001,0),MATCH(COLUMNS($Q$1006:S1006),$Q$1006:$U$1006,0)), HYPERLINK("#",""), HYPERLINK(CONCATENATE("#Metadata!", ADDRESS(INDEX($L$2:$L$1001,MATCH(ROWS($J$2:J810),$J$2:$J$1001,0),0), INDEX($Q$1004:$U$1004,1,MATCH(COLUMNS($Q$1006:S1006),$Q$1006:$U$1006,0)))),"Fix")))</f>
        <v xml:space="preserve"> </v>
      </c>
      <c r="E810" s="3" t="str">
        <f ca="1">IF(OR(INDEX($K$2:$K$1001,MATCH(ROWS($J$2:J810),$J$2:$J$1001,0),1)&gt;=100000,INDEX($Q$1005:$U$1005,1,MATCH(COLUMNS($Q$1006:T1006),$Q$1006:$U$1006,0))&gt;=100000), " ",IF(INDEX($Q$2:$U$1001,MATCH(ROWS($J$2:J810),$J$2:$J$1001,0),MATCH(COLUMNS($Q$1006:T1006),$Q$1006:$U$1006,0)), HYPERLINK("#",""), HYPERLINK(CONCATENATE("#Metadata!", ADDRESS(INDEX($L$2:$L$1001,MATCH(ROWS($J$2:J810),$J$2:$J$1001,0),0), INDEX($Q$1004:$U$1004,1,MATCH(COLUMNS($Q$1006:T1006),$Q$1006:$U$1006,0)))),"Fix")))</f>
        <v xml:space="preserve"> </v>
      </c>
      <c r="F810" s="3" t="str">
        <f ca="1">IF(OR(INDEX($K$2:$K$1001,MATCH(ROWS($J$2:J810),$J$2:$J$1001,0),1)&gt;=100000,INDEX($Q$1005:$U$1005,1,MATCH(COLUMNS($Q$1006:U1006),$Q$1006:$U$1006,0))&gt;=100000), " ",IF(INDEX($Q$2:$U$1001,MATCH(ROWS($J$2:J810),$J$2:$J$1001,0),MATCH(COLUMNS($Q$1006:U1006),$Q$1006:$U$1006,0)), HYPERLINK("#",""), HYPERLINK(CONCATENATE("#Metadata!", ADDRESS(INDEX($L$2:$L$1001,MATCH(ROWS($J$2:J810),$J$2:$J$1001,0),0), INDEX($Q$1004:$U$1004,1,MATCH(COLUMNS($Q$1006:U1006),$Q$1006:$U$1006,0)))),"Fix")))</f>
        <v xml:space="preserve"> </v>
      </c>
      <c r="J810">
        <f ca="1"/>
        <v>809</v>
      </c>
      <c r="K810">
        <v>100810</v>
      </c>
      <c r="L810">
        <v>810</v>
      </c>
      <c r="M810" t="b">
        <f t="shared" si="12"/>
        <v>1</v>
      </c>
      <c r="N810" t="b">
        <f>COUNTBLANK(Metadata!B810:F810)=COLUMNS(Metadata!B810:F810)</f>
        <v>1</v>
      </c>
      <c r="O810" t="str">
        <v/>
      </c>
      <c r="Q810" t="b">
        <f ca="1"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R810" t="b">
        <f>IF(Metadata!C810="",FALSE,TRUE)</f>
        <v>0</v>
      </c>
      <c r="S810" t="b">
        <f>OR(AND(IF(Metadata!D810="",FALSE,TRUE),EXACT(Metadata!D810,"missing: not collected")),AND(IF(Metadata!D810="",FALSE,TRUE),OR(EXACT(Metadata!D810,"t"),EXACT(Metadata!D810,"f"))))</f>
        <v>0</v>
      </c>
      <c r="T810" t="b">
        <f>AND(IF(Metadata!E810="",FALSE,TRUE),OR(EXACT(Metadata!E810,"a"),EXACT(Metadata!E810,"b")))</f>
        <v>0</v>
      </c>
      <c r="U810" t="b">
        <f>OR(AND(IF(Metadata!F810="",FALSE,TRUE),OR(EXACT(Metadata!F810,"missing: not collected"),EXACT(Metadata!F810,"missing: not provided"))),AND(IF(Metadata!F810="",FALSE,TRUE),OR(EXACT(Metadata!F810,"lo"),EXACT(Metadata!F810,"med"),EXACT(Metadata!F810,"hi"))))</f>
        <v>0</v>
      </c>
    </row>
    <row r="811" spans="1:21" x14ac:dyDescent="0.2">
      <c r="A811" s="4" t="str">
        <f ca="1">IF(B811=" "," ",HYPERLINK(CONCATENATE("#metadata!",ADDRESS(INDEX($L$2:$L$1001,MATCH(ROWS($J$2:J811),$J$2:$J$1001,0),0),1)),INDEX($O$2:$O$1001,MATCH(ROWS($J$2:J811),$J$2:$J$1001,0),0)))</f>
        <v xml:space="preserve"> </v>
      </c>
      <c r="B811" s="3" t="str">
        <f ca="1">IF(OR(INDEX($K$2:$K$1001,MATCH(ROWS($J$2:J811),$J$2:$J$1001,0),1)&gt;=100000,INDEX($Q$1005:$U$1005,1,MATCH(COLUMNS($Q$1006:Q1006),$Q$1006:$U$1006,0))&gt;=100000), " ",IF(INDEX($Q$2:$U$1001,MATCH(ROWS($J$2:J811),$J$2:$J$1001,0),MATCH(COLUMNS($Q$1006:Q1006),$Q$1006:$U$1006,0)), HYPERLINK("#",""), HYPERLINK(CONCATENATE("#Metadata!", ADDRESS(INDEX($L$2:$L$1001,MATCH(ROWS($J$2:J811),$J$2:$J$1001,0),0), INDEX($Q$1004:$U$1004,1,MATCH(COLUMNS($Q$1006:Q1006),$Q$1006:$U$1006,0)))),"Fix")))</f>
        <v xml:space="preserve"> </v>
      </c>
      <c r="C811" s="3" t="str">
        <f ca="1">IF(OR(INDEX($K$2:$K$1001,MATCH(ROWS($J$2:J811),$J$2:$J$1001,0),1)&gt;=100000,INDEX($Q$1005:$U$1005,1,MATCH(COLUMNS($Q$1006:R1006),$Q$1006:$U$1006,0))&gt;=100000), " ",IF(INDEX($Q$2:$U$1001,MATCH(ROWS($J$2:J811),$J$2:$J$1001,0),MATCH(COLUMNS($Q$1006:R1006),$Q$1006:$U$1006,0)), HYPERLINK("#",""), HYPERLINK(CONCATENATE("#Metadata!", ADDRESS(INDEX($L$2:$L$1001,MATCH(ROWS($J$2:J811),$J$2:$J$1001,0),0), INDEX($Q$1004:$U$1004,1,MATCH(COLUMNS($Q$1006:R1006),$Q$1006:$U$1006,0)))),"Fix")))</f>
        <v xml:space="preserve"> </v>
      </c>
      <c r="D811" s="3" t="str">
        <f ca="1">IF(OR(INDEX($K$2:$K$1001,MATCH(ROWS($J$2:J811),$J$2:$J$1001,0),1)&gt;=100000,INDEX($Q$1005:$U$1005,1,MATCH(COLUMNS($Q$1006:S1006),$Q$1006:$U$1006,0))&gt;=100000), " ",IF(INDEX($Q$2:$U$1001,MATCH(ROWS($J$2:J811),$J$2:$J$1001,0),MATCH(COLUMNS($Q$1006:S1006),$Q$1006:$U$1006,0)), HYPERLINK("#",""), HYPERLINK(CONCATENATE("#Metadata!", ADDRESS(INDEX($L$2:$L$1001,MATCH(ROWS($J$2:J811),$J$2:$J$1001,0),0), INDEX($Q$1004:$U$1004,1,MATCH(COLUMNS($Q$1006:S1006),$Q$1006:$U$1006,0)))),"Fix")))</f>
        <v xml:space="preserve"> </v>
      </c>
      <c r="E811" s="3" t="str">
        <f ca="1">IF(OR(INDEX($K$2:$K$1001,MATCH(ROWS($J$2:J811),$J$2:$J$1001,0),1)&gt;=100000,INDEX($Q$1005:$U$1005,1,MATCH(COLUMNS($Q$1006:T1006),$Q$1006:$U$1006,0))&gt;=100000), " ",IF(INDEX($Q$2:$U$1001,MATCH(ROWS($J$2:J811),$J$2:$J$1001,0),MATCH(COLUMNS($Q$1006:T1006),$Q$1006:$U$1006,0)), HYPERLINK("#",""), HYPERLINK(CONCATENATE("#Metadata!", ADDRESS(INDEX($L$2:$L$1001,MATCH(ROWS($J$2:J811),$J$2:$J$1001,0),0), INDEX($Q$1004:$U$1004,1,MATCH(COLUMNS($Q$1006:T1006),$Q$1006:$U$1006,0)))),"Fix")))</f>
        <v xml:space="preserve"> </v>
      </c>
      <c r="F811" s="3" t="str">
        <f ca="1">IF(OR(INDEX($K$2:$K$1001,MATCH(ROWS($J$2:J811),$J$2:$J$1001,0),1)&gt;=100000,INDEX($Q$1005:$U$1005,1,MATCH(COLUMNS($Q$1006:U1006),$Q$1006:$U$1006,0))&gt;=100000), " ",IF(INDEX($Q$2:$U$1001,MATCH(ROWS($J$2:J811),$J$2:$J$1001,0),MATCH(COLUMNS($Q$1006:U1006),$Q$1006:$U$1006,0)), HYPERLINK("#",""), HYPERLINK(CONCATENATE("#Metadata!", ADDRESS(INDEX($L$2:$L$1001,MATCH(ROWS($J$2:J811),$J$2:$J$1001,0),0), INDEX($Q$1004:$U$1004,1,MATCH(COLUMNS($Q$1006:U1006),$Q$1006:$U$1006,0)))),"Fix")))</f>
        <v xml:space="preserve"> </v>
      </c>
      <c r="J811">
        <f ca="1"/>
        <v>810</v>
      </c>
      <c r="K811">
        <v>100811</v>
      </c>
      <c r="L811">
        <v>811</v>
      </c>
      <c r="M811" t="b">
        <f t="shared" si="12"/>
        <v>1</v>
      </c>
      <c r="N811" t="b">
        <f>COUNTBLANK(Metadata!B811:F811)=COLUMNS(Metadata!B811:F811)</f>
        <v>1</v>
      </c>
      <c r="O811" t="str">
        <v/>
      </c>
      <c r="Q811" t="b">
        <f ca="1"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R811" t="b">
        <f>IF(Metadata!C811="",FALSE,TRUE)</f>
        <v>0</v>
      </c>
      <c r="S811" t="b">
        <f>OR(AND(IF(Metadata!D811="",FALSE,TRUE),EXACT(Metadata!D811,"missing: not collected")),AND(IF(Metadata!D811="",FALSE,TRUE),OR(EXACT(Metadata!D811,"t"),EXACT(Metadata!D811,"f"))))</f>
        <v>0</v>
      </c>
      <c r="T811" t="b">
        <f>AND(IF(Metadata!E811="",FALSE,TRUE),OR(EXACT(Metadata!E811,"a"),EXACT(Metadata!E811,"b")))</f>
        <v>0</v>
      </c>
      <c r="U811" t="b">
        <f>OR(AND(IF(Metadata!F811="",FALSE,TRUE),OR(EXACT(Metadata!F811,"missing: not collected"),EXACT(Metadata!F811,"missing: not provided"))),AND(IF(Metadata!F811="",FALSE,TRUE),OR(EXACT(Metadata!F811,"lo"),EXACT(Metadata!F811,"med"),EXACT(Metadata!F811,"hi"))))</f>
        <v>0</v>
      </c>
    </row>
    <row r="812" spans="1:21" x14ac:dyDescent="0.2">
      <c r="A812" s="4" t="str">
        <f ca="1">IF(B812=" "," ",HYPERLINK(CONCATENATE("#metadata!",ADDRESS(INDEX($L$2:$L$1001,MATCH(ROWS($J$2:J812),$J$2:$J$1001,0),0),1)),INDEX($O$2:$O$1001,MATCH(ROWS($J$2:J812),$J$2:$J$1001,0),0)))</f>
        <v xml:space="preserve"> </v>
      </c>
      <c r="B812" s="3" t="str">
        <f ca="1">IF(OR(INDEX($K$2:$K$1001,MATCH(ROWS($J$2:J812),$J$2:$J$1001,0),1)&gt;=100000,INDEX($Q$1005:$U$1005,1,MATCH(COLUMNS($Q$1006:Q1006),$Q$1006:$U$1006,0))&gt;=100000), " ",IF(INDEX($Q$2:$U$1001,MATCH(ROWS($J$2:J812),$J$2:$J$1001,0),MATCH(COLUMNS($Q$1006:Q1006),$Q$1006:$U$1006,0)), HYPERLINK("#",""), HYPERLINK(CONCATENATE("#Metadata!", ADDRESS(INDEX($L$2:$L$1001,MATCH(ROWS($J$2:J812),$J$2:$J$1001,0),0), INDEX($Q$1004:$U$1004,1,MATCH(COLUMNS($Q$1006:Q1006),$Q$1006:$U$1006,0)))),"Fix")))</f>
        <v xml:space="preserve"> </v>
      </c>
      <c r="C812" s="3" t="str">
        <f ca="1">IF(OR(INDEX($K$2:$K$1001,MATCH(ROWS($J$2:J812),$J$2:$J$1001,0),1)&gt;=100000,INDEX($Q$1005:$U$1005,1,MATCH(COLUMNS($Q$1006:R1006),$Q$1006:$U$1006,0))&gt;=100000), " ",IF(INDEX($Q$2:$U$1001,MATCH(ROWS($J$2:J812),$J$2:$J$1001,0),MATCH(COLUMNS($Q$1006:R1006),$Q$1006:$U$1006,0)), HYPERLINK("#",""), HYPERLINK(CONCATENATE("#Metadata!", ADDRESS(INDEX($L$2:$L$1001,MATCH(ROWS($J$2:J812),$J$2:$J$1001,0),0), INDEX($Q$1004:$U$1004,1,MATCH(COLUMNS($Q$1006:R1006),$Q$1006:$U$1006,0)))),"Fix")))</f>
        <v xml:space="preserve"> </v>
      </c>
      <c r="D812" s="3" t="str">
        <f ca="1">IF(OR(INDEX($K$2:$K$1001,MATCH(ROWS($J$2:J812),$J$2:$J$1001,0),1)&gt;=100000,INDEX($Q$1005:$U$1005,1,MATCH(COLUMNS($Q$1006:S1006),$Q$1006:$U$1006,0))&gt;=100000), " ",IF(INDEX($Q$2:$U$1001,MATCH(ROWS($J$2:J812),$J$2:$J$1001,0),MATCH(COLUMNS($Q$1006:S1006),$Q$1006:$U$1006,0)), HYPERLINK("#",""), HYPERLINK(CONCATENATE("#Metadata!", ADDRESS(INDEX($L$2:$L$1001,MATCH(ROWS($J$2:J812),$J$2:$J$1001,0),0), INDEX($Q$1004:$U$1004,1,MATCH(COLUMNS($Q$1006:S1006),$Q$1006:$U$1006,0)))),"Fix")))</f>
        <v xml:space="preserve"> </v>
      </c>
      <c r="E812" s="3" t="str">
        <f ca="1">IF(OR(INDEX($K$2:$K$1001,MATCH(ROWS($J$2:J812),$J$2:$J$1001,0),1)&gt;=100000,INDEX($Q$1005:$U$1005,1,MATCH(COLUMNS($Q$1006:T1006),$Q$1006:$U$1006,0))&gt;=100000), " ",IF(INDEX($Q$2:$U$1001,MATCH(ROWS($J$2:J812),$J$2:$J$1001,0),MATCH(COLUMNS($Q$1006:T1006),$Q$1006:$U$1006,0)), HYPERLINK("#",""), HYPERLINK(CONCATENATE("#Metadata!", ADDRESS(INDEX($L$2:$L$1001,MATCH(ROWS($J$2:J812),$J$2:$J$1001,0),0), INDEX($Q$1004:$U$1004,1,MATCH(COLUMNS($Q$1006:T1006),$Q$1006:$U$1006,0)))),"Fix")))</f>
        <v xml:space="preserve"> </v>
      </c>
      <c r="F812" s="3" t="str">
        <f ca="1">IF(OR(INDEX($K$2:$K$1001,MATCH(ROWS($J$2:J812),$J$2:$J$1001,0),1)&gt;=100000,INDEX($Q$1005:$U$1005,1,MATCH(COLUMNS($Q$1006:U1006),$Q$1006:$U$1006,0))&gt;=100000), " ",IF(INDEX($Q$2:$U$1001,MATCH(ROWS($J$2:J812),$J$2:$J$1001,0),MATCH(COLUMNS($Q$1006:U1006),$Q$1006:$U$1006,0)), HYPERLINK("#",""), HYPERLINK(CONCATENATE("#Metadata!", ADDRESS(INDEX($L$2:$L$1001,MATCH(ROWS($J$2:J812),$J$2:$J$1001,0),0), INDEX($Q$1004:$U$1004,1,MATCH(COLUMNS($Q$1006:U1006),$Q$1006:$U$1006,0)))),"Fix")))</f>
        <v xml:space="preserve"> </v>
      </c>
      <c r="J812">
        <f ca="1"/>
        <v>811</v>
      </c>
      <c r="K812">
        <v>100812</v>
      </c>
      <c r="L812">
        <v>812</v>
      </c>
      <c r="M812" t="b">
        <f t="shared" si="12"/>
        <v>1</v>
      </c>
      <c r="N812" t="b">
        <f>COUNTBLANK(Metadata!B812:F812)=COLUMNS(Metadata!B812:F812)</f>
        <v>1</v>
      </c>
      <c r="O812" t="str">
        <v/>
      </c>
      <c r="Q812" t="b">
        <f ca="1"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R812" t="b">
        <f>IF(Metadata!C812="",FALSE,TRUE)</f>
        <v>0</v>
      </c>
      <c r="S812" t="b">
        <f>OR(AND(IF(Metadata!D812="",FALSE,TRUE),EXACT(Metadata!D812,"missing: not collected")),AND(IF(Metadata!D812="",FALSE,TRUE),OR(EXACT(Metadata!D812,"t"),EXACT(Metadata!D812,"f"))))</f>
        <v>0</v>
      </c>
      <c r="T812" t="b">
        <f>AND(IF(Metadata!E812="",FALSE,TRUE),OR(EXACT(Metadata!E812,"a"),EXACT(Metadata!E812,"b")))</f>
        <v>0</v>
      </c>
      <c r="U812" t="b">
        <f>OR(AND(IF(Metadata!F812="",FALSE,TRUE),OR(EXACT(Metadata!F812,"missing: not collected"),EXACT(Metadata!F812,"missing: not provided"))),AND(IF(Metadata!F812="",FALSE,TRUE),OR(EXACT(Metadata!F812,"lo"),EXACT(Metadata!F812,"med"),EXACT(Metadata!F812,"hi"))))</f>
        <v>0</v>
      </c>
    </row>
    <row r="813" spans="1:21" x14ac:dyDescent="0.2">
      <c r="A813" s="4" t="str">
        <f ca="1">IF(B813=" "," ",HYPERLINK(CONCATENATE("#metadata!",ADDRESS(INDEX($L$2:$L$1001,MATCH(ROWS($J$2:J813),$J$2:$J$1001,0),0),1)),INDEX($O$2:$O$1001,MATCH(ROWS($J$2:J813),$J$2:$J$1001,0),0)))</f>
        <v xml:space="preserve"> </v>
      </c>
      <c r="B813" s="3" t="str">
        <f ca="1">IF(OR(INDEX($K$2:$K$1001,MATCH(ROWS($J$2:J813),$J$2:$J$1001,0),1)&gt;=100000,INDEX($Q$1005:$U$1005,1,MATCH(COLUMNS($Q$1006:Q1006),$Q$1006:$U$1006,0))&gt;=100000), " ",IF(INDEX($Q$2:$U$1001,MATCH(ROWS($J$2:J813),$J$2:$J$1001,0),MATCH(COLUMNS($Q$1006:Q1006),$Q$1006:$U$1006,0)), HYPERLINK("#",""), HYPERLINK(CONCATENATE("#Metadata!", ADDRESS(INDEX($L$2:$L$1001,MATCH(ROWS($J$2:J813),$J$2:$J$1001,0),0), INDEX($Q$1004:$U$1004,1,MATCH(COLUMNS($Q$1006:Q1006),$Q$1006:$U$1006,0)))),"Fix")))</f>
        <v xml:space="preserve"> </v>
      </c>
      <c r="C813" s="3" t="str">
        <f ca="1">IF(OR(INDEX($K$2:$K$1001,MATCH(ROWS($J$2:J813),$J$2:$J$1001,0),1)&gt;=100000,INDEX($Q$1005:$U$1005,1,MATCH(COLUMNS($Q$1006:R1006),$Q$1006:$U$1006,0))&gt;=100000), " ",IF(INDEX($Q$2:$U$1001,MATCH(ROWS($J$2:J813),$J$2:$J$1001,0),MATCH(COLUMNS($Q$1006:R1006),$Q$1006:$U$1006,0)), HYPERLINK("#",""), HYPERLINK(CONCATENATE("#Metadata!", ADDRESS(INDEX($L$2:$L$1001,MATCH(ROWS($J$2:J813),$J$2:$J$1001,0),0), INDEX($Q$1004:$U$1004,1,MATCH(COLUMNS($Q$1006:R1006),$Q$1006:$U$1006,0)))),"Fix")))</f>
        <v xml:space="preserve"> </v>
      </c>
      <c r="D813" s="3" t="str">
        <f ca="1">IF(OR(INDEX($K$2:$K$1001,MATCH(ROWS($J$2:J813),$J$2:$J$1001,0),1)&gt;=100000,INDEX($Q$1005:$U$1005,1,MATCH(COLUMNS($Q$1006:S1006),$Q$1006:$U$1006,0))&gt;=100000), " ",IF(INDEX($Q$2:$U$1001,MATCH(ROWS($J$2:J813),$J$2:$J$1001,0),MATCH(COLUMNS($Q$1006:S1006),$Q$1006:$U$1006,0)), HYPERLINK("#",""), HYPERLINK(CONCATENATE("#Metadata!", ADDRESS(INDEX($L$2:$L$1001,MATCH(ROWS($J$2:J813),$J$2:$J$1001,0),0), INDEX($Q$1004:$U$1004,1,MATCH(COLUMNS($Q$1006:S1006),$Q$1006:$U$1006,0)))),"Fix")))</f>
        <v xml:space="preserve"> </v>
      </c>
      <c r="E813" s="3" t="str">
        <f ca="1">IF(OR(INDEX($K$2:$K$1001,MATCH(ROWS($J$2:J813),$J$2:$J$1001,0),1)&gt;=100000,INDEX($Q$1005:$U$1005,1,MATCH(COLUMNS($Q$1006:T1006),$Q$1006:$U$1006,0))&gt;=100000), " ",IF(INDEX($Q$2:$U$1001,MATCH(ROWS($J$2:J813),$J$2:$J$1001,0),MATCH(COLUMNS($Q$1006:T1006),$Q$1006:$U$1006,0)), HYPERLINK("#",""), HYPERLINK(CONCATENATE("#Metadata!", ADDRESS(INDEX($L$2:$L$1001,MATCH(ROWS($J$2:J813),$J$2:$J$1001,0),0), INDEX($Q$1004:$U$1004,1,MATCH(COLUMNS($Q$1006:T1006),$Q$1006:$U$1006,0)))),"Fix")))</f>
        <v xml:space="preserve"> </v>
      </c>
      <c r="F813" s="3" t="str">
        <f ca="1">IF(OR(INDEX($K$2:$K$1001,MATCH(ROWS($J$2:J813),$J$2:$J$1001,0),1)&gt;=100000,INDEX($Q$1005:$U$1005,1,MATCH(COLUMNS($Q$1006:U1006),$Q$1006:$U$1006,0))&gt;=100000), " ",IF(INDEX($Q$2:$U$1001,MATCH(ROWS($J$2:J813),$J$2:$J$1001,0),MATCH(COLUMNS($Q$1006:U1006),$Q$1006:$U$1006,0)), HYPERLINK("#",""), HYPERLINK(CONCATENATE("#Metadata!", ADDRESS(INDEX($L$2:$L$1001,MATCH(ROWS($J$2:J813),$J$2:$J$1001,0),0), INDEX($Q$1004:$U$1004,1,MATCH(COLUMNS($Q$1006:U1006),$Q$1006:$U$1006,0)))),"Fix")))</f>
        <v xml:space="preserve"> </v>
      </c>
      <c r="J813">
        <f ca="1"/>
        <v>812</v>
      </c>
      <c r="K813">
        <v>100813</v>
      </c>
      <c r="L813">
        <v>813</v>
      </c>
      <c r="M813" t="b">
        <f t="shared" si="12"/>
        <v>1</v>
      </c>
      <c r="N813" t="b">
        <f>COUNTBLANK(Metadata!B813:F813)=COLUMNS(Metadata!B813:F813)</f>
        <v>1</v>
      </c>
      <c r="O813" t="str">
        <v/>
      </c>
      <c r="Q813" t="b">
        <f ca="1"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R813" t="b">
        <f>IF(Metadata!C813="",FALSE,TRUE)</f>
        <v>0</v>
      </c>
      <c r="S813" t="b">
        <f>OR(AND(IF(Metadata!D813="",FALSE,TRUE),EXACT(Metadata!D813,"missing: not collected")),AND(IF(Metadata!D813="",FALSE,TRUE),OR(EXACT(Metadata!D813,"t"),EXACT(Metadata!D813,"f"))))</f>
        <v>0</v>
      </c>
      <c r="T813" t="b">
        <f>AND(IF(Metadata!E813="",FALSE,TRUE),OR(EXACT(Metadata!E813,"a"),EXACT(Metadata!E813,"b")))</f>
        <v>0</v>
      </c>
      <c r="U813" t="b">
        <f>OR(AND(IF(Metadata!F813="",FALSE,TRUE),OR(EXACT(Metadata!F813,"missing: not collected"),EXACT(Metadata!F813,"missing: not provided"))),AND(IF(Metadata!F813="",FALSE,TRUE),OR(EXACT(Metadata!F813,"lo"),EXACT(Metadata!F813,"med"),EXACT(Metadata!F813,"hi"))))</f>
        <v>0</v>
      </c>
    </row>
    <row r="814" spans="1:21" x14ac:dyDescent="0.2">
      <c r="A814" s="4" t="str">
        <f ca="1">IF(B814=" "," ",HYPERLINK(CONCATENATE("#metadata!",ADDRESS(INDEX($L$2:$L$1001,MATCH(ROWS($J$2:J814),$J$2:$J$1001,0),0),1)),INDEX($O$2:$O$1001,MATCH(ROWS($J$2:J814),$J$2:$J$1001,0),0)))</f>
        <v xml:space="preserve"> </v>
      </c>
      <c r="B814" s="3" t="str">
        <f ca="1">IF(OR(INDEX($K$2:$K$1001,MATCH(ROWS($J$2:J814),$J$2:$J$1001,0),1)&gt;=100000,INDEX($Q$1005:$U$1005,1,MATCH(COLUMNS($Q$1006:Q1006),$Q$1006:$U$1006,0))&gt;=100000), " ",IF(INDEX($Q$2:$U$1001,MATCH(ROWS($J$2:J814),$J$2:$J$1001,0),MATCH(COLUMNS($Q$1006:Q1006),$Q$1006:$U$1006,0)), HYPERLINK("#",""), HYPERLINK(CONCATENATE("#Metadata!", ADDRESS(INDEX($L$2:$L$1001,MATCH(ROWS($J$2:J814),$J$2:$J$1001,0),0), INDEX($Q$1004:$U$1004,1,MATCH(COLUMNS($Q$1006:Q1006),$Q$1006:$U$1006,0)))),"Fix")))</f>
        <v xml:space="preserve"> </v>
      </c>
      <c r="C814" s="3" t="str">
        <f ca="1">IF(OR(INDEX($K$2:$K$1001,MATCH(ROWS($J$2:J814),$J$2:$J$1001,0),1)&gt;=100000,INDEX($Q$1005:$U$1005,1,MATCH(COLUMNS($Q$1006:R1006),$Q$1006:$U$1006,0))&gt;=100000), " ",IF(INDEX($Q$2:$U$1001,MATCH(ROWS($J$2:J814),$J$2:$J$1001,0),MATCH(COLUMNS($Q$1006:R1006),$Q$1006:$U$1006,0)), HYPERLINK("#",""), HYPERLINK(CONCATENATE("#Metadata!", ADDRESS(INDEX($L$2:$L$1001,MATCH(ROWS($J$2:J814),$J$2:$J$1001,0),0), INDEX($Q$1004:$U$1004,1,MATCH(COLUMNS($Q$1006:R1006),$Q$1006:$U$1006,0)))),"Fix")))</f>
        <v xml:space="preserve"> </v>
      </c>
      <c r="D814" s="3" t="str">
        <f ca="1">IF(OR(INDEX($K$2:$K$1001,MATCH(ROWS($J$2:J814),$J$2:$J$1001,0),1)&gt;=100000,INDEX($Q$1005:$U$1005,1,MATCH(COLUMNS($Q$1006:S1006),$Q$1006:$U$1006,0))&gt;=100000), " ",IF(INDEX($Q$2:$U$1001,MATCH(ROWS($J$2:J814),$J$2:$J$1001,0),MATCH(COLUMNS($Q$1006:S1006),$Q$1006:$U$1006,0)), HYPERLINK("#",""), HYPERLINK(CONCATENATE("#Metadata!", ADDRESS(INDEX($L$2:$L$1001,MATCH(ROWS($J$2:J814),$J$2:$J$1001,0),0), INDEX($Q$1004:$U$1004,1,MATCH(COLUMNS($Q$1006:S1006),$Q$1006:$U$1006,0)))),"Fix")))</f>
        <v xml:space="preserve"> </v>
      </c>
      <c r="E814" s="3" t="str">
        <f ca="1">IF(OR(INDEX($K$2:$K$1001,MATCH(ROWS($J$2:J814),$J$2:$J$1001,0),1)&gt;=100000,INDEX($Q$1005:$U$1005,1,MATCH(COLUMNS($Q$1006:T1006),$Q$1006:$U$1006,0))&gt;=100000), " ",IF(INDEX($Q$2:$U$1001,MATCH(ROWS($J$2:J814),$J$2:$J$1001,0),MATCH(COLUMNS($Q$1006:T1006),$Q$1006:$U$1006,0)), HYPERLINK("#",""), HYPERLINK(CONCATENATE("#Metadata!", ADDRESS(INDEX($L$2:$L$1001,MATCH(ROWS($J$2:J814),$J$2:$J$1001,0),0), INDEX($Q$1004:$U$1004,1,MATCH(COLUMNS($Q$1006:T1006),$Q$1006:$U$1006,0)))),"Fix")))</f>
        <v xml:space="preserve"> </v>
      </c>
      <c r="F814" s="3" t="str">
        <f ca="1">IF(OR(INDEX($K$2:$K$1001,MATCH(ROWS($J$2:J814),$J$2:$J$1001,0),1)&gt;=100000,INDEX($Q$1005:$U$1005,1,MATCH(COLUMNS($Q$1006:U1006),$Q$1006:$U$1006,0))&gt;=100000), " ",IF(INDEX($Q$2:$U$1001,MATCH(ROWS($J$2:J814),$J$2:$J$1001,0),MATCH(COLUMNS($Q$1006:U1006),$Q$1006:$U$1006,0)), HYPERLINK("#",""), HYPERLINK(CONCATENATE("#Metadata!", ADDRESS(INDEX($L$2:$L$1001,MATCH(ROWS($J$2:J814),$J$2:$J$1001,0),0), INDEX($Q$1004:$U$1004,1,MATCH(COLUMNS($Q$1006:U1006),$Q$1006:$U$1006,0)))),"Fix")))</f>
        <v xml:space="preserve"> </v>
      </c>
      <c r="J814">
        <f ca="1"/>
        <v>813</v>
      </c>
      <c r="K814">
        <v>100814</v>
      </c>
      <c r="L814">
        <v>814</v>
      </c>
      <c r="M814" t="b">
        <f t="shared" si="12"/>
        <v>1</v>
      </c>
      <c r="N814" t="b">
        <f>COUNTBLANK(Metadata!B814:F814)=COLUMNS(Metadata!B814:F814)</f>
        <v>1</v>
      </c>
      <c r="O814" t="str">
        <v/>
      </c>
      <c r="Q814" t="b">
        <f ca="1"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R814" t="b">
        <f>IF(Metadata!C814="",FALSE,TRUE)</f>
        <v>0</v>
      </c>
      <c r="S814" t="b">
        <f>OR(AND(IF(Metadata!D814="",FALSE,TRUE),EXACT(Metadata!D814,"missing: not collected")),AND(IF(Metadata!D814="",FALSE,TRUE),OR(EXACT(Metadata!D814,"t"),EXACT(Metadata!D814,"f"))))</f>
        <v>0</v>
      </c>
      <c r="T814" t="b">
        <f>AND(IF(Metadata!E814="",FALSE,TRUE),OR(EXACT(Metadata!E814,"a"),EXACT(Metadata!E814,"b")))</f>
        <v>0</v>
      </c>
      <c r="U814" t="b">
        <f>OR(AND(IF(Metadata!F814="",FALSE,TRUE),OR(EXACT(Metadata!F814,"missing: not collected"),EXACT(Metadata!F814,"missing: not provided"))),AND(IF(Metadata!F814="",FALSE,TRUE),OR(EXACT(Metadata!F814,"lo"),EXACT(Metadata!F814,"med"),EXACT(Metadata!F814,"hi"))))</f>
        <v>0</v>
      </c>
    </row>
    <row r="815" spans="1:21" x14ac:dyDescent="0.2">
      <c r="A815" s="4" t="str">
        <f ca="1">IF(B815=" "," ",HYPERLINK(CONCATENATE("#metadata!",ADDRESS(INDEX($L$2:$L$1001,MATCH(ROWS($J$2:J815),$J$2:$J$1001,0),0),1)),INDEX($O$2:$O$1001,MATCH(ROWS($J$2:J815),$J$2:$J$1001,0),0)))</f>
        <v xml:space="preserve"> </v>
      </c>
      <c r="B815" s="3" t="str">
        <f ca="1">IF(OR(INDEX($K$2:$K$1001,MATCH(ROWS($J$2:J815),$J$2:$J$1001,0),1)&gt;=100000,INDEX($Q$1005:$U$1005,1,MATCH(COLUMNS($Q$1006:Q1006),$Q$1006:$U$1006,0))&gt;=100000), " ",IF(INDEX($Q$2:$U$1001,MATCH(ROWS($J$2:J815),$J$2:$J$1001,0),MATCH(COLUMNS($Q$1006:Q1006),$Q$1006:$U$1006,0)), HYPERLINK("#",""), HYPERLINK(CONCATENATE("#Metadata!", ADDRESS(INDEX($L$2:$L$1001,MATCH(ROWS($J$2:J815),$J$2:$J$1001,0),0), INDEX($Q$1004:$U$1004,1,MATCH(COLUMNS($Q$1006:Q1006),$Q$1006:$U$1006,0)))),"Fix")))</f>
        <v xml:space="preserve"> </v>
      </c>
      <c r="C815" s="3" t="str">
        <f ca="1">IF(OR(INDEX($K$2:$K$1001,MATCH(ROWS($J$2:J815),$J$2:$J$1001,0),1)&gt;=100000,INDEX($Q$1005:$U$1005,1,MATCH(COLUMNS($Q$1006:R1006),$Q$1006:$U$1006,0))&gt;=100000), " ",IF(INDEX($Q$2:$U$1001,MATCH(ROWS($J$2:J815),$J$2:$J$1001,0),MATCH(COLUMNS($Q$1006:R1006),$Q$1006:$U$1006,0)), HYPERLINK("#",""), HYPERLINK(CONCATENATE("#Metadata!", ADDRESS(INDEX($L$2:$L$1001,MATCH(ROWS($J$2:J815),$J$2:$J$1001,0),0), INDEX($Q$1004:$U$1004,1,MATCH(COLUMNS($Q$1006:R1006),$Q$1006:$U$1006,0)))),"Fix")))</f>
        <v xml:space="preserve"> </v>
      </c>
      <c r="D815" s="3" t="str">
        <f ca="1">IF(OR(INDEX($K$2:$K$1001,MATCH(ROWS($J$2:J815),$J$2:$J$1001,0),1)&gt;=100000,INDEX($Q$1005:$U$1005,1,MATCH(COLUMNS($Q$1006:S1006),$Q$1006:$U$1006,0))&gt;=100000), " ",IF(INDEX($Q$2:$U$1001,MATCH(ROWS($J$2:J815),$J$2:$J$1001,0),MATCH(COLUMNS($Q$1006:S1006),$Q$1006:$U$1006,0)), HYPERLINK("#",""), HYPERLINK(CONCATENATE("#Metadata!", ADDRESS(INDEX($L$2:$L$1001,MATCH(ROWS($J$2:J815),$J$2:$J$1001,0),0), INDEX($Q$1004:$U$1004,1,MATCH(COLUMNS($Q$1006:S1006),$Q$1006:$U$1006,0)))),"Fix")))</f>
        <v xml:space="preserve"> </v>
      </c>
      <c r="E815" s="3" t="str">
        <f ca="1">IF(OR(INDEX($K$2:$K$1001,MATCH(ROWS($J$2:J815),$J$2:$J$1001,0),1)&gt;=100000,INDEX($Q$1005:$U$1005,1,MATCH(COLUMNS($Q$1006:T1006),$Q$1006:$U$1006,0))&gt;=100000), " ",IF(INDEX($Q$2:$U$1001,MATCH(ROWS($J$2:J815),$J$2:$J$1001,0),MATCH(COLUMNS($Q$1006:T1006),$Q$1006:$U$1006,0)), HYPERLINK("#",""), HYPERLINK(CONCATENATE("#Metadata!", ADDRESS(INDEX($L$2:$L$1001,MATCH(ROWS($J$2:J815),$J$2:$J$1001,0),0), INDEX($Q$1004:$U$1004,1,MATCH(COLUMNS($Q$1006:T1006),$Q$1006:$U$1006,0)))),"Fix")))</f>
        <v xml:space="preserve"> </v>
      </c>
      <c r="F815" s="3" t="str">
        <f ca="1">IF(OR(INDEX($K$2:$K$1001,MATCH(ROWS($J$2:J815),$J$2:$J$1001,0),1)&gt;=100000,INDEX($Q$1005:$U$1005,1,MATCH(COLUMNS($Q$1006:U1006),$Q$1006:$U$1006,0))&gt;=100000), " ",IF(INDEX($Q$2:$U$1001,MATCH(ROWS($J$2:J815),$J$2:$J$1001,0),MATCH(COLUMNS($Q$1006:U1006),$Q$1006:$U$1006,0)), HYPERLINK("#",""), HYPERLINK(CONCATENATE("#Metadata!", ADDRESS(INDEX($L$2:$L$1001,MATCH(ROWS($J$2:J815),$J$2:$J$1001,0),0), INDEX($Q$1004:$U$1004,1,MATCH(COLUMNS($Q$1006:U1006),$Q$1006:$U$1006,0)))),"Fix")))</f>
        <v xml:space="preserve"> </v>
      </c>
      <c r="J815">
        <f ca="1"/>
        <v>814</v>
      </c>
      <c r="K815">
        <v>100815</v>
      </c>
      <c r="L815">
        <v>815</v>
      </c>
      <c r="M815" t="b">
        <f t="shared" si="12"/>
        <v>1</v>
      </c>
      <c r="N815" t="b">
        <f>COUNTBLANK(Metadata!B815:F815)=COLUMNS(Metadata!B815:F815)</f>
        <v>1</v>
      </c>
      <c r="O815" t="str">
        <v/>
      </c>
      <c r="Q815" t="b">
        <f ca="1"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R815" t="b">
        <f>IF(Metadata!C815="",FALSE,TRUE)</f>
        <v>0</v>
      </c>
      <c r="S815" t="b">
        <f>OR(AND(IF(Metadata!D815="",FALSE,TRUE),EXACT(Metadata!D815,"missing: not collected")),AND(IF(Metadata!D815="",FALSE,TRUE),OR(EXACT(Metadata!D815,"t"),EXACT(Metadata!D815,"f"))))</f>
        <v>0</v>
      </c>
      <c r="T815" t="b">
        <f>AND(IF(Metadata!E815="",FALSE,TRUE),OR(EXACT(Metadata!E815,"a"),EXACT(Metadata!E815,"b")))</f>
        <v>0</v>
      </c>
      <c r="U815" t="b">
        <f>OR(AND(IF(Metadata!F815="",FALSE,TRUE),OR(EXACT(Metadata!F815,"missing: not collected"),EXACT(Metadata!F815,"missing: not provided"))),AND(IF(Metadata!F815="",FALSE,TRUE),OR(EXACT(Metadata!F815,"lo"),EXACT(Metadata!F815,"med"),EXACT(Metadata!F815,"hi"))))</f>
        <v>0</v>
      </c>
    </row>
    <row r="816" spans="1:21" x14ac:dyDescent="0.2">
      <c r="A816" s="4" t="str">
        <f ca="1">IF(B816=" "," ",HYPERLINK(CONCATENATE("#metadata!",ADDRESS(INDEX($L$2:$L$1001,MATCH(ROWS($J$2:J816),$J$2:$J$1001,0),0),1)),INDEX($O$2:$O$1001,MATCH(ROWS($J$2:J816),$J$2:$J$1001,0),0)))</f>
        <v xml:space="preserve"> </v>
      </c>
      <c r="B816" s="3" t="str">
        <f ca="1">IF(OR(INDEX($K$2:$K$1001,MATCH(ROWS($J$2:J816),$J$2:$J$1001,0),1)&gt;=100000,INDEX($Q$1005:$U$1005,1,MATCH(COLUMNS($Q$1006:Q1006),$Q$1006:$U$1006,0))&gt;=100000), " ",IF(INDEX($Q$2:$U$1001,MATCH(ROWS($J$2:J816),$J$2:$J$1001,0),MATCH(COLUMNS($Q$1006:Q1006),$Q$1006:$U$1006,0)), HYPERLINK("#",""), HYPERLINK(CONCATENATE("#Metadata!", ADDRESS(INDEX($L$2:$L$1001,MATCH(ROWS($J$2:J816),$J$2:$J$1001,0),0), INDEX($Q$1004:$U$1004,1,MATCH(COLUMNS($Q$1006:Q1006),$Q$1006:$U$1006,0)))),"Fix")))</f>
        <v xml:space="preserve"> </v>
      </c>
      <c r="C816" s="3" t="str">
        <f ca="1">IF(OR(INDEX($K$2:$K$1001,MATCH(ROWS($J$2:J816),$J$2:$J$1001,0),1)&gt;=100000,INDEX($Q$1005:$U$1005,1,MATCH(COLUMNS($Q$1006:R1006),$Q$1006:$U$1006,0))&gt;=100000), " ",IF(INDEX($Q$2:$U$1001,MATCH(ROWS($J$2:J816),$J$2:$J$1001,0),MATCH(COLUMNS($Q$1006:R1006),$Q$1006:$U$1006,0)), HYPERLINK("#",""), HYPERLINK(CONCATENATE("#Metadata!", ADDRESS(INDEX($L$2:$L$1001,MATCH(ROWS($J$2:J816),$J$2:$J$1001,0),0), INDEX($Q$1004:$U$1004,1,MATCH(COLUMNS($Q$1006:R1006),$Q$1006:$U$1006,0)))),"Fix")))</f>
        <v xml:space="preserve"> </v>
      </c>
      <c r="D816" s="3" t="str">
        <f ca="1">IF(OR(INDEX($K$2:$K$1001,MATCH(ROWS($J$2:J816),$J$2:$J$1001,0),1)&gt;=100000,INDEX($Q$1005:$U$1005,1,MATCH(COLUMNS($Q$1006:S1006),$Q$1006:$U$1006,0))&gt;=100000), " ",IF(INDEX($Q$2:$U$1001,MATCH(ROWS($J$2:J816),$J$2:$J$1001,0),MATCH(COLUMNS($Q$1006:S1006),$Q$1006:$U$1006,0)), HYPERLINK("#",""), HYPERLINK(CONCATENATE("#Metadata!", ADDRESS(INDEX($L$2:$L$1001,MATCH(ROWS($J$2:J816),$J$2:$J$1001,0),0), INDEX($Q$1004:$U$1004,1,MATCH(COLUMNS($Q$1006:S1006),$Q$1006:$U$1006,0)))),"Fix")))</f>
        <v xml:space="preserve"> </v>
      </c>
      <c r="E816" s="3" t="str">
        <f ca="1">IF(OR(INDEX($K$2:$K$1001,MATCH(ROWS($J$2:J816),$J$2:$J$1001,0),1)&gt;=100000,INDEX($Q$1005:$U$1005,1,MATCH(COLUMNS($Q$1006:T1006),$Q$1006:$U$1006,0))&gt;=100000), " ",IF(INDEX($Q$2:$U$1001,MATCH(ROWS($J$2:J816),$J$2:$J$1001,0),MATCH(COLUMNS($Q$1006:T1006),$Q$1006:$U$1006,0)), HYPERLINK("#",""), HYPERLINK(CONCATENATE("#Metadata!", ADDRESS(INDEX($L$2:$L$1001,MATCH(ROWS($J$2:J816),$J$2:$J$1001,0),0), INDEX($Q$1004:$U$1004,1,MATCH(COLUMNS($Q$1006:T1006),$Q$1006:$U$1006,0)))),"Fix")))</f>
        <v xml:space="preserve"> </v>
      </c>
      <c r="F816" s="3" t="str">
        <f ca="1">IF(OR(INDEX($K$2:$K$1001,MATCH(ROWS($J$2:J816),$J$2:$J$1001,0),1)&gt;=100000,INDEX($Q$1005:$U$1005,1,MATCH(COLUMNS($Q$1006:U1006),$Q$1006:$U$1006,0))&gt;=100000), " ",IF(INDEX($Q$2:$U$1001,MATCH(ROWS($J$2:J816),$J$2:$J$1001,0),MATCH(COLUMNS($Q$1006:U1006),$Q$1006:$U$1006,0)), HYPERLINK("#",""), HYPERLINK(CONCATENATE("#Metadata!", ADDRESS(INDEX($L$2:$L$1001,MATCH(ROWS($J$2:J816),$J$2:$J$1001,0),0), INDEX($Q$1004:$U$1004,1,MATCH(COLUMNS($Q$1006:U1006),$Q$1006:$U$1006,0)))),"Fix")))</f>
        <v xml:space="preserve"> </v>
      </c>
      <c r="J816">
        <f ca="1"/>
        <v>815</v>
      </c>
      <c r="K816">
        <v>100816</v>
      </c>
      <c r="L816">
        <v>816</v>
      </c>
      <c r="M816" t="b">
        <f t="shared" si="12"/>
        <v>1</v>
      </c>
      <c r="N816" t="b">
        <f>COUNTBLANK(Metadata!B816:F816)=COLUMNS(Metadata!B816:F816)</f>
        <v>1</v>
      </c>
      <c r="O816" t="str">
        <v/>
      </c>
      <c r="Q816" t="b">
        <f ca="1"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R816" t="b">
        <f>IF(Metadata!C816="",FALSE,TRUE)</f>
        <v>0</v>
      </c>
      <c r="S816" t="b">
        <f>OR(AND(IF(Metadata!D816="",FALSE,TRUE),EXACT(Metadata!D816,"missing: not collected")),AND(IF(Metadata!D816="",FALSE,TRUE),OR(EXACT(Metadata!D816,"t"),EXACT(Metadata!D816,"f"))))</f>
        <v>0</v>
      </c>
      <c r="T816" t="b">
        <f>AND(IF(Metadata!E816="",FALSE,TRUE),OR(EXACT(Metadata!E816,"a"),EXACT(Metadata!E816,"b")))</f>
        <v>0</v>
      </c>
      <c r="U816" t="b">
        <f>OR(AND(IF(Metadata!F816="",FALSE,TRUE),OR(EXACT(Metadata!F816,"missing: not collected"),EXACT(Metadata!F816,"missing: not provided"))),AND(IF(Metadata!F816="",FALSE,TRUE),OR(EXACT(Metadata!F816,"lo"),EXACT(Metadata!F816,"med"),EXACT(Metadata!F816,"hi"))))</f>
        <v>0</v>
      </c>
    </row>
    <row r="817" spans="1:21" x14ac:dyDescent="0.2">
      <c r="A817" s="4" t="str">
        <f ca="1">IF(B817=" "," ",HYPERLINK(CONCATENATE("#metadata!",ADDRESS(INDEX($L$2:$L$1001,MATCH(ROWS($J$2:J817),$J$2:$J$1001,0),0),1)),INDEX($O$2:$O$1001,MATCH(ROWS($J$2:J817),$J$2:$J$1001,0),0)))</f>
        <v xml:space="preserve"> </v>
      </c>
      <c r="B817" s="3" t="str">
        <f ca="1">IF(OR(INDEX($K$2:$K$1001,MATCH(ROWS($J$2:J817),$J$2:$J$1001,0),1)&gt;=100000,INDEX($Q$1005:$U$1005,1,MATCH(COLUMNS($Q$1006:Q1006),$Q$1006:$U$1006,0))&gt;=100000), " ",IF(INDEX($Q$2:$U$1001,MATCH(ROWS($J$2:J817),$J$2:$J$1001,0),MATCH(COLUMNS($Q$1006:Q1006),$Q$1006:$U$1006,0)), HYPERLINK("#",""), HYPERLINK(CONCATENATE("#Metadata!", ADDRESS(INDEX($L$2:$L$1001,MATCH(ROWS($J$2:J817),$J$2:$J$1001,0),0), INDEX($Q$1004:$U$1004,1,MATCH(COLUMNS($Q$1006:Q1006),$Q$1006:$U$1006,0)))),"Fix")))</f>
        <v xml:space="preserve"> </v>
      </c>
      <c r="C817" s="3" t="str">
        <f ca="1">IF(OR(INDEX($K$2:$K$1001,MATCH(ROWS($J$2:J817),$J$2:$J$1001,0),1)&gt;=100000,INDEX($Q$1005:$U$1005,1,MATCH(COLUMNS($Q$1006:R1006),$Q$1006:$U$1006,0))&gt;=100000), " ",IF(INDEX($Q$2:$U$1001,MATCH(ROWS($J$2:J817),$J$2:$J$1001,0),MATCH(COLUMNS($Q$1006:R1006),$Q$1006:$U$1006,0)), HYPERLINK("#",""), HYPERLINK(CONCATENATE("#Metadata!", ADDRESS(INDEX($L$2:$L$1001,MATCH(ROWS($J$2:J817),$J$2:$J$1001,0),0), INDEX($Q$1004:$U$1004,1,MATCH(COLUMNS($Q$1006:R1006),$Q$1006:$U$1006,0)))),"Fix")))</f>
        <v xml:space="preserve"> </v>
      </c>
      <c r="D817" s="3" t="str">
        <f ca="1">IF(OR(INDEX($K$2:$K$1001,MATCH(ROWS($J$2:J817),$J$2:$J$1001,0),1)&gt;=100000,INDEX($Q$1005:$U$1005,1,MATCH(COLUMNS($Q$1006:S1006),$Q$1006:$U$1006,0))&gt;=100000), " ",IF(INDEX($Q$2:$U$1001,MATCH(ROWS($J$2:J817),$J$2:$J$1001,0),MATCH(COLUMNS($Q$1006:S1006),$Q$1006:$U$1006,0)), HYPERLINK("#",""), HYPERLINK(CONCATENATE("#Metadata!", ADDRESS(INDEX($L$2:$L$1001,MATCH(ROWS($J$2:J817),$J$2:$J$1001,0),0), INDEX($Q$1004:$U$1004,1,MATCH(COLUMNS($Q$1006:S1006),$Q$1006:$U$1006,0)))),"Fix")))</f>
        <v xml:space="preserve"> </v>
      </c>
      <c r="E817" s="3" t="str">
        <f ca="1">IF(OR(INDEX($K$2:$K$1001,MATCH(ROWS($J$2:J817),$J$2:$J$1001,0),1)&gt;=100000,INDEX($Q$1005:$U$1005,1,MATCH(COLUMNS($Q$1006:T1006),$Q$1006:$U$1006,0))&gt;=100000), " ",IF(INDEX($Q$2:$U$1001,MATCH(ROWS($J$2:J817),$J$2:$J$1001,0),MATCH(COLUMNS($Q$1006:T1006),$Q$1006:$U$1006,0)), HYPERLINK("#",""), HYPERLINK(CONCATENATE("#Metadata!", ADDRESS(INDEX($L$2:$L$1001,MATCH(ROWS($J$2:J817),$J$2:$J$1001,0),0), INDEX($Q$1004:$U$1004,1,MATCH(COLUMNS($Q$1006:T1006),$Q$1006:$U$1006,0)))),"Fix")))</f>
        <v xml:space="preserve"> </v>
      </c>
      <c r="F817" s="3" t="str">
        <f ca="1">IF(OR(INDEX($K$2:$K$1001,MATCH(ROWS($J$2:J817),$J$2:$J$1001,0),1)&gt;=100000,INDEX($Q$1005:$U$1005,1,MATCH(COLUMNS($Q$1006:U1006),$Q$1006:$U$1006,0))&gt;=100000), " ",IF(INDEX($Q$2:$U$1001,MATCH(ROWS($J$2:J817),$J$2:$J$1001,0),MATCH(COLUMNS($Q$1006:U1006),$Q$1006:$U$1006,0)), HYPERLINK("#",""), HYPERLINK(CONCATENATE("#Metadata!", ADDRESS(INDEX($L$2:$L$1001,MATCH(ROWS($J$2:J817),$J$2:$J$1001,0),0), INDEX($Q$1004:$U$1004,1,MATCH(COLUMNS($Q$1006:U1006),$Q$1006:$U$1006,0)))),"Fix")))</f>
        <v xml:space="preserve"> </v>
      </c>
      <c r="J817">
        <f ca="1"/>
        <v>816</v>
      </c>
      <c r="K817">
        <v>100817</v>
      </c>
      <c r="L817">
        <v>817</v>
      </c>
      <c r="M817" t="b">
        <f t="shared" si="12"/>
        <v>1</v>
      </c>
      <c r="N817" t="b">
        <f>COUNTBLANK(Metadata!B817:F817)=COLUMNS(Metadata!B817:F817)</f>
        <v>1</v>
      </c>
      <c r="O817" t="str">
        <v/>
      </c>
      <c r="Q817" t="b">
        <f ca="1"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R817" t="b">
        <f>IF(Metadata!C817="",FALSE,TRUE)</f>
        <v>0</v>
      </c>
      <c r="S817" t="b">
        <f>OR(AND(IF(Metadata!D817="",FALSE,TRUE),EXACT(Metadata!D817,"missing: not collected")),AND(IF(Metadata!D817="",FALSE,TRUE),OR(EXACT(Metadata!D817,"t"),EXACT(Metadata!D817,"f"))))</f>
        <v>0</v>
      </c>
      <c r="T817" t="b">
        <f>AND(IF(Metadata!E817="",FALSE,TRUE),OR(EXACT(Metadata!E817,"a"),EXACT(Metadata!E817,"b")))</f>
        <v>0</v>
      </c>
      <c r="U817" t="b">
        <f>OR(AND(IF(Metadata!F817="",FALSE,TRUE),OR(EXACT(Metadata!F817,"missing: not collected"),EXACT(Metadata!F817,"missing: not provided"))),AND(IF(Metadata!F817="",FALSE,TRUE),OR(EXACT(Metadata!F817,"lo"),EXACT(Metadata!F817,"med"),EXACT(Metadata!F817,"hi"))))</f>
        <v>0</v>
      </c>
    </row>
    <row r="818" spans="1:21" x14ac:dyDescent="0.2">
      <c r="A818" s="4" t="str">
        <f ca="1">IF(B818=" "," ",HYPERLINK(CONCATENATE("#metadata!",ADDRESS(INDEX($L$2:$L$1001,MATCH(ROWS($J$2:J818),$J$2:$J$1001,0),0),1)),INDEX($O$2:$O$1001,MATCH(ROWS($J$2:J818),$J$2:$J$1001,0),0)))</f>
        <v xml:space="preserve"> </v>
      </c>
      <c r="B818" s="3" t="str">
        <f ca="1">IF(OR(INDEX($K$2:$K$1001,MATCH(ROWS($J$2:J818),$J$2:$J$1001,0),1)&gt;=100000,INDEX($Q$1005:$U$1005,1,MATCH(COLUMNS($Q$1006:Q1006),$Q$1006:$U$1006,0))&gt;=100000), " ",IF(INDEX($Q$2:$U$1001,MATCH(ROWS($J$2:J818),$J$2:$J$1001,0),MATCH(COLUMNS($Q$1006:Q1006),$Q$1006:$U$1006,0)), HYPERLINK("#",""), HYPERLINK(CONCATENATE("#Metadata!", ADDRESS(INDEX($L$2:$L$1001,MATCH(ROWS($J$2:J818),$J$2:$J$1001,0),0), INDEX($Q$1004:$U$1004,1,MATCH(COLUMNS($Q$1006:Q1006),$Q$1006:$U$1006,0)))),"Fix")))</f>
        <v xml:space="preserve"> </v>
      </c>
      <c r="C818" s="3" t="str">
        <f ca="1">IF(OR(INDEX($K$2:$K$1001,MATCH(ROWS($J$2:J818),$J$2:$J$1001,0),1)&gt;=100000,INDEX($Q$1005:$U$1005,1,MATCH(COLUMNS($Q$1006:R1006),$Q$1006:$U$1006,0))&gt;=100000), " ",IF(INDEX($Q$2:$U$1001,MATCH(ROWS($J$2:J818),$J$2:$J$1001,0),MATCH(COLUMNS($Q$1006:R1006),$Q$1006:$U$1006,0)), HYPERLINK("#",""), HYPERLINK(CONCATENATE("#Metadata!", ADDRESS(INDEX($L$2:$L$1001,MATCH(ROWS($J$2:J818),$J$2:$J$1001,0),0), INDEX($Q$1004:$U$1004,1,MATCH(COLUMNS($Q$1006:R1006),$Q$1006:$U$1006,0)))),"Fix")))</f>
        <v xml:space="preserve"> </v>
      </c>
      <c r="D818" s="3" t="str">
        <f ca="1">IF(OR(INDEX($K$2:$K$1001,MATCH(ROWS($J$2:J818),$J$2:$J$1001,0),1)&gt;=100000,INDEX($Q$1005:$U$1005,1,MATCH(COLUMNS($Q$1006:S1006),$Q$1006:$U$1006,0))&gt;=100000), " ",IF(INDEX($Q$2:$U$1001,MATCH(ROWS($J$2:J818),$J$2:$J$1001,0),MATCH(COLUMNS($Q$1006:S1006),$Q$1006:$U$1006,0)), HYPERLINK("#",""), HYPERLINK(CONCATENATE("#Metadata!", ADDRESS(INDEX($L$2:$L$1001,MATCH(ROWS($J$2:J818),$J$2:$J$1001,0),0), INDEX($Q$1004:$U$1004,1,MATCH(COLUMNS($Q$1006:S1006),$Q$1006:$U$1006,0)))),"Fix")))</f>
        <v xml:space="preserve"> </v>
      </c>
      <c r="E818" s="3" t="str">
        <f ca="1">IF(OR(INDEX($K$2:$K$1001,MATCH(ROWS($J$2:J818),$J$2:$J$1001,0),1)&gt;=100000,INDEX($Q$1005:$U$1005,1,MATCH(COLUMNS($Q$1006:T1006),$Q$1006:$U$1006,0))&gt;=100000), " ",IF(INDEX($Q$2:$U$1001,MATCH(ROWS($J$2:J818),$J$2:$J$1001,0),MATCH(COLUMNS($Q$1006:T1006),$Q$1006:$U$1006,0)), HYPERLINK("#",""), HYPERLINK(CONCATENATE("#Metadata!", ADDRESS(INDEX($L$2:$L$1001,MATCH(ROWS($J$2:J818),$J$2:$J$1001,0),0), INDEX($Q$1004:$U$1004,1,MATCH(COLUMNS($Q$1006:T1006),$Q$1006:$U$1006,0)))),"Fix")))</f>
        <v xml:space="preserve"> </v>
      </c>
      <c r="F818" s="3" t="str">
        <f ca="1">IF(OR(INDEX($K$2:$K$1001,MATCH(ROWS($J$2:J818),$J$2:$J$1001,0),1)&gt;=100000,INDEX($Q$1005:$U$1005,1,MATCH(COLUMNS($Q$1006:U1006),$Q$1006:$U$1006,0))&gt;=100000), " ",IF(INDEX($Q$2:$U$1001,MATCH(ROWS($J$2:J818),$J$2:$J$1001,0),MATCH(COLUMNS($Q$1006:U1006),$Q$1006:$U$1006,0)), HYPERLINK("#",""), HYPERLINK(CONCATENATE("#Metadata!", ADDRESS(INDEX($L$2:$L$1001,MATCH(ROWS($J$2:J818),$J$2:$J$1001,0),0), INDEX($Q$1004:$U$1004,1,MATCH(COLUMNS($Q$1006:U1006),$Q$1006:$U$1006,0)))),"Fix")))</f>
        <v xml:space="preserve"> </v>
      </c>
      <c r="J818">
        <f ca="1"/>
        <v>817</v>
      </c>
      <c r="K818">
        <v>100818</v>
      </c>
      <c r="L818">
        <v>818</v>
      </c>
      <c r="M818" t="b">
        <f t="shared" si="12"/>
        <v>1</v>
      </c>
      <c r="N818" t="b">
        <f>COUNTBLANK(Metadata!B818:F818)=COLUMNS(Metadata!B818:F818)</f>
        <v>1</v>
      </c>
      <c r="O818" t="str">
        <v/>
      </c>
      <c r="Q818" t="b">
        <f ca="1"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R818" t="b">
        <f>IF(Metadata!C818="",FALSE,TRUE)</f>
        <v>0</v>
      </c>
      <c r="S818" t="b">
        <f>OR(AND(IF(Metadata!D818="",FALSE,TRUE),EXACT(Metadata!D818,"missing: not collected")),AND(IF(Metadata!D818="",FALSE,TRUE),OR(EXACT(Metadata!D818,"t"),EXACT(Metadata!D818,"f"))))</f>
        <v>0</v>
      </c>
      <c r="T818" t="b">
        <f>AND(IF(Metadata!E818="",FALSE,TRUE),OR(EXACT(Metadata!E818,"a"),EXACT(Metadata!E818,"b")))</f>
        <v>0</v>
      </c>
      <c r="U818" t="b">
        <f>OR(AND(IF(Metadata!F818="",FALSE,TRUE),OR(EXACT(Metadata!F818,"missing: not collected"),EXACT(Metadata!F818,"missing: not provided"))),AND(IF(Metadata!F818="",FALSE,TRUE),OR(EXACT(Metadata!F818,"lo"),EXACT(Metadata!F818,"med"),EXACT(Metadata!F818,"hi"))))</f>
        <v>0</v>
      </c>
    </row>
    <row r="819" spans="1:21" x14ac:dyDescent="0.2">
      <c r="A819" s="4" t="str">
        <f ca="1">IF(B819=" "," ",HYPERLINK(CONCATENATE("#metadata!",ADDRESS(INDEX($L$2:$L$1001,MATCH(ROWS($J$2:J819),$J$2:$J$1001,0),0),1)),INDEX($O$2:$O$1001,MATCH(ROWS($J$2:J819),$J$2:$J$1001,0),0)))</f>
        <v xml:space="preserve"> </v>
      </c>
      <c r="B819" s="3" t="str">
        <f ca="1">IF(OR(INDEX($K$2:$K$1001,MATCH(ROWS($J$2:J819),$J$2:$J$1001,0),1)&gt;=100000,INDEX($Q$1005:$U$1005,1,MATCH(COLUMNS($Q$1006:Q1006),$Q$1006:$U$1006,0))&gt;=100000), " ",IF(INDEX($Q$2:$U$1001,MATCH(ROWS($J$2:J819),$J$2:$J$1001,0),MATCH(COLUMNS($Q$1006:Q1006),$Q$1006:$U$1006,0)), HYPERLINK("#",""), HYPERLINK(CONCATENATE("#Metadata!", ADDRESS(INDEX($L$2:$L$1001,MATCH(ROWS($J$2:J819),$J$2:$J$1001,0),0), INDEX($Q$1004:$U$1004,1,MATCH(COLUMNS($Q$1006:Q1006),$Q$1006:$U$1006,0)))),"Fix")))</f>
        <v xml:space="preserve"> </v>
      </c>
      <c r="C819" s="3" t="str">
        <f ca="1">IF(OR(INDEX($K$2:$K$1001,MATCH(ROWS($J$2:J819),$J$2:$J$1001,0),1)&gt;=100000,INDEX($Q$1005:$U$1005,1,MATCH(COLUMNS($Q$1006:R1006),$Q$1006:$U$1006,0))&gt;=100000), " ",IF(INDEX($Q$2:$U$1001,MATCH(ROWS($J$2:J819),$J$2:$J$1001,0),MATCH(COLUMNS($Q$1006:R1006),$Q$1006:$U$1006,0)), HYPERLINK("#",""), HYPERLINK(CONCATENATE("#Metadata!", ADDRESS(INDEX($L$2:$L$1001,MATCH(ROWS($J$2:J819),$J$2:$J$1001,0),0), INDEX($Q$1004:$U$1004,1,MATCH(COLUMNS($Q$1006:R1006),$Q$1006:$U$1006,0)))),"Fix")))</f>
        <v xml:space="preserve"> </v>
      </c>
      <c r="D819" s="3" t="str">
        <f ca="1">IF(OR(INDEX($K$2:$K$1001,MATCH(ROWS($J$2:J819),$J$2:$J$1001,0),1)&gt;=100000,INDEX($Q$1005:$U$1005,1,MATCH(COLUMNS($Q$1006:S1006),$Q$1006:$U$1006,0))&gt;=100000), " ",IF(INDEX($Q$2:$U$1001,MATCH(ROWS($J$2:J819),$J$2:$J$1001,0),MATCH(COLUMNS($Q$1006:S1006),$Q$1006:$U$1006,0)), HYPERLINK("#",""), HYPERLINK(CONCATENATE("#Metadata!", ADDRESS(INDEX($L$2:$L$1001,MATCH(ROWS($J$2:J819),$J$2:$J$1001,0),0), INDEX($Q$1004:$U$1004,1,MATCH(COLUMNS($Q$1006:S1006),$Q$1006:$U$1006,0)))),"Fix")))</f>
        <v xml:space="preserve"> </v>
      </c>
      <c r="E819" s="3" t="str">
        <f ca="1">IF(OR(INDEX($K$2:$K$1001,MATCH(ROWS($J$2:J819),$J$2:$J$1001,0),1)&gt;=100000,INDEX($Q$1005:$U$1005,1,MATCH(COLUMNS($Q$1006:T1006),$Q$1006:$U$1006,0))&gt;=100000), " ",IF(INDEX($Q$2:$U$1001,MATCH(ROWS($J$2:J819),$J$2:$J$1001,0),MATCH(COLUMNS($Q$1006:T1006),$Q$1006:$U$1006,0)), HYPERLINK("#",""), HYPERLINK(CONCATENATE("#Metadata!", ADDRESS(INDEX($L$2:$L$1001,MATCH(ROWS($J$2:J819),$J$2:$J$1001,0),0), INDEX($Q$1004:$U$1004,1,MATCH(COLUMNS($Q$1006:T1006),$Q$1006:$U$1006,0)))),"Fix")))</f>
        <v xml:space="preserve"> </v>
      </c>
      <c r="F819" s="3" t="str">
        <f ca="1">IF(OR(INDEX($K$2:$K$1001,MATCH(ROWS($J$2:J819),$J$2:$J$1001,0),1)&gt;=100000,INDEX($Q$1005:$U$1005,1,MATCH(COLUMNS($Q$1006:U1006),$Q$1006:$U$1006,0))&gt;=100000), " ",IF(INDEX($Q$2:$U$1001,MATCH(ROWS($J$2:J819),$J$2:$J$1001,0),MATCH(COLUMNS($Q$1006:U1006),$Q$1006:$U$1006,0)), HYPERLINK("#",""), HYPERLINK(CONCATENATE("#Metadata!", ADDRESS(INDEX($L$2:$L$1001,MATCH(ROWS($J$2:J819),$J$2:$J$1001,0),0), INDEX($Q$1004:$U$1004,1,MATCH(COLUMNS($Q$1006:U1006),$Q$1006:$U$1006,0)))),"Fix")))</f>
        <v xml:space="preserve"> </v>
      </c>
      <c r="J819">
        <f ca="1"/>
        <v>818</v>
      </c>
      <c r="K819">
        <v>100819</v>
      </c>
      <c r="L819">
        <v>819</v>
      </c>
      <c r="M819" t="b">
        <f t="shared" si="12"/>
        <v>1</v>
      </c>
      <c r="N819" t="b">
        <f>COUNTBLANK(Metadata!B819:F819)=COLUMNS(Metadata!B819:F819)</f>
        <v>1</v>
      </c>
      <c r="O819" t="str">
        <v/>
      </c>
      <c r="Q819" t="b">
        <f ca="1"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R819" t="b">
        <f>IF(Metadata!C819="",FALSE,TRUE)</f>
        <v>0</v>
      </c>
      <c r="S819" t="b">
        <f>OR(AND(IF(Metadata!D819="",FALSE,TRUE),EXACT(Metadata!D819,"missing: not collected")),AND(IF(Metadata!D819="",FALSE,TRUE),OR(EXACT(Metadata!D819,"t"),EXACT(Metadata!D819,"f"))))</f>
        <v>0</v>
      </c>
      <c r="T819" t="b">
        <f>AND(IF(Metadata!E819="",FALSE,TRUE),OR(EXACT(Metadata!E819,"a"),EXACT(Metadata!E819,"b")))</f>
        <v>0</v>
      </c>
      <c r="U819" t="b">
        <f>OR(AND(IF(Metadata!F819="",FALSE,TRUE),OR(EXACT(Metadata!F819,"missing: not collected"),EXACT(Metadata!F819,"missing: not provided"))),AND(IF(Metadata!F819="",FALSE,TRUE),OR(EXACT(Metadata!F819,"lo"),EXACT(Metadata!F819,"med"),EXACT(Metadata!F819,"hi"))))</f>
        <v>0</v>
      </c>
    </row>
    <row r="820" spans="1:21" x14ac:dyDescent="0.2">
      <c r="A820" s="4" t="str">
        <f ca="1">IF(B820=" "," ",HYPERLINK(CONCATENATE("#metadata!",ADDRESS(INDEX($L$2:$L$1001,MATCH(ROWS($J$2:J820),$J$2:$J$1001,0),0),1)),INDEX($O$2:$O$1001,MATCH(ROWS($J$2:J820),$J$2:$J$1001,0),0)))</f>
        <v xml:space="preserve"> </v>
      </c>
      <c r="B820" s="3" t="str">
        <f ca="1">IF(OR(INDEX($K$2:$K$1001,MATCH(ROWS($J$2:J820),$J$2:$J$1001,0),1)&gt;=100000,INDEX($Q$1005:$U$1005,1,MATCH(COLUMNS($Q$1006:Q1006),$Q$1006:$U$1006,0))&gt;=100000), " ",IF(INDEX($Q$2:$U$1001,MATCH(ROWS($J$2:J820),$J$2:$J$1001,0),MATCH(COLUMNS($Q$1006:Q1006),$Q$1006:$U$1006,0)), HYPERLINK("#",""), HYPERLINK(CONCATENATE("#Metadata!", ADDRESS(INDEX($L$2:$L$1001,MATCH(ROWS($J$2:J820),$J$2:$J$1001,0),0), INDEX($Q$1004:$U$1004,1,MATCH(COLUMNS($Q$1006:Q1006),$Q$1006:$U$1006,0)))),"Fix")))</f>
        <v xml:space="preserve"> </v>
      </c>
      <c r="C820" s="3" t="str">
        <f ca="1">IF(OR(INDEX($K$2:$K$1001,MATCH(ROWS($J$2:J820),$J$2:$J$1001,0),1)&gt;=100000,INDEX($Q$1005:$U$1005,1,MATCH(COLUMNS($Q$1006:R1006),$Q$1006:$U$1006,0))&gt;=100000), " ",IF(INDEX($Q$2:$U$1001,MATCH(ROWS($J$2:J820),$J$2:$J$1001,0),MATCH(COLUMNS($Q$1006:R1006),$Q$1006:$U$1006,0)), HYPERLINK("#",""), HYPERLINK(CONCATENATE("#Metadata!", ADDRESS(INDEX($L$2:$L$1001,MATCH(ROWS($J$2:J820),$J$2:$J$1001,0),0), INDEX($Q$1004:$U$1004,1,MATCH(COLUMNS($Q$1006:R1006),$Q$1006:$U$1006,0)))),"Fix")))</f>
        <v xml:space="preserve"> </v>
      </c>
      <c r="D820" s="3" t="str">
        <f ca="1">IF(OR(INDEX($K$2:$K$1001,MATCH(ROWS($J$2:J820),$J$2:$J$1001,0),1)&gt;=100000,INDEX($Q$1005:$U$1005,1,MATCH(COLUMNS($Q$1006:S1006),$Q$1006:$U$1006,0))&gt;=100000), " ",IF(INDEX($Q$2:$U$1001,MATCH(ROWS($J$2:J820),$J$2:$J$1001,0),MATCH(COLUMNS($Q$1006:S1006),$Q$1006:$U$1006,0)), HYPERLINK("#",""), HYPERLINK(CONCATENATE("#Metadata!", ADDRESS(INDEX($L$2:$L$1001,MATCH(ROWS($J$2:J820),$J$2:$J$1001,0),0), INDEX($Q$1004:$U$1004,1,MATCH(COLUMNS($Q$1006:S1006),$Q$1006:$U$1006,0)))),"Fix")))</f>
        <v xml:space="preserve"> </v>
      </c>
      <c r="E820" s="3" t="str">
        <f ca="1">IF(OR(INDEX($K$2:$K$1001,MATCH(ROWS($J$2:J820),$J$2:$J$1001,0),1)&gt;=100000,INDEX($Q$1005:$U$1005,1,MATCH(COLUMNS($Q$1006:T1006),$Q$1006:$U$1006,0))&gt;=100000), " ",IF(INDEX($Q$2:$U$1001,MATCH(ROWS($J$2:J820),$J$2:$J$1001,0),MATCH(COLUMNS($Q$1006:T1006),$Q$1006:$U$1006,0)), HYPERLINK("#",""), HYPERLINK(CONCATENATE("#Metadata!", ADDRESS(INDEX($L$2:$L$1001,MATCH(ROWS($J$2:J820),$J$2:$J$1001,0),0), INDEX($Q$1004:$U$1004,1,MATCH(COLUMNS($Q$1006:T1006),$Q$1006:$U$1006,0)))),"Fix")))</f>
        <v xml:space="preserve"> </v>
      </c>
      <c r="F820" s="3" t="str">
        <f ca="1">IF(OR(INDEX($K$2:$K$1001,MATCH(ROWS($J$2:J820),$J$2:$J$1001,0),1)&gt;=100000,INDEX($Q$1005:$U$1005,1,MATCH(COLUMNS($Q$1006:U1006),$Q$1006:$U$1006,0))&gt;=100000), " ",IF(INDEX($Q$2:$U$1001,MATCH(ROWS($J$2:J820),$J$2:$J$1001,0),MATCH(COLUMNS($Q$1006:U1006),$Q$1006:$U$1006,0)), HYPERLINK("#",""), HYPERLINK(CONCATENATE("#Metadata!", ADDRESS(INDEX($L$2:$L$1001,MATCH(ROWS($J$2:J820),$J$2:$J$1001,0),0), INDEX($Q$1004:$U$1004,1,MATCH(COLUMNS($Q$1006:U1006),$Q$1006:$U$1006,0)))),"Fix")))</f>
        <v xml:space="preserve"> </v>
      </c>
      <c r="J820">
        <f ca="1"/>
        <v>819</v>
      </c>
      <c r="K820">
        <v>100820</v>
      </c>
      <c r="L820">
        <v>820</v>
      </c>
      <c r="M820" t="b">
        <f t="shared" si="12"/>
        <v>1</v>
      </c>
      <c r="N820" t="b">
        <f>COUNTBLANK(Metadata!B820:F820)=COLUMNS(Metadata!B820:F820)</f>
        <v>1</v>
      </c>
      <c r="O820" t="str">
        <v/>
      </c>
      <c r="Q820" t="b">
        <f ca="1"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R820" t="b">
        <f>IF(Metadata!C820="",FALSE,TRUE)</f>
        <v>0</v>
      </c>
      <c r="S820" t="b">
        <f>OR(AND(IF(Metadata!D820="",FALSE,TRUE),EXACT(Metadata!D820,"missing: not collected")),AND(IF(Metadata!D820="",FALSE,TRUE),OR(EXACT(Metadata!D820,"t"),EXACT(Metadata!D820,"f"))))</f>
        <v>0</v>
      </c>
      <c r="T820" t="b">
        <f>AND(IF(Metadata!E820="",FALSE,TRUE),OR(EXACT(Metadata!E820,"a"),EXACT(Metadata!E820,"b")))</f>
        <v>0</v>
      </c>
      <c r="U820" t="b">
        <f>OR(AND(IF(Metadata!F820="",FALSE,TRUE),OR(EXACT(Metadata!F820,"missing: not collected"),EXACT(Metadata!F820,"missing: not provided"))),AND(IF(Metadata!F820="",FALSE,TRUE),OR(EXACT(Metadata!F820,"lo"),EXACT(Metadata!F820,"med"),EXACT(Metadata!F820,"hi"))))</f>
        <v>0</v>
      </c>
    </row>
    <row r="821" spans="1:21" x14ac:dyDescent="0.2">
      <c r="A821" s="4" t="str">
        <f ca="1">IF(B821=" "," ",HYPERLINK(CONCATENATE("#metadata!",ADDRESS(INDEX($L$2:$L$1001,MATCH(ROWS($J$2:J821),$J$2:$J$1001,0),0),1)),INDEX($O$2:$O$1001,MATCH(ROWS($J$2:J821),$J$2:$J$1001,0),0)))</f>
        <v xml:space="preserve"> </v>
      </c>
      <c r="B821" s="3" t="str">
        <f ca="1">IF(OR(INDEX($K$2:$K$1001,MATCH(ROWS($J$2:J821),$J$2:$J$1001,0),1)&gt;=100000,INDEX($Q$1005:$U$1005,1,MATCH(COLUMNS($Q$1006:Q1006),$Q$1006:$U$1006,0))&gt;=100000), " ",IF(INDEX($Q$2:$U$1001,MATCH(ROWS($J$2:J821),$J$2:$J$1001,0),MATCH(COLUMNS($Q$1006:Q1006),$Q$1006:$U$1006,0)), HYPERLINK("#",""), HYPERLINK(CONCATENATE("#Metadata!", ADDRESS(INDEX($L$2:$L$1001,MATCH(ROWS($J$2:J821),$J$2:$J$1001,0),0), INDEX($Q$1004:$U$1004,1,MATCH(COLUMNS($Q$1006:Q1006),$Q$1006:$U$1006,0)))),"Fix")))</f>
        <v xml:space="preserve"> </v>
      </c>
      <c r="C821" s="3" t="str">
        <f ca="1">IF(OR(INDEX($K$2:$K$1001,MATCH(ROWS($J$2:J821),$J$2:$J$1001,0),1)&gt;=100000,INDEX($Q$1005:$U$1005,1,MATCH(COLUMNS($Q$1006:R1006),$Q$1006:$U$1006,0))&gt;=100000), " ",IF(INDEX($Q$2:$U$1001,MATCH(ROWS($J$2:J821),$J$2:$J$1001,0),MATCH(COLUMNS($Q$1006:R1006),$Q$1006:$U$1006,0)), HYPERLINK("#",""), HYPERLINK(CONCATENATE("#Metadata!", ADDRESS(INDEX($L$2:$L$1001,MATCH(ROWS($J$2:J821),$J$2:$J$1001,0),0), INDEX($Q$1004:$U$1004,1,MATCH(COLUMNS($Q$1006:R1006),$Q$1006:$U$1006,0)))),"Fix")))</f>
        <v xml:space="preserve"> </v>
      </c>
      <c r="D821" s="3" t="str">
        <f ca="1">IF(OR(INDEX($K$2:$K$1001,MATCH(ROWS($J$2:J821),$J$2:$J$1001,0),1)&gt;=100000,INDEX($Q$1005:$U$1005,1,MATCH(COLUMNS($Q$1006:S1006),$Q$1006:$U$1006,0))&gt;=100000), " ",IF(INDEX($Q$2:$U$1001,MATCH(ROWS($J$2:J821),$J$2:$J$1001,0),MATCH(COLUMNS($Q$1006:S1006),$Q$1006:$U$1006,0)), HYPERLINK("#",""), HYPERLINK(CONCATENATE("#Metadata!", ADDRESS(INDEX($L$2:$L$1001,MATCH(ROWS($J$2:J821),$J$2:$J$1001,0),0), INDEX($Q$1004:$U$1004,1,MATCH(COLUMNS($Q$1006:S1006),$Q$1006:$U$1006,0)))),"Fix")))</f>
        <v xml:space="preserve"> </v>
      </c>
      <c r="E821" s="3" t="str">
        <f ca="1">IF(OR(INDEX($K$2:$K$1001,MATCH(ROWS($J$2:J821),$J$2:$J$1001,0),1)&gt;=100000,INDEX($Q$1005:$U$1005,1,MATCH(COLUMNS($Q$1006:T1006),$Q$1006:$U$1006,0))&gt;=100000), " ",IF(INDEX($Q$2:$U$1001,MATCH(ROWS($J$2:J821),$J$2:$J$1001,0),MATCH(COLUMNS($Q$1006:T1006),$Q$1006:$U$1006,0)), HYPERLINK("#",""), HYPERLINK(CONCATENATE("#Metadata!", ADDRESS(INDEX($L$2:$L$1001,MATCH(ROWS($J$2:J821),$J$2:$J$1001,0),0), INDEX($Q$1004:$U$1004,1,MATCH(COLUMNS($Q$1006:T1006),$Q$1006:$U$1006,0)))),"Fix")))</f>
        <v xml:space="preserve"> </v>
      </c>
      <c r="F821" s="3" t="str">
        <f ca="1">IF(OR(INDEX($K$2:$K$1001,MATCH(ROWS($J$2:J821),$J$2:$J$1001,0),1)&gt;=100000,INDEX($Q$1005:$U$1005,1,MATCH(COLUMNS($Q$1006:U1006),$Q$1006:$U$1006,0))&gt;=100000), " ",IF(INDEX($Q$2:$U$1001,MATCH(ROWS($J$2:J821),$J$2:$J$1001,0),MATCH(COLUMNS($Q$1006:U1006),$Q$1006:$U$1006,0)), HYPERLINK("#",""), HYPERLINK(CONCATENATE("#Metadata!", ADDRESS(INDEX($L$2:$L$1001,MATCH(ROWS($J$2:J821),$J$2:$J$1001,0),0), INDEX($Q$1004:$U$1004,1,MATCH(COLUMNS($Q$1006:U1006),$Q$1006:$U$1006,0)))),"Fix")))</f>
        <v xml:space="preserve"> </v>
      </c>
      <c r="J821">
        <f ca="1"/>
        <v>820</v>
      </c>
      <c r="K821">
        <v>100821</v>
      </c>
      <c r="L821">
        <v>821</v>
      </c>
      <c r="M821" t="b">
        <f t="shared" si="12"/>
        <v>1</v>
      </c>
      <c r="N821" t="b">
        <f>COUNTBLANK(Metadata!B821:F821)=COLUMNS(Metadata!B821:F821)</f>
        <v>1</v>
      </c>
      <c r="O821" t="str">
        <v/>
      </c>
      <c r="Q821" t="b">
        <f ca="1"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R821" t="b">
        <f>IF(Metadata!C821="",FALSE,TRUE)</f>
        <v>0</v>
      </c>
      <c r="S821" t="b">
        <f>OR(AND(IF(Metadata!D821="",FALSE,TRUE),EXACT(Metadata!D821,"missing: not collected")),AND(IF(Metadata!D821="",FALSE,TRUE),OR(EXACT(Metadata!D821,"t"),EXACT(Metadata!D821,"f"))))</f>
        <v>0</v>
      </c>
      <c r="T821" t="b">
        <f>AND(IF(Metadata!E821="",FALSE,TRUE),OR(EXACT(Metadata!E821,"a"),EXACT(Metadata!E821,"b")))</f>
        <v>0</v>
      </c>
      <c r="U821" t="b">
        <f>OR(AND(IF(Metadata!F821="",FALSE,TRUE),OR(EXACT(Metadata!F821,"missing: not collected"),EXACT(Metadata!F821,"missing: not provided"))),AND(IF(Metadata!F821="",FALSE,TRUE),OR(EXACT(Metadata!F821,"lo"),EXACT(Metadata!F821,"med"),EXACT(Metadata!F821,"hi"))))</f>
        <v>0</v>
      </c>
    </row>
    <row r="822" spans="1:21" x14ac:dyDescent="0.2">
      <c r="A822" s="4" t="str">
        <f ca="1">IF(B822=" "," ",HYPERLINK(CONCATENATE("#metadata!",ADDRESS(INDEX($L$2:$L$1001,MATCH(ROWS($J$2:J822),$J$2:$J$1001,0),0),1)),INDEX($O$2:$O$1001,MATCH(ROWS($J$2:J822),$J$2:$J$1001,0),0)))</f>
        <v xml:space="preserve"> </v>
      </c>
      <c r="B822" s="3" t="str">
        <f ca="1">IF(OR(INDEX($K$2:$K$1001,MATCH(ROWS($J$2:J822),$J$2:$J$1001,0),1)&gt;=100000,INDEX($Q$1005:$U$1005,1,MATCH(COLUMNS($Q$1006:Q1006),$Q$1006:$U$1006,0))&gt;=100000), " ",IF(INDEX($Q$2:$U$1001,MATCH(ROWS($J$2:J822),$J$2:$J$1001,0),MATCH(COLUMNS($Q$1006:Q1006),$Q$1006:$U$1006,0)), HYPERLINK("#",""), HYPERLINK(CONCATENATE("#Metadata!", ADDRESS(INDEX($L$2:$L$1001,MATCH(ROWS($J$2:J822),$J$2:$J$1001,0),0), INDEX($Q$1004:$U$1004,1,MATCH(COLUMNS($Q$1006:Q1006),$Q$1006:$U$1006,0)))),"Fix")))</f>
        <v xml:space="preserve"> </v>
      </c>
      <c r="C822" s="3" t="str">
        <f ca="1">IF(OR(INDEX($K$2:$K$1001,MATCH(ROWS($J$2:J822),$J$2:$J$1001,0),1)&gt;=100000,INDEX($Q$1005:$U$1005,1,MATCH(COLUMNS($Q$1006:R1006),$Q$1006:$U$1006,0))&gt;=100000), " ",IF(INDEX($Q$2:$U$1001,MATCH(ROWS($J$2:J822),$J$2:$J$1001,0),MATCH(COLUMNS($Q$1006:R1006),$Q$1006:$U$1006,0)), HYPERLINK("#",""), HYPERLINK(CONCATENATE("#Metadata!", ADDRESS(INDEX($L$2:$L$1001,MATCH(ROWS($J$2:J822),$J$2:$J$1001,0),0), INDEX($Q$1004:$U$1004,1,MATCH(COLUMNS($Q$1006:R1006),$Q$1006:$U$1006,0)))),"Fix")))</f>
        <v xml:space="preserve"> </v>
      </c>
      <c r="D822" s="3" t="str">
        <f ca="1">IF(OR(INDEX($K$2:$K$1001,MATCH(ROWS($J$2:J822),$J$2:$J$1001,0),1)&gt;=100000,INDEX($Q$1005:$U$1005,1,MATCH(COLUMNS($Q$1006:S1006),$Q$1006:$U$1006,0))&gt;=100000), " ",IF(INDEX($Q$2:$U$1001,MATCH(ROWS($J$2:J822),$J$2:$J$1001,0),MATCH(COLUMNS($Q$1006:S1006),$Q$1006:$U$1006,0)), HYPERLINK("#",""), HYPERLINK(CONCATENATE("#Metadata!", ADDRESS(INDEX($L$2:$L$1001,MATCH(ROWS($J$2:J822),$J$2:$J$1001,0),0), INDEX($Q$1004:$U$1004,1,MATCH(COLUMNS($Q$1006:S1006),$Q$1006:$U$1006,0)))),"Fix")))</f>
        <v xml:space="preserve"> </v>
      </c>
      <c r="E822" s="3" t="str">
        <f ca="1">IF(OR(INDEX($K$2:$K$1001,MATCH(ROWS($J$2:J822),$J$2:$J$1001,0),1)&gt;=100000,INDEX($Q$1005:$U$1005,1,MATCH(COLUMNS($Q$1006:T1006),$Q$1006:$U$1006,0))&gt;=100000), " ",IF(INDEX($Q$2:$U$1001,MATCH(ROWS($J$2:J822),$J$2:$J$1001,0),MATCH(COLUMNS($Q$1006:T1006),$Q$1006:$U$1006,0)), HYPERLINK("#",""), HYPERLINK(CONCATENATE("#Metadata!", ADDRESS(INDEX($L$2:$L$1001,MATCH(ROWS($J$2:J822),$J$2:$J$1001,0),0), INDEX($Q$1004:$U$1004,1,MATCH(COLUMNS($Q$1006:T1006),$Q$1006:$U$1006,0)))),"Fix")))</f>
        <v xml:space="preserve"> </v>
      </c>
      <c r="F822" s="3" t="str">
        <f ca="1">IF(OR(INDEX($K$2:$K$1001,MATCH(ROWS($J$2:J822),$J$2:$J$1001,0),1)&gt;=100000,INDEX($Q$1005:$U$1005,1,MATCH(COLUMNS($Q$1006:U1006),$Q$1006:$U$1006,0))&gt;=100000), " ",IF(INDEX($Q$2:$U$1001,MATCH(ROWS($J$2:J822),$J$2:$J$1001,0),MATCH(COLUMNS($Q$1006:U1006),$Q$1006:$U$1006,0)), HYPERLINK("#",""), HYPERLINK(CONCATENATE("#Metadata!", ADDRESS(INDEX($L$2:$L$1001,MATCH(ROWS($J$2:J822),$J$2:$J$1001,0),0), INDEX($Q$1004:$U$1004,1,MATCH(COLUMNS($Q$1006:U1006),$Q$1006:$U$1006,0)))),"Fix")))</f>
        <v xml:space="preserve"> </v>
      </c>
      <c r="J822">
        <f ca="1"/>
        <v>821</v>
      </c>
      <c r="K822">
        <v>100822</v>
      </c>
      <c r="L822">
        <v>822</v>
      </c>
      <c r="M822" t="b">
        <f t="shared" si="12"/>
        <v>1</v>
      </c>
      <c r="N822" t="b">
        <f>COUNTBLANK(Metadata!B822:F822)=COLUMNS(Metadata!B822:F822)</f>
        <v>1</v>
      </c>
      <c r="O822" t="str">
        <v/>
      </c>
      <c r="Q822" t="b">
        <f ca="1"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R822" t="b">
        <f>IF(Metadata!C822="",FALSE,TRUE)</f>
        <v>0</v>
      </c>
      <c r="S822" t="b">
        <f>OR(AND(IF(Metadata!D822="",FALSE,TRUE),EXACT(Metadata!D822,"missing: not collected")),AND(IF(Metadata!D822="",FALSE,TRUE),OR(EXACT(Metadata!D822,"t"),EXACT(Metadata!D822,"f"))))</f>
        <v>0</v>
      </c>
      <c r="T822" t="b">
        <f>AND(IF(Metadata!E822="",FALSE,TRUE),OR(EXACT(Metadata!E822,"a"),EXACT(Metadata!E822,"b")))</f>
        <v>0</v>
      </c>
      <c r="U822" t="b">
        <f>OR(AND(IF(Metadata!F822="",FALSE,TRUE),OR(EXACT(Metadata!F822,"missing: not collected"),EXACT(Metadata!F822,"missing: not provided"))),AND(IF(Metadata!F822="",FALSE,TRUE),OR(EXACT(Metadata!F822,"lo"),EXACT(Metadata!F822,"med"),EXACT(Metadata!F822,"hi"))))</f>
        <v>0</v>
      </c>
    </row>
    <row r="823" spans="1:21" x14ac:dyDescent="0.2">
      <c r="A823" s="4" t="str">
        <f ca="1">IF(B823=" "," ",HYPERLINK(CONCATENATE("#metadata!",ADDRESS(INDEX($L$2:$L$1001,MATCH(ROWS($J$2:J823),$J$2:$J$1001,0),0),1)),INDEX($O$2:$O$1001,MATCH(ROWS($J$2:J823),$J$2:$J$1001,0),0)))</f>
        <v xml:space="preserve"> </v>
      </c>
      <c r="B823" s="3" t="str">
        <f ca="1">IF(OR(INDEX($K$2:$K$1001,MATCH(ROWS($J$2:J823),$J$2:$J$1001,0),1)&gt;=100000,INDEX($Q$1005:$U$1005,1,MATCH(COLUMNS($Q$1006:Q1006),$Q$1006:$U$1006,0))&gt;=100000), " ",IF(INDEX($Q$2:$U$1001,MATCH(ROWS($J$2:J823),$J$2:$J$1001,0),MATCH(COLUMNS($Q$1006:Q1006),$Q$1006:$U$1006,0)), HYPERLINK("#",""), HYPERLINK(CONCATENATE("#Metadata!", ADDRESS(INDEX($L$2:$L$1001,MATCH(ROWS($J$2:J823),$J$2:$J$1001,0),0), INDEX($Q$1004:$U$1004,1,MATCH(COLUMNS($Q$1006:Q1006),$Q$1006:$U$1006,0)))),"Fix")))</f>
        <v xml:space="preserve"> </v>
      </c>
      <c r="C823" s="3" t="str">
        <f ca="1">IF(OR(INDEX($K$2:$K$1001,MATCH(ROWS($J$2:J823),$J$2:$J$1001,0),1)&gt;=100000,INDEX($Q$1005:$U$1005,1,MATCH(COLUMNS($Q$1006:R1006),$Q$1006:$U$1006,0))&gt;=100000), " ",IF(INDEX($Q$2:$U$1001,MATCH(ROWS($J$2:J823),$J$2:$J$1001,0),MATCH(COLUMNS($Q$1006:R1006),$Q$1006:$U$1006,0)), HYPERLINK("#",""), HYPERLINK(CONCATENATE("#Metadata!", ADDRESS(INDEX($L$2:$L$1001,MATCH(ROWS($J$2:J823),$J$2:$J$1001,0),0), INDEX($Q$1004:$U$1004,1,MATCH(COLUMNS($Q$1006:R1006),$Q$1006:$U$1006,0)))),"Fix")))</f>
        <v xml:space="preserve"> </v>
      </c>
      <c r="D823" s="3" t="str">
        <f ca="1">IF(OR(INDEX($K$2:$K$1001,MATCH(ROWS($J$2:J823),$J$2:$J$1001,0),1)&gt;=100000,INDEX($Q$1005:$U$1005,1,MATCH(COLUMNS($Q$1006:S1006),$Q$1006:$U$1006,0))&gt;=100000), " ",IF(INDEX($Q$2:$U$1001,MATCH(ROWS($J$2:J823),$J$2:$J$1001,0),MATCH(COLUMNS($Q$1006:S1006),$Q$1006:$U$1006,0)), HYPERLINK("#",""), HYPERLINK(CONCATENATE("#Metadata!", ADDRESS(INDEX($L$2:$L$1001,MATCH(ROWS($J$2:J823),$J$2:$J$1001,0),0), INDEX($Q$1004:$U$1004,1,MATCH(COLUMNS($Q$1006:S1006),$Q$1006:$U$1006,0)))),"Fix")))</f>
        <v xml:space="preserve"> </v>
      </c>
      <c r="E823" s="3" t="str">
        <f ca="1">IF(OR(INDEX($K$2:$K$1001,MATCH(ROWS($J$2:J823),$J$2:$J$1001,0),1)&gt;=100000,INDEX($Q$1005:$U$1005,1,MATCH(COLUMNS($Q$1006:T1006),$Q$1006:$U$1006,0))&gt;=100000), " ",IF(INDEX($Q$2:$U$1001,MATCH(ROWS($J$2:J823),$J$2:$J$1001,0),MATCH(COLUMNS($Q$1006:T1006),$Q$1006:$U$1006,0)), HYPERLINK("#",""), HYPERLINK(CONCATENATE("#Metadata!", ADDRESS(INDEX($L$2:$L$1001,MATCH(ROWS($J$2:J823),$J$2:$J$1001,0),0), INDEX($Q$1004:$U$1004,1,MATCH(COLUMNS($Q$1006:T1006),$Q$1006:$U$1006,0)))),"Fix")))</f>
        <v xml:space="preserve"> </v>
      </c>
      <c r="F823" s="3" t="str">
        <f ca="1">IF(OR(INDEX($K$2:$K$1001,MATCH(ROWS($J$2:J823),$J$2:$J$1001,0),1)&gt;=100000,INDEX($Q$1005:$U$1005,1,MATCH(COLUMNS($Q$1006:U1006),$Q$1006:$U$1006,0))&gt;=100000), " ",IF(INDEX($Q$2:$U$1001,MATCH(ROWS($J$2:J823),$J$2:$J$1001,0),MATCH(COLUMNS($Q$1006:U1006),$Q$1006:$U$1006,0)), HYPERLINK("#",""), HYPERLINK(CONCATENATE("#Metadata!", ADDRESS(INDEX($L$2:$L$1001,MATCH(ROWS($J$2:J823),$J$2:$J$1001,0),0), INDEX($Q$1004:$U$1004,1,MATCH(COLUMNS($Q$1006:U1006),$Q$1006:$U$1006,0)))),"Fix")))</f>
        <v xml:space="preserve"> </v>
      </c>
      <c r="J823">
        <f ca="1"/>
        <v>822</v>
      </c>
      <c r="K823">
        <v>100823</v>
      </c>
      <c r="L823">
        <v>823</v>
      </c>
      <c r="M823" t="b">
        <f t="shared" si="12"/>
        <v>1</v>
      </c>
      <c r="N823" t="b">
        <f>COUNTBLANK(Metadata!B823:F823)=COLUMNS(Metadata!B823:F823)</f>
        <v>1</v>
      </c>
      <c r="O823" t="str">
        <v/>
      </c>
      <c r="Q823" t="b">
        <f ca="1"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R823" t="b">
        <f>IF(Metadata!C823="",FALSE,TRUE)</f>
        <v>0</v>
      </c>
      <c r="S823" t="b">
        <f>OR(AND(IF(Metadata!D823="",FALSE,TRUE),EXACT(Metadata!D823,"missing: not collected")),AND(IF(Metadata!D823="",FALSE,TRUE),OR(EXACT(Metadata!D823,"t"),EXACT(Metadata!D823,"f"))))</f>
        <v>0</v>
      </c>
      <c r="T823" t="b">
        <f>AND(IF(Metadata!E823="",FALSE,TRUE),OR(EXACT(Metadata!E823,"a"),EXACT(Metadata!E823,"b")))</f>
        <v>0</v>
      </c>
      <c r="U823" t="b">
        <f>OR(AND(IF(Metadata!F823="",FALSE,TRUE),OR(EXACT(Metadata!F823,"missing: not collected"),EXACT(Metadata!F823,"missing: not provided"))),AND(IF(Metadata!F823="",FALSE,TRUE),OR(EXACT(Metadata!F823,"lo"),EXACT(Metadata!F823,"med"),EXACT(Metadata!F823,"hi"))))</f>
        <v>0</v>
      </c>
    </row>
    <row r="824" spans="1:21" x14ac:dyDescent="0.2">
      <c r="A824" s="4" t="str">
        <f ca="1">IF(B824=" "," ",HYPERLINK(CONCATENATE("#metadata!",ADDRESS(INDEX($L$2:$L$1001,MATCH(ROWS($J$2:J824),$J$2:$J$1001,0),0),1)),INDEX($O$2:$O$1001,MATCH(ROWS($J$2:J824),$J$2:$J$1001,0),0)))</f>
        <v xml:space="preserve"> </v>
      </c>
      <c r="B824" s="3" t="str">
        <f ca="1">IF(OR(INDEX($K$2:$K$1001,MATCH(ROWS($J$2:J824),$J$2:$J$1001,0),1)&gt;=100000,INDEX($Q$1005:$U$1005,1,MATCH(COLUMNS($Q$1006:Q1006),$Q$1006:$U$1006,0))&gt;=100000), " ",IF(INDEX($Q$2:$U$1001,MATCH(ROWS($J$2:J824),$J$2:$J$1001,0),MATCH(COLUMNS($Q$1006:Q1006),$Q$1006:$U$1006,0)), HYPERLINK("#",""), HYPERLINK(CONCATENATE("#Metadata!", ADDRESS(INDEX($L$2:$L$1001,MATCH(ROWS($J$2:J824),$J$2:$J$1001,0),0), INDEX($Q$1004:$U$1004,1,MATCH(COLUMNS($Q$1006:Q1006),$Q$1006:$U$1006,0)))),"Fix")))</f>
        <v xml:space="preserve"> </v>
      </c>
      <c r="C824" s="3" t="str">
        <f ca="1">IF(OR(INDEX($K$2:$K$1001,MATCH(ROWS($J$2:J824),$J$2:$J$1001,0),1)&gt;=100000,INDEX($Q$1005:$U$1005,1,MATCH(COLUMNS($Q$1006:R1006),$Q$1006:$U$1006,0))&gt;=100000), " ",IF(INDEX($Q$2:$U$1001,MATCH(ROWS($J$2:J824),$J$2:$J$1001,0),MATCH(COLUMNS($Q$1006:R1006),$Q$1006:$U$1006,0)), HYPERLINK("#",""), HYPERLINK(CONCATENATE("#Metadata!", ADDRESS(INDEX($L$2:$L$1001,MATCH(ROWS($J$2:J824),$J$2:$J$1001,0),0), INDEX($Q$1004:$U$1004,1,MATCH(COLUMNS($Q$1006:R1006),$Q$1006:$U$1006,0)))),"Fix")))</f>
        <v xml:space="preserve"> </v>
      </c>
      <c r="D824" s="3" t="str">
        <f ca="1">IF(OR(INDEX($K$2:$K$1001,MATCH(ROWS($J$2:J824),$J$2:$J$1001,0),1)&gt;=100000,INDEX($Q$1005:$U$1005,1,MATCH(COLUMNS($Q$1006:S1006),$Q$1006:$U$1006,0))&gt;=100000), " ",IF(INDEX($Q$2:$U$1001,MATCH(ROWS($J$2:J824),$J$2:$J$1001,0),MATCH(COLUMNS($Q$1006:S1006),$Q$1006:$U$1006,0)), HYPERLINK("#",""), HYPERLINK(CONCATENATE("#Metadata!", ADDRESS(INDEX($L$2:$L$1001,MATCH(ROWS($J$2:J824),$J$2:$J$1001,0),0), INDEX($Q$1004:$U$1004,1,MATCH(COLUMNS($Q$1006:S1006),$Q$1006:$U$1006,0)))),"Fix")))</f>
        <v xml:space="preserve"> </v>
      </c>
      <c r="E824" s="3" t="str">
        <f ca="1">IF(OR(INDEX($K$2:$K$1001,MATCH(ROWS($J$2:J824),$J$2:$J$1001,0),1)&gt;=100000,INDEX($Q$1005:$U$1005,1,MATCH(COLUMNS($Q$1006:T1006),$Q$1006:$U$1006,0))&gt;=100000), " ",IF(INDEX($Q$2:$U$1001,MATCH(ROWS($J$2:J824),$J$2:$J$1001,0),MATCH(COLUMNS($Q$1006:T1006),$Q$1006:$U$1006,0)), HYPERLINK("#",""), HYPERLINK(CONCATENATE("#Metadata!", ADDRESS(INDEX($L$2:$L$1001,MATCH(ROWS($J$2:J824),$J$2:$J$1001,0),0), INDEX($Q$1004:$U$1004,1,MATCH(COLUMNS($Q$1006:T1006),$Q$1006:$U$1006,0)))),"Fix")))</f>
        <v xml:space="preserve"> </v>
      </c>
      <c r="F824" s="3" t="str">
        <f ca="1">IF(OR(INDEX($K$2:$K$1001,MATCH(ROWS($J$2:J824),$J$2:$J$1001,0),1)&gt;=100000,INDEX($Q$1005:$U$1005,1,MATCH(COLUMNS($Q$1006:U1006),$Q$1006:$U$1006,0))&gt;=100000), " ",IF(INDEX($Q$2:$U$1001,MATCH(ROWS($J$2:J824),$J$2:$J$1001,0),MATCH(COLUMNS($Q$1006:U1006),$Q$1006:$U$1006,0)), HYPERLINK("#",""), HYPERLINK(CONCATENATE("#Metadata!", ADDRESS(INDEX($L$2:$L$1001,MATCH(ROWS($J$2:J824),$J$2:$J$1001,0),0), INDEX($Q$1004:$U$1004,1,MATCH(COLUMNS($Q$1006:U1006),$Q$1006:$U$1006,0)))),"Fix")))</f>
        <v xml:space="preserve"> </v>
      </c>
      <c r="J824">
        <f ca="1"/>
        <v>823</v>
      </c>
      <c r="K824">
        <v>100824</v>
      </c>
      <c r="L824">
        <v>824</v>
      </c>
      <c r="M824" t="b">
        <f t="shared" si="12"/>
        <v>1</v>
      </c>
      <c r="N824" t="b">
        <f>COUNTBLANK(Metadata!B824:F824)=COLUMNS(Metadata!B824:F824)</f>
        <v>1</v>
      </c>
      <c r="O824" t="str">
        <v/>
      </c>
      <c r="Q824" t="b">
        <f ca="1"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R824" t="b">
        <f>IF(Metadata!C824="",FALSE,TRUE)</f>
        <v>0</v>
      </c>
      <c r="S824" t="b">
        <f>OR(AND(IF(Metadata!D824="",FALSE,TRUE),EXACT(Metadata!D824,"missing: not collected")),AND(IF(Metadata!D824="",FALSE,TRUE),OR(EXACT(Metadata!D824,"t"),EXACT(Metadata!D824,"f"))))</f>
        <v>0</v>
      </c>
      <c r="T824" t="b">
        <f>AND(IF(Metadata!E824="",FALSE,TRUE),OR(EXACT(Metadata!E824,"a"),EXACT(Metadata!E824,"b")))</f>
        <v>0</v>
      </c>
      <c r="U824" t="b">
        <f>OR(AND(IF(Metadata!F824="",FALSE,TRUE),OR(EXACT(Metadata!F824,"missing: not collected"),EXACT(Metadata!F824,"missing: not provided"))),AND(IF(Metadata!F824="",FALSE,TRUE),OR(EXACT(Metadata!F824,"lo"),EXACT(Metadata!F824,"med"),EXACT(Metadata!F824,"hi"))))</f>
        <v>0</v>
      </c>
    </row>
    <row r="825" spans="1:21" x14ac:dyDescent="0.2">
      <c r="A825" s="4" t="str">
        <f ca="1">IF(B825=" "," ",HYPERLINK(CONCATENATE("#metadata!",ADDRESS(INDEX($L$2:$L$1001,MATCH(ROWS($J$2:J825),$J$2:$J$1001,0),0),1)),INDEX($O$2:$O$1001,MATCH(ROWS($J$2:J825),$J$2:$J$1001,0),0)))</f>
        <v xml:space="preserve"> </v>
      </c>
      <c r="B825" s="3" t="str">
        <f ca="1">IF(OR(INDEX($K$2:$K$1001,MATCH(ROWS($J$2:J825),$J$2:$J$1001,0),1)&gt;=100000,INDEX($Q$1005:$U$1005,1,MATCH(COLUMNS($Q$1006:Q1006),$Q$1006:$U$1006,0))&gt;=100000), " ",IF(INDEX($Q$2:$U$1001,MATCH(ROWS($J$2:J825),$J$2:$J$1001,0),MATCH(COLUMNS($Q$1006:Q1006),$Q$1006:$U$1006,0)), HYPERLINK("#",""), HYPERLINK(CONCATENATE("#Metadata!", ADDRESS(INDEX($L$2:$L$1001,MATCH(ROWS($J$2:J825),$J$2:$J$1001,0),0), INDEX($Q$1004:$U$1004,1,MATCH(COLUMNS($Q$1006:Q1006),$Q$1006:$U$1006,0)))),"Fix")))</f>
        <v xml:space="preserve"> </v>
      </c>
      <c r="C825" s="3" t="str">
        <f ca="1">IF(OR(INDEX($K$2:$K$1001,MATCH(ROWS($J$2:J825),$J$2:$J$1001,0),1)&gt;=100000,INDEX($Q$1005:$U$1005,1,MATCH(COLUMNS($Q$1006:R1006),$Q$1006:$U$1006,0))&gt;=100000), " ",IF(INDEX($Q$2:$U$1001,MATCH(ROWS($J$2:J825),$J$2:$J$1001,0),MATCH(COLUMNS($Q$1006:R1006),$Q$1006:$U$1006,0)), HYPERLINK("#",""), HYPERLINK(CONCATENATE("#Metadata!", ADDRESS(INDEX($L$2:$L$1001,MATCH(ROWS($J$2:J825),$J$2:$J$1001,0),0), INDEX($Q$1004:$U$1004,1,MATCH(COLUMNS($Q$1006:R1006),$Q$1006:$U$1006,0)))),"Fix")))</f>
        <v xml:space="preserve"> </v>
      </c>
      <c r="D825" s="3" t="str">
        <f ca="1">IF(OR(INDEX($K$2:$K$1001,MATCH(ROWS($J$2:J825),$J$2:$J$1001,0),1)&gt;=100000,INDEX($Q$1005:$U$1005,1,MATCH(COLUMNS($Q$1006:S1006),$Q$1006:$U$1006,0))&gt;=100000), " ",IF(INDEX($Q$2:$U$1001,MATCH(ROWS($J$2:J825),$J$2:$J$1001,0),MATCH(COLUMNS($Q$1006:S1006),$Q$1006:$U$1006,0)), HYPERLINK("#",""), HYPERLINK(CONCATENATE("#Metadata!", ADDRESS(INDEX($L$2:$L$1001,MATCH(ROWS($J$2:J825),$J$2:$J$1001,0),0), INDEX($Q$1004:$U$1004,1,MATCH(COLUMNS($Q$1006:S1006),$Q$1006:$U$1006,0)))),"Fix")))</f>
        <v xml:space="preserve"> </v>
      </c>
      <c r="E825" s="3" t="str">
        <f ca="1">IF(OR(INDEX($K$2:$K$1001,MATCH(ROWS($J$2:J825),$J$2:$J$1001,0),1)&gt;=100000,INDEX($Q$1005:$U$1005,1,MATCH(COLUMNS($Q$1006:T1006),$Q$1006:$U$1006,0))&gt;=100000), " ",IF(INDEX($Q$2:$U$1001,MATCH(ROWS($J$2:J825),$J$2:$J$1001,0),MATCH(COLUMNS($Q$1006:T1006),$Q$1006:$U$1006,0)), HYPERLINK("#",""), HYPERLINK(CONCATENATE("#Metadata!", ADDRESS(INDEX($L$2:$L$1001,MATCH(ROWS($J$2:J825),$J$2:$J$1001,0),0), INDEX($Q$1004:$U$1004,1,MATCH(COLUMNS($Q$1006:T1006),$Q$1006:$U$1006,0)))),"Fix")))</f>
        <v xml:space="preserve"> </v>
      </c>
      <c r="F825" s="3" t="str">
        <f ca="1">IF(OR(INDEX($K$2:$K$1001,MATCH(ROWS($J$2:J825),$J$2:$J$1001,0),1)&gt;=100000,INDEX($Q$1005:$U$1005,1,MATCH(COLUMNS($Q$1006:U1006),$Q$1006:$U$1006,0))&gt;=100000), " ",IF(INDEX($Q$2:$U$1001,MATCH(ROWS($J$2:J825),$J$2:$J$1001,0),MATCH(COLUMNS($Q$1006:U1006),$Q$1006:$U$1006,0)), HYPERLINK("#",""), HYPERLINK(CONCATENATE("#Metadata!", ADDRESS(INDEX($L$2:$L$1001,MATCH(ROWS($J$2:J825),$J$2:$J$1001,0),0), INDEX($Q$1004:$U$1004,1,MATCH(COLUMNS($Q$1006:U1006),$Q$1006:$U$1006,0)))),"Fix")))</f>
        <v xml:space="preserve"> </v>
      </c>
      <c r="J825">
        <f ca="1"/>
        <v>824</v>
      </c>
      <c r="K825">
        <v>100825</v>
      </c>
      <c r="L825">
        <v>825</v>
      </c>
      <c r="M825" t="b">
        <f t="shared" si="12"/>
        <v>1</v>
      </c>
      <c r="N825" t="b">
        <f>COUNTBLANK(Metadata!B825:F825)=COLUMNS(Metadata!B825:F825)</f>
        <v>1</v>
      </c>
      <c r="O825" t="str">
        <v/>
      </c>
      <c r="Q825" t="b">
        <f ca="1"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R825" t="b">
        <f>IF(Metadata!C825="",FALSE,TRUE)</f>
        <v>0</v>
      </c>
      <c r="S825" t="b">
        <f>OR(AND(IF(Metadata!D825="",FALSE,TRUE),EXACT(Metadata!D825,"missing: not collected")),AND(IF(Metadata!D825="",FALSE,TRUE),OR(EXACT(Metadata!D825,"t"),EXACT(Metadata!D825,"f"))))</f>
        <v>0</v>
      </c>
      <c r="T825" t="b">
        <f>AND(IF(Metadata!E825="",FALSE,TRUE),OR(EXACT(Metadata!E825,"a"),EXACT(Metadata!E825,"b")))</f>
        <v>0</v>
      </c>
      <c r="U825" t="b">
        <f>OR(AND(IF(Metadata!F825="",FALSE,TRUE),OR(EXACT(Metadata!F825,"missing: not collected"),EXACT(Metadata!F825,"missing: not provided"))),AND(IF(Metadata!F825="",FALSE,TRUE),OR(EXACT(Metadata!F825,"lo"),EXACT(Metadata!F825,"med"),EXACT(Metadata!F825,"hi"))))</f>
        <v>0</v>
      </c>
    </row>
    <row r="826" spans="1:21" x14ac:dyDescent="0.2">
      <c r="A826" s="4" t="str">
        <f ca="1">IF(B826=" "," ",HYPERLINK(CONCATENATE("#metadata!",ADDRESS(INDEX($L$2:$L$1001,MATCH(ROWS($J$2:J826),$J$2:$J$1001,0),0),1)),INDEX($O$2:$O$1001,MATCH(ROWS($J$2:J826),$J$2:$J$1001,0),0)))</f>
        <v xml:space="preserve"> </v>
      </c>
      <c r="B826" s="3" t="str">
        <f ca="1">IF(OR(INDEX($K$2:$K$1001,MATCH(ROWS($J$2:J826),$J$2:$J$1001,0),1)&gt;=100000,INDEX($Q$1005:$U$1005,1,MATCH(COLUMNS($Q$1006:Q1006),$Q$1006:$U$1006,0))&gt;=100000), " ",IF(INDEX($Q$2:$U$1001,MATCH(ROWS($J$2:J826),$J$2:$J$1001,0),MATCH(COLUMNS($Q$1006:Q1006),$Q$1006:$U$1006,0)), HYPERLINK("#",""), HYPERLINK(CONCATENATE("#Metadata!", ADDRESS(INDEX($L$2:$L$1001,MATCH(ROWS($J$2:J826),$J$2:$J$1001,0),0), INDEX($Q$1004:$U$1004,1,MATCH(COLUMNS($Q$1006:Q1006),$Q$1006:$U$1006,0)))),"Fix")))</f>
        <v xml:space="preserve"> </v>
      </c>
      <c r="C826" s="3" t="str">
        <f ca="1">IF(OR(INDEX($K$2:$K$1001,MATCH(ROWS($J$2:J826),$J$2:$J$1001,0),1)&gt;=100000,INDEX($Q$1005:$U$1005,1,MATCH(COLUMNS($Q$1006:R1006),$Q$1006:$U$1006,0))&gt;=100000), " ",IF(INDEX($Q$2:$U$1001,MATCH(ROWS($J$2:J826),$J$2:$J$1001,0),MATCH(COLUMNS($Q$1006:R1006),$Q$1006:$U$1006,0)), HYPERLINK("#",""), HYPERLINK(CONCATENATE("#Metadata!", ADDRESS(INDEX($L$2:$L$1001,MATCH(ROWS($J$2:J826),$J$2:$J$1001,0),0), INDEX($Q$1004:$U$1004,1,MATCH(COLUMNS($Q$1006:R1006),$Q$1006:$U$1006,0)))),"Fix")))</f>
        <v xml:space="preserve"> </v>
      </c>
      <c r="D826" s="3" t="str">
        <f ca="1">IF(OR(INDEX($K$2:$K$1001,MATCH(ROWS($J$2:J826),$J$2:$J$1001,0),1)&gt;=100000,INDEX($Q$1005:$U$1005,1,MATCH(COLUMNS($Q$1006:S1006),$Q$1006:$U$1006,0))&gt;=100000), " ",IF(INDEX($Q$2:$U$1001,MATCH(ROWS($J$2:J826),$J$2:$J$1001,0),MATCH(COLUMNS($Q$1006:S1006),$Q$1006:$U$1006,0)), HYPERLINK("#",""), HYPERLINK(CONCATENATE("#Metadata!", ADDRESS(INDEX($L$2:$L$1001,MATCH(ROWS($J$2:J826),$J$2:$J$1001,0),0), INDEX($Q$1004:$U$1004,1,MATCH(COLUMNS($Q$1006:S1006),$Q$1006:$U$1006,0)))),"Fix")))</f>
        <v xml:space="preserve"> </v>
      </c>
      <c r="E826" s="3" t="str">
        <f ca="1">IF(OR(INDEX($K$2:$K$1001,MATCH(ROWS($J$2:J826),$J$2:$J$1001,0),1)&gt;=100000,INDEX($Q$1005:$U$1005,1,MATCH(COLUMNS($Q$1006:T1006),$Q$1006:$U$1006,0))&gt;=100000), " ",IF(INDEX($Q$2:$U$1001,MATCH(ROWS($J$2:J826),$J$2:$J$1001,0),MATCH(COLUMNS($Q$1006:T1006),$Q$1006:$U$1006,0)), HYPERLINK("#",""), HYPERLINK(CONCATENATE("#Metadata!", ADDRESS(INDEX($L$2:$L$1001,MATCH(ROWS($J$2:J826),$J$2:$J$1001,0),0), INDEX($Q$1004:$U$1004,1,MATCH(COLUMNS($Q$1006:T1006),$Q$1006:$U$1006,0)))),"Fix")))</f>
        <v xml:space="preserve"> </v>
      </c>
      <c r="F826" s="3" t="str">
        <f ca="1">IF(OR(INDEX($K$2:$K$1001,MATCH(ROWS($J$2:J826),$J$2:$J$1001,0),1)&gt;=100000,INDEX($Q$1005:$U$1005,1,MATCH(COLUMNS($Q$1006:U1006),$Q$1006:$U$1006,0))&gt;=100000), " ",IF(INDEX($Q$2:$U$1001,MATCH(ROWS($J$2:J826),$J$2:$J$1001,0),MATCH(COLUMNS($Q$1006:U1006),$Q$1006:$U$1006,0)), HYPERLINK("#",""), HYPERLINK(CONCATENATE("#Metadata!", ADDRESS(INDEX($L$2:$L$1001,MATCH(ROWS($J$2:J826),$J$2:$J$1001,0),0), INDEX($Q$1004:$U$1004,1,MATCH(COLUMNS($Q$1006:U1006),$Q$1006:$U$1006,0)))),"Fix")))</f>
        <v xml:space="preserve"> </v>
      </c>
      <c r="J826">
        <f ca="1"/>
        <v>825</v>
      </c>
      <c r="K826">
        <v>100826</v>
      </c>
      <c r="L826">
        <v>826</v>
      </c>
      <c r="M826" t="b">
        <f t="shared" si="12"/>
        <v>1</v>
      </c>
      <c r="N826" t="b">
        <f>COUNTBLANK(Metadata!B826:F826)=COLUMNS(Metadata!B826:F826)</f>
        <v>1</v>
      </c>
      <c r="O826" t="str">
        <v/>
      </c>
      <c r="Q826" t="b">
        <f ca="1"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R826" t="b">
        <f>IF(Metadata!C826="",FALSE,TRUE)</f>
        <v>0</v>
      </c>
      <c r="S826" t="b">
        <f>OR(AND(IF(Metadata!D826="",FALSE,TRUE),EXACT(Metadata!D826,"missing: not collected")),AND(IF(Metadata!D826="",FALSE,TRUE),OR(EXACT(Metadata!D826,"t"),EXACT(Metadata!D826,"f"))))</f>
        <v>0</v>
      </c>
      <c r="T826" t="b">
        <f>AND(IF(Metadata!E826="",FALSE,TRUE),OR(EXACT(Metadata!E826,"a"),EXACT(Metadata!E826,"b")))</f>
        <v>0</v>
      </c>
      <c r="U826" t="b">
        <f>OR(AND(IF(Metadata!F826="",FALSE,TRUE),OR(EXACT(Metadata!F826,"missing: not collected"),EXACT(Metadata!F826,"missing: not provided"))),AND(IF(Metadata!F826="",FALSE,TRUE),OR(EXACT(Metadata!F826,"lo"),EXACT(Metadata!F826,"med"),EXACT(Metadata!F826,"hi"))))</f>
        <v>0</v>
      </c>
    </row>
    <row r="827" spans="1:21" x14ac:dyDescent="0.2">
      <c r="A827" s="4" t="str">
        <f ca="1">IF(B827=" "," ",HYPERLINK(CONCATENATE("#metadata!",ADDRESS(INDEX($L$2:$L$1001,MATCH(ROWS($J$2:J827),$J$2:$J$1001,0),0),1)),INDEX($O$2:$O$1001,MATCH(ROWS($J$2:J827),$J$2:$J$1001,0),0)))</f>
        <v xml:space="preserve"> </v>
      </c>
      <c r="B827" s="3" t="str">
        <f ca="1">IF(OR(INDEX($K$2:$K$1001,MATCH(ROWS($J$2:J827),$J$2:$J$1001,0),1)&gt;=100000,INDEX($Q$1005:$U$1005,1,MATCH(COLUMNS($Q$1006:Q1006),$Q$1006:$U$1006,0))&gt;=100000), " ",IF(INDEX($Q$2:$U$1001,MATCH(ROWS($J$2:J827),$J$2:$J$1001,0),MATCH(COLUMNS($Q$1006:Q1006),$Q$1006:$U$1006,0)), HYPERLINK("#",""), HYPERLINK(CONCATENATE("#Metadata!", ADDRESS(INDEX($L$2:$L$1001,MATCH(ROWS($J$2:J827),$J$2:$J$1001,0),0), INDEX($Q$1004:$U$1004,1,MATCH(COLUMNS($Q$1006:Q1006),$Q$1006:$U$1006,0)))),"Fix")))</f>
        <v xml:space="preserve"> </v>
      </c>
      <c r="C827" s="3" t="str">
        <f ca="1">IF(OR(INDEX($K$2:$K$1001,MATCH(ROWS($J$2:J827),$J$2:$J$1001,0),1)&gt;=100000,INDEX($Q$1005:$U$1005,1,MATCH(COLUMNS($Q$1006:R1006),$Q$1006:$U$1006,0))&gt;=100000), " ",IF(INDEX($Q$2:$U$1001,MATCH(ROWS($J$2:J827),$J$2:$J$1001,0),MATCH(COLUMNS($Q$1006:R1006),$Q$1006:$U$1006,0)), HYPERLINK("#",""), HYPERLINK(CONCATENATE("#Metadata!", ADDRESS(INDEX($L$2:$L$1001,MATCH(ROWS($J$2:J827),$J$2:$J$1001,0),0), INDEX($Q$1004:$U$1004,1,MATCH(COLUMNS($Q$1006:R1006),$Q$1006:$U$1006,0)))),"Fix")))</f>
        <v xml:space="preserve"> </v>
      </c>
      <c r="D827" s="3" t="str">
        <f ca="1">IF(OR(INDEX($K$2:$K$1001,MATCH(ROWS($J$2:J827),$J$2:$J$1001,0),1)&gt;=100000,INDEX($Q$1005:$U$1005,1,MATCH(COLUMNS($Q$1006:S1006),$Q$1006:$U$1006,0))&gt;=100000), " ",IF(INDEX($Q$2:$U$1001,MATCH(ROWS($J$2:J827),$J$2:$J$1001,0),MATCH(COLUMNS($Q$1006:S1006),$Q$1006:$U$1006,0)), HYPERLINK("#",""), HYPERLINK(CONCATENATE("#Metadata!", ADDRESS(INDEX($L$2:$L$1001,MATCH(ROWS($J$2:J827),$J$2:$J$1001,0),0), INDEX($Q$1004:$U$1004,1,MATCH(COLUMNS($Q$1006:S1006),$Q$1006:$U$1006,0)))),"Fix")))</f>
        <v xml:space="preserve"> </v>
      </c>
      <c r="E827" s="3" t="str">
        <f ca="1">IF(OR(INDEX($K$2:$K$1001,MATCH(ROWS($J$2:J827),$J$2:$J$1001,0),1)&gt;=100000,INDEX($Q$1005:$U$1005,1,MATCH(COLUMNS($Q$1006:T1006),$Q$1006:$U$1006,0))&gt;=100000), " ",IF(INDEX($Q$2:$U$1001,MATCH(ROWS($J$2:J827),$J$2:$J$1001,0),MATCH(COLUMNS($Q$1006:T1006),$Q$1006:$U$1006,0)), HYPERLINK("#",""), HYPERLINK(CONCATENATE("#Metadata!", ADDRESS(INDEX($L$2:$L$1001,MATCH(ROWS($J$2:J827),$J$2:$J$1001,0),0), INDEX($Q$1004:$U$1004,1,MATCH(COLUMNS($Q$1006:T1006),$Q$1006:$U$1006,0)))),"Fix")))</f>
        <v xml:space="preserve"> </v>
      </c>
      <c r="F827" s="3" t="str">
        <f ca="1">IF(OR(INDEX($K$2:$K$1001,MATCH(ROWS($J$2:J827),$J$2:$J$1001,0),1)&gt;=100000,INDEX($Q$1005:$U$1005,1,MATCH(COLUMNS($Q$1006:U1006),$Q$1006:$U$1006,0))&gt;=100000), " ",IF(INDEX($Q$2:$U$1001,MATCH(ROWS($J$2:J827),$J$2:$J$1001,0),MATCH(COLUMNS($Q$1006:U1006),$Q$1006:$U$1006,0)), HYPERLINK("#",""), HYPERLINK(CONCATENATE("#Metadata!", ADDRESS(INDEX($L$2:$L$1001,MATCH(ROWS($J$2:J827),$J$2:$J$1001,0),0), INDEX($Q$1004:$U$1004,1,MATCH(COLUMNS($Q$1006:U1006),$Q$1006:$U$1006,0)))),"Fix")))</f>
        <v xml:space="preserve"> </v>
      </c>
      <c r="J827">
        <f ca="1"/>
        <v>826</v>
      </c>
      <c r="K827">
        <v>100827</v>
      </c>
      <c r="L827">
        <v>827</v>
      </c>
      <c r="M827" t="b">
        <f t="shared" si="12"/>
        <v>1</v>
      </c>
      <c r="N827" t="b">
        <f>COUNTBLANK(Metadata!B827:F827)=COLUMNS(Metadata!B827:F827)</f>
        <v>1</v>
      </c>
      <c r="O827" t="str">
        <v/>
      </c>
      <c r="Q827" t="b">
        <f ca="1"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R827" t="b">
        <f>IF(Metadata!C827="",FALSE,TRUE)</f>
        <v>0</v>
      </c>
      <c r="S827" t="b">
        <f>OR(AND(IF(Metadata!D827="",FALSE,TRUE),EXACT(Metadata!D827,"missing: not collected")),AND(IF(Metadata!D827="",FALSE,TRUE),OR(EXACT(Metadata!D827,"t"),EXACT(Metadata!D827,"f"))))</f>
        <v>0</v>
      </c>
      <c r="T827" t="b">
        <f>AND(IF(Metadata!E827="",FALSE,TRUE),OR(EXACT(Metadata!E827,"a"),EXACT(Metadata!E827,"b")))</f>
        <v>0</v>
      </c>
      <c r="U827" t="b">
        <f>OR(AND(IF(Metadata!F827="",FALSE,TRUE),OR(EXACT(Metadata!F827,"missing: not collected"),EXACT(Metadata!F827,"missing: not provided"))),AND(IF(Metadata!F827="",FALSE,TRUE),OR(EXACT(Metadata!F827,"lo"),EXACT(Metadata!F827,"med"),EXACT(Metadata!F827,"hi"))))</f>
        <v>0</v>
      </c>
    </row>
    <row r="828" spans="1:21" x14ac:dyDescent="0.2">
      <c r="A828" s="4" t="str">
        <f ca="1">IF(B828=" "," ",HYPERLINK(CONCATENATE("#metadata!",ADDRESS(INDEX($L$2:$L$1001,MATCH(ROWS($J$2:J828),$J$2:$J$1001,0),0),1)),INDEX($O$2:$O$1001,MATCH(ROWS($J$2:J828),$J$2:$J$1001,0),0)))</f>
        <v xml:space="preserve"> </v>
      </c>
      <c r="B828" s="3" t="str">
        <f ca="1">IF(OR(INDEX($K$2:$K$1001,MATCH(ROWS($J$2:J828),$J$2:$J$1001,0),1)&gt;=100000,INDEX($Q$1005:$U$1005,1,MATCH(COLUMNS($Q$1006:Q1006),$Q$1006:$U$1006,0))&gt;=100000), " ",IF(INDEX($Q$2:$U$1001,MATCH(ROWS($J$2:J828),$J$2:$J$1001,0),MATCH(COLUMNS($Q$1006:Q1006),$Q$1006:$U$1006,0)), HYPERLINK("#",""), HYPERLINK(CONCATENATE("#Metadata!", ADDRESS(INDEX($L$2:$L$1001,MATCH(ROWS($J$2:J828),$J$2:$J$1001,0),0), INDEX($Q$1004:$U$1004,1,MATCH(COLUMNS($Q$1006:Q1006),$Q$1006:$U$1006,0)))),"Fix")))</f>
        <v xml:space="preserve"> </v>
      </c>
      <c r="C828" s="3" t="str">
        <f ca="1">IF(OR(INDEX($K$2:$K$1001,MATCH(ROWS($J$2:J828),$J$2:$J$1001,0),1)&gt;=100000,INDEX($Q$1005:$U$1005,1,MATCH(COLUMNS($Q$1006:R1006),$Q$1006:$U$1006,0))&gt;=100000), " ",IF(INDEX($Q$2:$U$1001,MATCH(ROWS($J$2:J828),$J$2:$J$1001,0),MATCH(COLUMNS($Q$1006:R1006),$Q$1006:$U$1006,0)), HYPERLINK("#",""), HYPERLINK(CONCATENATE("#Metadata!", ADDRESS(INDEX($L$2:$L$1001,MATCH(ROWS($J$2:J828),$J$2:$J$1001,0),0), INDEX($Q$1004:$U$1004,1,MATCH(COLUMNS($Q$1006:R1006),$Q$1006:$U$1006,0)))),"Fix")))</f>
        <v xml:space="preserve"> </v>
      </c>
      <c r="D828" s="3" t="str">
        <f ca="1">IF(OR(INDEX($K$2:$K$1001,MATCH(ROWS($J$2:J828),$J$2:$J$1001,0),1)&gt;=100000,INDEX($Q$1005:$U$1005,1,MATCH(COLUMNS($Q$1006:S1006),$Q$1006:$U$1006,0))&gt;=100000), " ",IF(INDEX($Q$2:$U$1001,MATCH(ROWS($J$2:J828),$J$2:$J$1001,0),MATCH(COLUMNS($Q$1006:S1006),$Q$1006:$U$1006,0)), HYPERLINK("#",""), HYPERLINK(CONCATENATE("#Metadata!", ADDRESS(INDEX($L$2:$L$1001,MATCH(ROWS($J$2:J828),$J$2:$J$1001,0),0), INDEX($Q$1004:$U$1004,1,MATCH(COLUMNS($Q$1006:S1006),$Q$1006:$U$1006,0)))),"Fix")))</f>
        <v xml:space="preserve"> </v>
      </c>
      <c r="E828" s="3" t="str">
        <f ca="1">IF(OR(INDEX($K$2:$K$1001,MATCH(ROWS($J$2:J828),$J$2:$J$1001,0),1)&gt;=100000,INDEX($Q$1005:$U$1005,1,MATCH(COLUMNS($Q$1006:T1006),$Q$1006:$U$1006,0))&gt;=100000), " ",IF(INDEX($Q$2:$U$1001,MATCH(ROWS($J$2:J828),$J$2:$J$1001,0),MATCH(COLUMNS($Q$1006:T1006),$Q$1006:$U$1006,0)), HYPERLINK("#",""), HYPERLINK(CONCATENATE("#Metadata!", ADDRESS(INDEX($L$2:$L$1001,MATCH(ROWS($J$2:J828),$J$2:$J$1001,0),0), INDEX($Q$1004:$U$1004,1,MATCH(COLUMNS($Q$1006:T1006),$Q$1006:$U$1006,0)))),"Fix")))</f>
        <v xml:space="preserve"> </v>
      </c>
      <c r="F828" s="3" t="str">
        <f ca="1">IF(OR(INDEX($K$2:$K$1001,MATCH(ROWS($J$2:J828),$J$2:$J$1001,0),1)&gt;=100000,INDEX($Q$1005:$U$1005,1,MATCH(COLUMNS($Q$1006:U1006),$Q$1006:$U$1006,0))&gt;=100000), " ",IF(INDEX($Q$2:$U$1001,MATCH(ROWS($J$2:J828),$J$2:$J$1001,0),MATCH(COLUMNS($Q$1006:U1006),$Q$1006:$U$1006,0)), HYPERLINK("#",""), HYPERLINK(CONCATENATE("#Metadata!", ADDRESS(INDEX($L$2:$L$1001,MATCH(ROWS($J$2:J828),$J$2:$J$1001,0),0), INDEX($Q$1004:$U$1004,1,MATCH(COLUMNS($Q$1006:U1006),$Q$1006:$U$1006,0)))),"Fix")))</f>
        <v xml:space="preserve"> </v>
      </c>
      <c r="J828">
        <f ca="1"/>
        <v>827</v>
      </c>
      <c r="K828">
        <v>100828</v>
      </c>
      <c r="L828">
        <v>828</v>
      </c>
      <c r="M828" t="b">
        <f t="shared" si="12"/>
        <v>1</v>
      </c>
      <c r="N828" t="b">
        <f>COUNTBLANK(Metadata!B828:F828)=COLUMNS(Metadata!B828:F828)</f>
        <v>1</v>
      </c>
      <c r="O828" t="str">
        <v/>
      </c>
      <c r="Q828" t="b">
        <f ca="1"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R828" t="b">
        <f>IF(Metadata!C828="",FALSE,TRUE)</f>
        <v>0</v>
      </c>
      <c r="S828" t="b">
        <f>OR(AND(IF(Metadata!D828="",FALSE,TRUE),EXACT(Metadata!D828,"missing: not collected")),AND(IF(Metadata!D828="",FALSE,TRUE),OR(EXACT(Metadata!D828,"t"),EXACT(Metadata!D828,"f"))))</f>
        <v>0</v>
      </c>
      <c r="T828" t="b">
        <f>AND(IF(Metadata!E828="",FALSE,TRUE),OR(EXACT(Metadata!E828,"a"),EXACT(Metadata!E828,"b")))</f>
        <v>0</v>
      </c>
      <c r="U828" t="b">
        <f>OR(AND(IF(Metadata!F828="",FALSE,TRUE),OR(EXACT(Metadata!F828,"missing: not collected"),EXACT(Metadata!F828,"missing: not provided"))),AND(IF(Metadata!F828="",FALSE,TRUE),OR(EXACT(Metadata!F828,"lo"),EXACT(Metadata!F828,"med"),EXACT(Metadata!F828,"hi"))))</f>
        <v>0</v>
      </c>
    </row>
    <row r="829" spans="1:21" x14ac:dyDescent="0.2">
      <c r="A829" s="4" t="str">
        <f ca="1">IF(B829=" "," ",HYPERLINK(CONCATENATE("#metadata!",ADDRESS(INDEX($L$2:$L$1001,MATCH(ROWS($J$2:J829),$J$2:$J$1001,0),0),1)),INDEX($O$2:$O$1001,MATCH(ROWS($J$2:J829),$J$2:$J$1001,0),0)))</f>
        <v xml:space="preserve"> </v>
      </c>
      <c r="B829" s="3" t="str">
        <f ca="1">IF(OR(INDEX($K$2:$K$1001,MATCH(ROWS($J$2:J829),$J$2:$J$1001,0),1)&gt;=100000,INDEX($Q$1005:$U$1005,1,MATCH(COLUMNS($Q$1006:Q1006),$Q$1006:$U$1006,0))&gt;=100000), " ",IF(INDEX($Q$2:$U$1001,MATCH(ROWS($J$2:J829),$J$2:$J$1001,0),MATCH(COLUMNS($Q$1006:Q1006),$Q$1006:$U$1006,0)), HYPERLINK("#",""), HYPERLINK(CONCATENATE("#Metadata!", ADDRESS(INDEX($L$2:$L$1001,MATCH(ROWS($J$2:J829),$J$2:$J$1001,0),0), INDEX($Q$1004:$U$1004,1,MATCH(COLUMNS($Q$1006:Q1006),$Q$1006:$U$1006,0)))),"Fix")))</f>
        <v xml:space="preserve"> </v>
      </c>
      <c r="C829" s="3" t="str">
        <f ca="1">IF(OR(INDEX($K$2:$K$1001,MATCH(ROWS($J$2:J829),$J$2:$J$1001,0),1)&gt;=100000,INDEX($Q$1005:$U$1005,1,MATCH(COLUMNS($Q$1006:R1006),$Q$1006:$U$1006,0))&gt;=100000), " ",IF(INDEX($Q$2:$U$1001,MATCH(ROWS($J$2:J829),$J$2:$J$1001,0),MATCH(COLUMNS($Q$1006:R1006),$Q$1006:$U$1006,0)), HYPERLINK("#",""), HYPERLINK(CONCATENATE("#Metadata!", ADDRESS(INDEX($L$2:$L$1001,MATCH(ROWS($J$2:J829),$J$2:$J$1001,0),0), INDEX($Q$1004:$U$1004,1,MATCH(COLUMNS($Q$1006:R1006),$Q$1006:$U$1006,0)))),"Fix")))</f>
        <v xml:space="preserve"> </v>
      </c>
      <c r="D829" s="3" t="str">
        <f ca="1">IF(OR(INDEX($K$2:$K$1001,MATCH(ROWS($J$2:J829),$J$2:$J$1001,0),1)&gt;=100000,INDEX($Q$1005:$U$1005,1,MATCH(COLUMNS($Q$1006:S1006),$Q$1006:$U$1006,0))&gt;=100000), " ",IF(INDEX($Q$2:$U$1001,MATCH(ROWS($J$2:J829),$J$2:$J$1001,0),MATCH(COLUMNS($Q$1006:S1006),$Q$1006:$U$1006,0)), HYPERLINK("#",""), HYPERLINK(CONCATENATE("#Metadata!", ADDRESS(INDEX($L$2:$L$1001,MATCH(ROWS($J$2:J829),$J$2:$J$1001,0),0), INDEX($Q$1004:$U$1004,1,MATCH(COLUMNS($Q$1006:S1006),$Q$1006:$U$1006,0)))),"Fix")))</f>
        <v xml:space="preserve"> </v>
      </c>
      <c r="E829" s="3" t="str">
        <f ca="1">IF(OR(INDEX($K$2:$K$1001,MATCH(ROWS($J$2:J829),$J$2:$J$1001,0),1)&gt;=100000,INDEX($Q$1005:$U$1005,1,MATCH(COLUMNS($Q$1006:T1006),$Q$1006:$U$1006,0))&gt;=100000), " ",IF(INDEX($Q$2:$U$1001,MATCH(ROWS($J$2:J829),$J$2:$J$1001,0),MATCH(COLUMNS($Q$1006:T1006),$Q$1006:$U$1006,0)), HYPERLINK("#",""), HYPERLINK(CONCATENATE("#Metadata!", ADDRESS(INDEX($L$2:$L$1001,MATCH(ROWS($J$2:J829),$J$2:$J$1001,0),0), INDEX($Q$1004:$U$1004,1,MATCH(COLUMNS($Q$1006:T1006),$Q$1006:$U$1006,0)))),"Fix")))</f>
        <v xml:space="preserve"> </v>
      </c>
      <c r="F829" s="3" t="str">
        <f ca="1">IF(OR(INDEX($K$2:$K$1001,MATCH(ROWS($J$2:J829),$J$2:$J$1001,0),1)&gt;=100000,INDEX($Q$1005:$U$1005,1,MATCH(COLUMNS($Q$1006:U1006),$Q$1006:$U$1006,0))&gt;=100000), " ",IF(INDEX($Q$2:$U$1001,MATCH(ROWS($J$2:J829),$J$2:$J$1001,0),MATCH(COLUMNS($Q$1006:U1006),$Q$1006:$U$1006,0)), HYPERLINK("#",""), HYPERLINK(CONCATENATE("#Metadata!", ADDRESS(INDEX($L$2:$L$1001,MATCH(ROWS($J$2:J829),$J$2:$J$1001,0),0), INDEX($Q$1004:$U$1004,1,MATCH(COLUMNS($Q$1006:U1006),$Q$1006:$U$1006,0)))),"Fix")))</f>
        <v xml:space="preserve"> </v>
      </c>
      <c r="J829">
        <f ca="1"/>
        <v>828</v>
      </c>
      <c r="K829">
        <v>100829</v>
      </c>
      <c r="L829">
        <v>829</v>
      </c>
      <c r="M829" t="b">
        <f t="shared" si="12"/>
        <v>1</v>
      </c>
      <c r="N829" t="b">
        <f>COUNTBLANK(Metadata!B829:F829)=COLUMNS(Metadata!B829:F829)</f>
        <v>1</v>
      </c>
      <c r="O829" t="str">
        <v/>
      </c>
      <c r="Q829" t="b">
        <f ca="1"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R829" t="b">
        <f>IF(Metadata!C829="",FALSE,TRUE)</f>
        <v>0</v>
      </c>
      <c r="S829" t="b">
        <f>OR(AND(IF(Metadata!D829="",FALSE,TRUE),EXACT(Metadata!D829,"missing: not collected")),AND(IF(Metadata!D829="",FALSE,TRUE),OR(EXACT(Metadata!D829,"t"),EXACT(Metadata!D829,"f"))))</f>
        <v>0</v>
      </c>
      <c r="T829" t="b">
        <f>AND(IF(Metadata!E829="",FALSE,TRUE),OR(EXACT(Metadata!E829,"a"),EXACT(Metadata!E829,"b")))</f>
        <v>0</v>
      </c>
      <c r="U829" t="b">
        <f>OR(AND(IF(Metadata!F829="",FALSE,TRUE),OR(EXACT(Metadata!F829,"missing: not collected"),EXACT(Metadata!F829,"missing: not provided"))),AND(IF(Metadata!F829="",FALSE,TRUE),OR(EXACT(Metadata!F829,"lo"),EXACT(Metadata!F829,"med"),EXACT(Metadata!F829,"hi"))))</f>
        <v>0</v>
      </c>
    </row>
    <row r="830" spans="1:21" x14ac:dyDescent="0.2">
      <c r="A830" s="4" t="str">
        <f ca="1">IF(B830=" "," ",HYPERLINK(CONCATENATE("#metadata!",ADDRESS(INDEX($L$2:$L$1001,MATCH(ROWS($J$2:J830),$J$2:$J$1001,0),0),1)),INDEX($O$2:$O$1001,MATCH(ROWS($J$2:J830),$J$2:$J$1001,0),0)))</f>
        <v xml:space="preserve"> </v>
      </c>
      <c r="B830" s="3" t="str">
        <f ca="1">IF(OR(INDEX($K$2:$K$1001,MATCH(ROWS($J$2:J830),$J$2:$J$1001,0),1)&gt;=100000,INDEX($Q$1005:$U$1005,1,MATCH(COLUMNS($Q$1006:Q1006),$Q$1006:$U$1006,0))&gt;=100000), " ",IF(INDEX($Q$2:$U$1001,MATCH(ROWS($J$2:J830),$J$2:$J$1001,0),MATCH(COLUMNS($Q$1006:Q1006),$Q$1006:$U$1006,0)), HYPERLINK("#",""), HYPERLINK(CONCATENATE("#Metadata!", ADDRESS(INDEX($L$2:$L$1001,MATCH(ROWS($J$2:J830),$J$2:$J$1001,0),0), INDEX($Q$1004:$U$1004,1,MATCH(COLUMNS($Q$1006:Q1006),$Q$1006:$U$1006,0)))),"Fix")))</f>
        <v xml:space="preserve"> </v>
      </c>
      <c r="C830" s="3" t="str">
        <f ca="1">IF(OR(INDEX($K$2:$K$1001,MATCH(ROWS($J$2:J830),$J$2:$J$1001,0),1)&gt;=100000,INDEX($Q$1005:$U$1005,1,MATCH(COLUMNS($Q$1006:R1006),$Q$1006:$U$1006,0))&gt;=100000), " ",IF(INDEX($Q$2:$U$1001,MATCH(ROWS($J$2:J830),$J$2:$J$1001,0),MATCH(COLUMNS($Q$1006:R1006),$Q$1006:$U$1006,0)), HYPERLINK("#",""), HYPERLINK(CONCATENATE("#Metadata!", ADDRESS(INDEX($L$2:$L$1001,MATCH(ROWS($J$2:J830),$J$2:$J$1001,0),0), INDEX($Q$1004:$U$1004,1,MATCH(COLUMNS($Q$1006:R1006),$Q$1006:$U$1006,0)))),"Fix")))</f>
        <v xml:space="preserve"> </v>
      </c>
      <c r="D830" s="3" t="str">
        <f ca="1">IF(OR(INDEX($K$2:$K$1001,MATCH(ROWS($J$2:J830),$J$2:$J$1001,0),1)&gt;=100000,INDEX($Q$1005:$U$1005,1,MATCH(COLUMNS($Q$1006:S1006),$Q$1006:$U$1006,0))&gt;=100000), " ",IF(INDEX($Q$2:$U$1001,MATCH(ROWS($J$2:J830),$J$2:$J$1001,0),MATCH(COLUMNS($Q$1006:S1006),$Q$1006:$U$1006,0)), HYPERLINK("#",""), HYPERLINK(CONCATENATE("#Metadata!", ADDRESS(INDEX($L$2:$L$1001,MATCH(ROWS($J$2:J830),$J$2:$J$1001,0),0), INDEX($Q$1004:$U$1004,1,MATCH(COLUMNS($Q$1006:S1006),$Q$1006:$U$1006,0)))),"Fix")))</f>
        <v xml:space="preserve"> </v>
      </c>
      <c r="E830" s="3" t="str">
        <f ca="1">IF(OR(INDEX($K$2:$K$1001,MATCH(ROWS($J$2:J830),$J$2:$J$1001,0),1)&gt;=100000,INDEX($Q$1005:$U$1005,1,MATCH(COLUMNS($Q$1006:T1006),$Q$1006:$U$1006,0))&gt;=100000), " ",IF(INDEX($Q$2:$U$1001,MATCH(ROWS($J$2:J830),$J$2:$J$1001,0),MATCH(COLUMNS($Q$1006:T1006),$Q$1006:$U$1006,0)), HYPERLINK("#",""), HYPERLINK(CONCATENATE("#Metadata!", ADDRESS(INDEX($L$2:$L$1001,MATCH(ROWS($J$2:J830),$J$2:$J$1001,0),0), INDEX($Q$1004:$U$1004,1,MATCH(COLUMNS($Q$1006:T1006),$Q$1006:$U$1006,0)))),"Fix")))</f>
        <v xml:space="preserve"> </v>
      </c>
      <c r="F830" s="3" t="str">
        <f ca="1">IF(OR(INDEX($K$2:$K$1001,MATCH(ROWS($J$2:J830),$J$2:$J$1001,0),1)&gt;=100000,INDEX($Q$1005:$U$1005,1,MATCH(COLUMNS($Q$1006:U1006),$Q$1006:$U$1006,0))&gt;=100000), " ",IF(INDEX($Q$2:$U$1001,MATCH(ROWS($J$2:J830),$J$2:$J$1001,0),MATCH(COLUMNS($Q$1006:U1006),$Q$1006:$U$1006,0)), HYPERLINK("#",""), HYPERLINK(CONCATENATE("#Metadata!", ADDRESS(INDEX($L$2:$L$1001,MATCH(ROWS($J$2:J830),$J$2:$J$1001,0),0), INDEX($Q$1004:$U$1004,1,MATCH(COLUMNS($Q$1006:U1006),$Q$1006:$U$1006,0)))),"Fix")))</f>
        <v xml:space="preserve"> </v>
      </c>
      <c r="J830">
        <f ca="1"/>
        <v>829</v>
      </c>
      <c r="K830">
        <v>100830</v>
      </c>
      <c r="L830">
        <v>830</v>
      </c>
      <c r="M830" t="b">
        <f t="shared" si="12"/>
        <v>1</v>
      </c>
      <c r="N830" t="b">
        <f>COUNTBLANK(Metadata!B830:F830)=COLUMNS(Metadata!B830:F830)</f>
        <v>1</v>
      </c>
      <c r="O830" t="str">
        <v/>
      </c>
      <c r="Q830" t="b">
        <f ca="1"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R830" t="b">
        <f>IF(Metadata!C830="",FALSE,TRUE)</f>
        <v>0</v>
      </c>
      <c r="S830" t="b">
        <f>OR(AND(IF(Metadata!D830="",FALSE,TRUE),EXACT(Metadata!D830,"missing: not collected")),AND(IF(Metadata!D830="",FALSE,TRUE),OR(EXACT(Metadata!D830,"t"),EXACT(Metadata!D830,"f"))))</f>
        <v>0</v>
      </c>
      <c r="T830" t="b">
        <f>AND(IF(Metadata!E830="",FALSE,TRUE),OR(EXACT(Metadata!E830,"a"),EXACT(Metadata!E830,"b")))</f>
        <v>0</v>
      </c>
      <c r="U830" t="b">
        <f>OR(AND(IF(Metadata!F830="",FALSE,TRUE),OR(EXACT(Metadata!F830,"missing: not collected"),EXACT(Metadata!F830,"missing: not provided"))),AND(IF(Metadata!F830="",FALSE,TRUE),OR(EXACT(Metadata!F830,"lo"),EXACT(Metadata!F830,"med"),EXACT(Metadata!F830,"hi"))))</f>
        <v>0</v>
      </c>
    </row>
    <row r="831" spans="1:21" x14ac:dyDescent="0.2">
      <c r="A831" s="4" t="str">
        <f ca="1">IF(B831=" "," ",HYPERLINK(CONCATENATE("#metadata!",ADDRESS(INDEX($L$2:$L$1001,MATCH(ROWS($J$2:J831),$J$2:$J$1001,0),0),1)),INDEX($O$2:$O$1001,MATCH(ROWS($J$2:J831),$J$2:$J$1001,0),0)))</f>
        <v xml:space="preserve"> </v>
      </c>
      <c r="B831" s="3" t="str">
        <f ca="1">IF(OR(INDEX($K$2:$K$1001,MATCH(ROWS($J$2:J831),$J$2:$J$1001,0),1)&gt;=100000,INDEX($Q$1005:$U$1005,1,MATCH(COLUMNS($Q$1006:Q1006),$Q$1006:$U$1006,0))&gt;=100000), " ",IF(INDEX($Q$2:$U$1001,MATCH(ROWS($J$2:J831),$J$2:$J$1001,0),MATCH(COLUMNS($Q$1006:Q1006),$Q$1006:$U$1006,0)), HYPERLINK("#",""), HYPERLINK(CONCATENATE("#Metadata!", ADDRESS(INDEX($L$2:$L$1001,MATCH(ROWS($J$2:J831),$J$2:$J$1001,0),0), INDEX($Q$1004:$U$1004,1,MATCH(COLUMNS($Q$1006:Q1006),$Q$1006:$U$1006,0)))),"Fix")))</f>
        <v xml:space="preserve"> </v>
      </c>
      <c r="C831" s="3" t="str">
        <f ca="1">IF(OR(INDEX($K$2:$K$1001,MATCH(ROWS($J$2:J831),$J$2:$J$1001,0),1)&gt;=100000,INDEX($Q$1005:$U$1005,1,MATCH(COLUMNS($Q$1006:R1006),$Q$1006:$U$1006,0))&gt;=100000), " ",IF(INDEX($Q$2:$U$1001,MATCH(ROWS($J$2:J831),$J$2:$J$1001,0),MATCH(COLUMNS($Q$1006:R1006),$Q$1006:$U$1006,0)), HYPERLINK("#",""), HYPERLINK(CONCATENATE("#Metadata!", ADDRESS(INDEX($L$2:$L$1001,MATCH(ROWS($J$2:J831),$J$2:$J$1001,0),0), INDEX($Q$1004:$U$1004,1,MATCH(COLUMNS($Q$1006:R1006),$Q$1006:$U$1006,0)))),"Fix")))</f>
        <v xml:space="preserve"> </v>
      </c>
      <c r="D831" s="3" t="str">
        <f ca="1">IF(OR(INDEX($K$2:$K$1001,MATCH(ROWS($J$2:J831),$J$2:$J$1001,0),1)&gt;=100000,INDEX($Q$1005:$U$1005,1,MATCH(COLUMNS($Q$1006:S1006),$Q$1006:$U$1006,0))&gt;=100000), " ",IF(INDEX($Q$2:$U$1001,MATCH(ROWS($J$2:J831),$J$2:$J$1001,0),MATCH(COLUMNS($Q$1006:S1006),$Q$1006:$U$1006,0)), HYPERLINK("#",""), HYPERLINK(CONCATENATE("#Metadata!", ADDRESS(INDEX($L$2:$L$1001,MATCH(ROWS($J$2:J831),$J$2:$J$1001,0),0), INDEX($Q$1004:$U$1004,1,MATCH(COLUMNS($Q$1006:S1006),$Q$1006:$U$1006,0)))),"Fix")))</f>
        <v xml:space="preserve"> </v>
      </c>
      <c r="E831" s="3" t="str">
        <f ca="1">IF(OR(INDEX($K$2:$K$1001,MATCH(ROWS($J$2:J831),$J$2:$J$1001,0),1)&gt;=100000,INDEX($Q$1005:$U$1005,1,MATCH(COLUMNS($Q$1006:T1006),$Q$1006:$U$1006,0))&gt;=100000), " ",IF(INDEX($Q$2:$U$1001,MATCH(ROWS($J$2:J831),$J$2:$J$1001,0),MATCH(COLUMNS($Q$1006:T1006),$Q$1006:$U$1006,0)), HYPERLINK("#",""), HYPERLINK(CONCATENATE("#Metadata!", ADDRESS(INDEX($L$2:$L$1001,MATCH(ROWS($J$2:J831),$J$2:$J$1001,0),0), INDEX($Q$1004:$U$1004,1,MATCH(COLUMNS($Q$1006:T1006),$Q$1006:$U$1006,0)))),"Fix")))</f>
        <v xml:space="preserve"> </v>
      </c>
      <c r="F831" s="3" t="str">
        <f ca="1">IF(OR(INDEX($K$2:$K$1001,MATCH(ROWS($J$2:J831),$J$2:$J$1001,0),1)&gt;=100000,INDEX($Q$1005:$U$1005,1,MATCH(COLUMNS($Q$1006:U1006),$Q$1006:$U$1006,0))&gt;=100000), " ",IF(INDEX($Q$2:$U$1001,MATCH(ROWS($J$2:J831),$J$2:$J$1001,0),MATCH(COLUMNS($Q$1006:U1006),$Q$1006:$U$1006,0)), HYPERLINK("#",""), HYPERLINK(CONCATENATE("#Metadata!", ADDRESS(INDEX($L$2:$L$1001,MATCH(ROWS($J$2:J831),$J$2:$J$1001,0),0), INDEX($Q$1004:$U$1004,1,MATCH(COLUMNS($Q$1006:U1006),$Q$1006:$U$1006,0)))),"Fix")))</f>
        <v xml:space="preserve"> </v>
      </c>
      <c r="J831">
        <f ca="1"/>
        <v>830</v>
      </c>
      <c r="K831">
        <v>100831</v>
      </c>
      <c r="L831">
        <v>831</v>
      </c>
      <c r="M831" t="b">
        <f t="shared" si="12"/>
        <v>1</v>
      </c>
      <c r="N831" t="b">
        <f>COUNTBLANK(Metadata!B831:F831)=COLUMNS(Metadata!B831:F831)</f>
        <v>1</v>
      </c>
      <c r="O831" t="str">
        <v/>
      </c>
      <c r="Q831" t="b">
        <f ca="1"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R831" t="b">
        <f>IF(Metadata!C831="",FALSE,TRUE)</f>
        <v>0</v>
      </c>
      <c r="S831" t="b">
        <f>OR(AND(IF(Metadata!D831="",FALSE,TRUE),EXACT(Metadata!D831,"missing: not collected")),AND(IF(Metadata!D831="",FALSE,TRUE),OR(EXACT(Metadata!D831,"t"),EXACT(Metadata!D831,"f"))))</f>
        <v>0</v>
      </c>
      <c r="T831" t="b">
        <f>AND(IF(Metadata!E831="",FALSE,TRUE),OR(EXACT(Metadata!E831,"a"),EXACT(Metadata!E831,"b")))</f>
        <v>0</v>
      </c>
      <c r="U831" t="b">
        <f>OR(AND(IF(Metadata!F831="",FALSE,TRUE),OR(EXACT(Metadata!F831,"missing: not collected"),EXACT(Metadata!F831,"missing: not provided"))),AND(IF(Metadata!F831="",FALSE,TRUE),OR(EXACT(Metadata!F831,"lo"),EXACT(Metadata!F831,"med"),EXACT(Metadata!F831,"hi"))))</f>
        <v>0</v>
      </c>
    </row>
    <row r="832" spans="1:21" x14ac:dyDescent="0.2">
      <c r="A832" s="4" t="str">
        <f ca="1">IF(B832=" "," ",HYPERLINK(CONCATENATE("#metadata!",ADDRESS(INDEX($L$2:$L$1001,MATCH(ROWS($J$2:J832),$J$2:$J$1001,0),0),1)),INDEX($O$2:$O$1001,MATCH(ROWS($J$2:J832),$J$2:$J$1001,0),0)))</f>
        <v xml:space="preserve"> </v>
      </c>
      <c r="B832" s="3" t="str">
        <f ca="1">IF(OR(INDEX($K$2:$K$1001,MATCH(ROWS($J$2:J832),$J$2:$J$1001,0),1)&gt;=100000,INDEX($Q$1005:$U$1005,1,MATCH(COLUMNS($Q$1006:Q1006),$Q$1006:$U$1006,0))&gt;=100000), " ",IF(INDEX($Q$2:$U$1001,MATCH(ROWS($J$2:J832),$J$2:$J$1001,0),MATCH(COLUMNS($Q$1006:Q1006),$Q$1006:$U$1006,0)), HYPERLINK("#",""), HYPERLINK(CONCATENATE("#Metadata!", ADDRESS(INDEX($L$2:$L$1001,MATCH(ROWS($J$2:J832),$J$2:$J$1001,0),0), INDEX($Q$1004:$U$1004,1,MATCH(COLUMNS($Q$1006:Q1006),$Q$1006:$U$1006,0)))),"Fix")))</f>
        <v xml:space="preserve"> </v>
      </c>
      <c r="C832" s="3" t="str">
        <f ca="1">IF(OR(INDEX($K$2:$K$1001,MATCH(ROWS($J$2:J832),$J$2:$J$1001,0),1)&gt;=100000,INDEX($Q$1005:$U$1005,1,MATCH(COLUMNS($Q$1006:R1006),$Q$1006:$U$1006,0))&gt;=100000), " ",IF(INDEX($Q$2:$U$1001,MATCH(ROWS($J$2:J832),$J$2:$J$1001,0),MATCH(COLUMNS($Q$1006:R1006),$Q$1006:$U$1006,0)), HYPERLINK("#",""), HYPERLINK(CONCATENATE("#Metadata!", ADDRESS(INDEX($L$2:$L$1001,MATCH(ROWS($J$2:J832),$J$2:$J$1001,0),0), INDEX($Q$1004:$U$1004,1,MATCH(COLUMNS($Q$1006:R1006),$Q$1006:$U$1006,0)))),"Fix")))</f>
        <v xml:space="preserve"> </v>
      </c>
      <c r="D832" s="3" t="str">
        <f ca="1">IF(OR(INDEX($K$2:$K$1001,MATCH(ROWS($J$2:J832),$J$2:$J$1001,0),1)&gt;=100000,INDEX($Q$1005:$U$1005,1,MATCH(COLUMNS($Q$1006:S1006),$Q$1006:$U$1006,0))&gt;=100000), " ",IF(INDEX($Q$2:$U$1001,MATCH(ROWS($J$2:J832),$J$2:$J$1001,0),MATCH(COLUMNS($Q$1006:S1006),$Q$1006:$U$1006,0)), HYPERLINK("#",""), HYPERLINK(CONCATENATE("#Metadata!", ADDRESS(INDEX($L$2:$L$1001,MATCH(ROWS($J$2:J832),$J$2:$J$1001,0),0), INDEX($Q$1004:$U$1004,1,MATCH(COLUMNS($Q$1006:S1006),$Q$1006:$U$1006,0)))),"Fix")))</f>
        <v xml:space="preserve"> </v>
      </c>
      <c r="E832" s="3" t="str">
        <f ca="1">IF(OR(INDEX($K$2:$K$1001,MATCH(ROWS($J$2:J832),$J$2:$J$1001,0),1)&gt;=100000,INDEX($Q$1005:$U$1005,1,MATCH(COLUMNS($Q$1006:T1006),$Q$1006:$U$1006,0))&gt;=100000), " ",IF(INDEX($Q$2:$U$1001,MATCH(ROWS($J$2:J832),$J$2:$J$1001,0),MATCH(COLUMNS($Q$1006:T1006),$Q$1006:$U$1006,0)), HYPERLINK("#",""), HYPERLINK(CONCATENATE("#Metadata!", ADDRESS(INDEX($L$2:$L$1001,MATCH(ROWS($J$2:J832),$J$2:$J$1001,0),0), INDEX($Q$1004:$U$1004,1,MATCH(COLUMNS($Q$1006:T1006),$Q$1006:$U$1006,0)))),"Fix")))</f>
        <v xml:space="preserve"> </v>
      </c>
      <c r="F832" s="3" t="str">
        <f ca="1">IF(OR(INDEX($K$2:$K$1001,MATCH(ROWS($J$2:J832),$J$2:$J$1001,0),1)&gt;=100000,INDEX($Q$1005:$U$1005,1,MATCH(COLUMNS($Q$1006:U1006),$Q$1006:$U$1006,0))&gt;=100000), " ",IF(INDEX($Q$2:$U$1001,MATCH(ROWS($J$2:J832),$J$2:$J$1001,0),MATCH(COLUMNS($Q$1006:U1006),$Q$1006:$U$1006,0)), HYPERLINK("#",""), HYPERLINK(CONCATENATE("#Metadata!", ADDRESS(INDEX($L$2:$L$1001,MATCH(ROWS($J$2:J832),$J$2:$J$1001,0),0), INDEX($Q$1004:$U$1004,1,MATCH(COLUMNS($Q$1006:U1006),$Q$1006:$U$1006,0)))),"Fix")))</f>
        <v xml:space="preserve"> </v>
      </c>
      <c r="J832">
        <f ca="1"/>
        <v>831</v>
      </c>
      <c r="K832">
        <v>100832</v>
      </c>
      <c r="L832">
        <v>832</v>
      </c>
      <c r="M832" t="b">
        <f t="shared" si="12"/>
        <v>1</v>
      </c>
      <c r="N832" t="b">
        <f>COUNTBLANK(Metadata!B832:F832)=COLUMNS(Metadata!B832:F832)</f>
        <v>1</v>
      </c>
      <c r="O832" t="str">
        <v/>
      </c>
      <c r="Q832" t="b">
        <f ca="1"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R832" t="b">
        <f>IF(Metadata!C832="",FALSE,TRUE)</f>
        <v>0</v>
      </c>
      <c r="S832" t="b">
        <f>OR(AND(IF(Metadata!D832="",FALSE,TRUE),EXACT(Metadata!D832,"missing: not collected")),AND(IF(Metadata!D832="",FALSE,TRUE),OR(EXACT(Metadata!D832,"t"),EXACT(Metadata!D832,"f"))))</f>
        <v>0</v>
      </c>
      <c r="T832" t="b">
        <f>AND(IF(Metadata!E832="",FALSE,TRUE),OR(EXACT(Metadata!E832,"a"),EXACT(Metadata!E832,"b")))</f>
        <v>0</v>
      </c>
      <c r="U832" t="b">
        <f>OR(AND(IF(Metadata!F832="",FALSE,TRUE),OR(EXACT(Metadata!F832,"missing: not collected"),EXACT(Metadata!F832,"missing: not provided"))),AND(IF(Metadata!F832="",FALSE,TRUE),OR(EXACT(Metadata!F832,"lo"),EXACT(Metadata!F832,"med"),EXACT(Metadata!F832,"hi"))))</f>
        <v>0</v>
      </c>
    </row>
    <row r="833" spans="1:21" x14ac:dyDescent="0.2">
      <c r="A833" s="4" t="str">
        <f ca="1">IF(B833=" "," ",HYPERLINK(CONCATENATE("#metadata!",ADDRESS(INDEX($L$2:$L$1001,MATCH(ROWS($J$2:J833),$J$2:$J$1001,0),0),1)),INDEX($O$2:$O$1001,MATCH(ROWS($J$2:J833),$J$2:$J$1001,0),0)))</f>
        <v xml:space="preserve"> </v>
      </c>
      <c r="B833" s="3" t="str">
        <f ca="1">IF(OR(INDEX($K$2:$K$1001,MATCH(ROWS($J$2:J833),$J$2:$J$1001,0),1)&gt;=100000,INDEX($Q$1005:$U$1005,1,MATCH(COLUMNS($Q$1006:Q1006),$Q$1006:$U$1006,0))&gt;=100000), " ",IF(INDEX($Q$2:$U$1001,MATCH(ROWS($J$2:J833),$J$2:$J$1001,0),MATCH(COLUMNS($Q$1006:Q1006),$Q$1006:$U$1006,0)), HYPERLINK("#",""), HYPERLINK(CONCATENATE("#Metadata!", ADDRESS(INDEX($L$2:$L$1001,MATCH(ROWS($J$2:J833),$J$2:$J$1001,0),0), INDEX($Q$1004:$U$1004,1,MATCH(COLUMNS($Q$1006:Q1006),$Q$1006:$U$1006,0)))),"Fix")))</f>
        <v xml:space="preserve"> </v>
      </c>
      <c r="C833" s="3" t="str">
        <f ca="1">IF(OR(INDEX($K$2:$K$1001,MATCH(ROWS($J$2:J833),$J$2:$J$1001,0),1)&gt;=100000,INDEX($Q$1005:$U$1005,1,MATCH(COLUMNS($Q$1006:R1006),$Q$1006:$U$1006,0))&gt;=100000), " ",IF(INDEX($Q$2:$U$1001,MATCH(ROWS($J$2:J833),$J$2:$J$1001,0),MATCH(COLUMNS($Q$1006:R1006),$Q$1006:$U$1006,0)), HYPERLINK("#",""), HYPERLINK(CONCATENATE("#Metadata!", ADDRESS(INDEX($L$2:$L$1001,MATCH(ROWS($J$2:J833),$J$2:$J$1001,0),0), INDEX($Q$1004:$U$1004,1,MATCH(COLUMNS($Q$1006:R1006),$Q$1006:$U$1006,0)))),"Fix")))</f>
        <v xml:space="preserve"> </v>
      </c>
      <c r="D833" s="3" t="str">
        <f ca="1">IF(OR(INDEX($K$2:$K$1001,MATCH(ROWS($J$2:J833),$J$2:$J$1001,0),1)&gt;=100000,INDEX($Q$1005:$U$1005,1,MATCH(COLUMNS($Q$1006:S1006),$Q$1006:$U$1006,0))&gt;=100000), " ",IF(INDEX($Q$2:$U$1001,MATCH(ROWS($J$2:J833),$J$2:$J$1001,0),MATCH(COLUMNS($Q$1006:S1006),$Q$1006:$U$1006,0)), HYPERLINK("#",""), HYPERLINK(CONCATENATE("#Metadata!", ADDRESS(INDEX($L$2:$L$1001,MATCH(ROWS($J$2:J833),$J$2:$J$1001,0),0), INDEX($Q$1004:$U$1004,1,MATCH(COLUMNS($Q$1006:S1006),$Q$1006:$U$1006,0)))),"Fix")))</f>
        <v xml:space="preserve"> </v>
      </c>
      <c r="E833" s="3" t="str">
        <f ca="1">IF(OR(INDEX($K$2:$K$1001,MATCH(ROWS($J$2:J833),$J$2:$J$1001,0),1)&gt;=100000,INDEX($Q$1005:$U$1005,1,MATCH(COLUMNS($Q$1006:T1006),$Q$1006:$U$1006,0))&gt;=100000), " ",IF(INDEX($Q$2:$U$1001,MATCH(ROWS($J$2:J833),$J$2:$J$1001,0),MATCH(COLUMNS($Q$1006:T1006),$Q$1006:$U$1006,0)), HYPERLINK("#",""), HYPERLINK(CONCATENATE("#Metadata!", ADDRESS(INDEX($L$2:$L$1001,MATCH(ROWS($J$2:J833),$J$2:$J$1001,0),0), INDEX($Q$1004:$U$1004,1,MATCH(COLUMNS($Q$1006:T1006),$Q$1006:$U$1006,0)))),"Fix")))</f>
        <v xml:space="preserve"> </v>
      </c>
      <c r="F833" s="3" t="str">
        <f ca="1">IF(OR(INDEX($K$2:$K$1001,MATCH(ROWS($J$2:J833),$J$2:$J$1001,0),1)&gt;=100000,INDEX($Q$1005:$U$1005,1,MATCH(COLUMNS($Q$1006:U1006),$Q$1006:$U$1006,0))&gt;=100000), " ",IF(INDEX($Q$2:$U$1001,MATCH(ROWS($J$2:J833),$J$2:$J$1001,0),MATCH(COLUMNS($Q$1006:U1006),$Q$1006:$U$1006,0)), HYPERLINK("#",""), HYPERLINK(CONCATENATE("#Metadata!", ADDRESS(INDEX($L$2:$L$1001,MATCH(ROWS($J$2:J833),$J$2:$J$1001,0),0), INDEX($Q$1004:$U$1004,1,MATCH(COLUMNS($Q$1006:U1006),$Q$1006:$U$1006,0)))),"Fix")))</f>
        <v xml:space="preserve"> </v>
      </c>
      <c r="J833">
        <f ca="1"/>
        <v>832</v>
      </c>
      <c r="K833">
        <v>100833</v>
      </c>
      <c r="L833">
        <v>833</v>
      </c>
      <c r="M833" t="b">
        <f t="shared" si="12"/>
        <v>1</v>
      </c>
      <c r="N833" t="b">
        <f>COUNTBLANK(Metadata!B833:F833)=COLUMNS(Metadata!B833:F833)</f>
        <v>1</v>
      </c>
      <c r="O833" t="str">
        <v/>
      </c>
      <c r="Q833" t="b">
        <f ca="1"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R833" t="b">
        <f>IF(Metadata!C833="",FALSE,TRUE)</f>
        <v>0</v>
      </c>
      <c r="S833" t="b">
        <f>OR(AND(IF(Metadata!D833="",FALSE,TRUE),EXACT(Metadata!D833,"missing: not collected")),AND(IF(Metadata!D833="",FALSE,TRUE),OR(EXACT(Metadata!D833,"t"),EXACT(Metadata!D833,"f"))))</f>
        <v>0</v>
      </c>
      <c r="T833" t="b">
        <f>AND(IF(Metadata!E833="",FALSE,TRUE),OR(EXACT(Metadata!E833,"a"),EXACT(Metadata!E833,"b")))</f>
        <v>0</v>
      </c>
      <c r="U833" t="b">
        <f>OR(AND(IF(Metadata!F833="",FALSE,TRUE),OR(EXACT(Metadata!F833,"missing: not collected"),EXACT(Metadata!F833,"missing: not provided"))),AND(IF(Metadata!F833="",FALSE,TRUE),OR(EXACT(Metadata!F833,"lo"),EXACT(Metadata!F833,"med"),EXACT(Metadata!F833,"hi"))))</f>
        <v>0</v>
      </c>
    </row>
    <row r="834" spans="1:21" x14ac:dyDescent="0.2">
      <c r="A834" s="4" t="str">
        <f ca="1">IF(B834=" "," ",HYPERLINK(CONCATENATE("#metadata!",ADDRESS(INDEX($L$2:$L$1001,MATCH(ROWS($J$2:J834),$J$2:$J$1001,0),0),1)),INDEX($O$2:$O$1001,MATCH(ROWS($J$2:J834),$J$2:$J$1001,0),0)))</f>
        <v xml:space="preserve"> </v>
      </c>
      <c r="B834" s="3" t="str">
        <f ca="1">IF(OR(INDEX($K$2:$K$1001,MATCH(ROWS($J$2:J834),$J$2:$J$1001,0),1)&gt;=100000,INDEX($Q$1005:$U$1005,1,MATCH(COLUMNS($Q$1006:Q1006),$Q$1006:$U$1006,0))&gt;=100000), " ",IF(INDEX($Q$2:$U$1001,MATCH(ROWS($J$2:J834),$J$2:$J$1001,0),MATCH(COLUMNS($Q$1006:Q1006),$Q$1006:$U$1006,0)), HYPERLINK("#",""), HYPERLINK(CONCATENATE("#Metadata!", ADDRESS(INDEX($L$2:$L$1001,MATCH(ROWS($J$2:J834),$J$2:$J$1001,0),0), INDEX($Q$1004:$U$1004,1,MATCH(COLUMNS($Q$1006:Q1006),$Q$1006:$U$1006,0)))),"Fix")))</f>
        <v xml:space="preserve"> </v>
      </c>
      <c r="C834" s="3" t="str">
        <f ca="1">IF(OR(INDEX($K$2:$K$1001,MATCH(ROWS($J$2:J834),$J$2:$J$1001,0),1)&gt;=100000,INDEX($Q$1005:$U$1005,1,MATCH(COLUMNS($Q$1006:R1006),$Q$1006:$U$1006,0))&gt;=100000), " ",IF(INDEX($Q$2:$U$1001,MATCH(ROWS($J$2:J834),$J$2:$J$1001,0),MATCH(COLUMNS($Q$1006:R1006),$Q$1006:$U$1006,0)), HYPERLINK("#",""), HYPERLINK(CONCATENATE("#Metadata!", ADDRESS(INDEX($L$2:$L$1001,MATCH(ROWS($J$2:J834),$J$2:$J$1001,0),0), INDEX($Q$1004:$U$1004,1,MATCH(COLUMNS($Q$1006:R1006),$Q$1006:$U$1006,0)))),"Fix")))</f>
        <v xml:space="preserve"> </v>
      </c>
      <c r="D834" s="3" t="str">
        <f ca="1">IF(OR(INDEX($K$2:$K$1001,MATCH(ROWS($J$2:J834),$J$2:$J$1001,0),1)&gt;=100000,INDEX($Q$1005:$U$1005,1,MATCH(COLUMNS($Q$1006:S1006),$Q$1006:$U$1006,0))&gt;=100000), " ",IF(INDEX($Q$2:$U$1001,MATCH(ROWS($J$2:J834),$J$2:$J$1001,0),MATCH(COLUMNS($Q$1006:S1006),$Q$1006:$U$1006,0)), HYPERLINK("#",""), HYPERLINK(CONCATENATE("#Metadata!", ADDRESS(INDEX($L$2:$L$1001,MATCH(ROWS($J$2:J834),$J$2:$J$1001,0),0), INDEX($Q$1004:$U$1004,1,MATCH(COLUMNS($Q$1006:S1006),$Q$1006:$U$1006,0)))),"Fix")))</f>
        <v xml:space="preserve"> </v>
      </c>
      <c r="E834" s="3" t="str">
        <f ca="1">IF(OR(INDEX($K$2:$K$1001,MATCH(ROWS($J$2:J834),$J$2:$J$1001,0),1)&gt;=100000,INDEX($Q$1005:$U$1005,1,MATCH(COLUMNS($Q$1006:T1006),$Q$1006:$U$1006,0))&gt;=100000), " ",IF(INDEX($Q$2:$U$1001,MATCH(ROWS($J$2:J834),$J$2:$J$1001,0),MATCH(COLUMNS($Q$1006:T1006),$Q$1006:$U$1006,0)), HYPERLINK("#",""), HYPERLINK(CONCATENATE("#Metadata!", ADDRESS(INDEX($L$2:$L$1001,MATCH(ROWS($J$2:J834),$J$2:$J$1001,0),0), INDEX($Q$1004:$U$1004,1,MATCH(COLUMNS($Q$1006:T1006),$Q$1006:$U$1006,0)))),"Fix")))</f>
        <v xml:space="preserve"> </v>
      </c>
      <c r="F834" s="3" t="str">
        <f ca="1">IF(OR(INDEX($K$2:$K$1001,MATCH(ROWS($J$2:J834),$J$2:$J$1001,0),1)&gt;=100000,INDEX($Q$1005:$U$1005,1,MATCH(COLUMNS($Q$1006:U1006),$Q$1006:$U$1006,0))&gt;=100000), " ",IF(INDEX($Q$2:$U$1001,MATCH(ROWS($J$2:J834),$J$2:$J$1001,0),MATCH(COLUMNS($Q$1006:U1006),$Q$1006:$U$1006,0)), HYPERLINK("#",""), HYPERLINK(CONCATENATE("#Metadata!", ADDRESS(INDEX($L$2:$L$1001,MATCH(ROWS($J$2:J834),$J$2:$J$1001,0),0), INDEX($Q$1004:$U$1004,1,MATCH(COLUMNS($Q$1006:U1006),$Q$1006:$U$1006,0)))),"Fix")))</f>
        <v xml:space="preserve"> </v>
      </c>
      <c r="J834">
        <f ca="1"/>
        <v>833</v>
      </c>
      <c r="K834">
        <v>100834</v>
      </c>
      <c r="L834">
        <v>834</v>
      </c>
      <c r="M834" t="b">
        <f t="shared" ref="M834:M897" si="13">IF(N834,TRUE,AND(Q834:U834))</f>
        <v>1</v>
      </c>
      <c r="N834" t="b">
        <f>COUNTBLANK(Metadata!B834:F834)=COLUMNS(Metadata!B834:F834)</f>
        <v>1</v>
      </c>
      <c r="O834" t="str">
        <v/>
      </c>
      <c r="Q834" t="b">
        <f ca="1"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R834" t="b">
        <f>IF(Metadata!C834="",FALSE,TRUE)</f>
        <v>0</v>
      </c>
      <c r="S834" t="b">
        <f>OR(AND(IF(Metadata!D834="",FALSE,TRUE),EXACT(Metadata!D834,"missing: not collected")),AND(IF(Metadata!D834="",FALSE,TRUE),OR(EXACT(Metadata!D834,"t"),EXACT(Metadata!D834,"f"))))</f>
        <v>0</v>
      </c>
      <c r="T834" t="b">
        <f>AND(IF(Metadata!E834="",FALSE,TRUE),OR(EXACT(Metadata!E834,"a"),EXACT(Metadata!E834,"b")))</f>
        <v>0</v>
      </c>
      <c r="U834" t="b">
        <f>OR(AND(IF(Metadata!F834="",FALSE,TRUE),OR(EXACT(Metadata!F834,"missing: not collected"),EXACT(Metadata!F834,"missing: not provided"))),AND(IF(Metadata!F834="",FALSE,TRUE),OR(EXACT(Metadata!F834,"lo"),EXACT(Metadata!F834,"med"),EXACT(Metadata!F834,"hi"))))</f>
        <v>0</v>
      </c>
    </row>
    <row r="835" spans="1:21" x14ac:dyDescent="0.2">
      <c r="A835" s="4" t="str">
        <f ca="1">IF(B835=" "," ",HYPERLINK(CONCATENATE("#metadata!",ADDRESS(INDEX($L$2:$L$1001,MATCH(ROWS($J$2:J835),$J$2:$J$1001,0),0),1)),INDEX($O$2:$O$1001,MATCH(ROWS($J$2:J835),$J$2:$J$1001,0),0)))</f>
        <v xml:space="preserve"> </v>
      </c>
      <c r="B835" s="3" t="str">
        <f ca="1">IF(OR(INDEX($K$2:$K$1001,MATCH(ROWS($J$2:J835),$J$2:$J$1001,0),1)&gt;=100000,INDEX($Q$1005:$U$1005,1,MATCH(COLUMNS($Q$1006:Q1006),$Q$1006:$U$1006,0))&gt;=100000), " ",IF(INDEX($Q$2:$U$1001,MATCH(ROWS($J$2:J835),$J$2:$J$1001,0),MATCH(COLUMNS($Q$1006:Q1006),$Q$1006:$U$1006,0)), HYPERLINK("#",""), HYPERLINK(CONCATENATE("#Metadata!", ADDRESS(INDEX($L$2:$L$1001,MATCH(ROWS($J$2:J835),$J$2:$J$1001,0),0), INDEX($Q$1004:$U$1004,1,MATCH(COLUMNS($Q$1006:Q1006),$Q$1006:$U$1006,0)))),"Fix")))</f>
        <v xml:space="preserve"> </v>
      </c>
      <c r="C835" s="3" t="str">
        <f ca="1">IF(OR(INDEX($K$2:$K$1001,MATCH(ROWS($J$2:J835),$J$2:$J$1001,0),1)&gt;=100000,INDEX($Q$1005:$U$1005,1,MATCH(COLUMNS($Q$1006:R1006),$Q$1006:$U$1006,0))&gt;=100000), " ",IF(INDEX($Q$2:$U$1001,MATCH(ROWS($J$2:J835),$J$2:$J$1001,0),MATCH(COLUMNS($Q$1006:R1006),$Q$1006:$U$1006,0)), HYPERLINK("#",""), HYPERLINK(CONCATENATE("#Metadata!", ADDRESS(INDEX($L$2:$L$1001,MATCH(ROWS($J$2:J835),$J$2:$J$1001,0),0), INDEX($Q$1004:$U$1004,1,MATCH(COLUMNS($Q$1006:R1006),$Q$1006:$U$1006,0)))),"Fix")))</f>
        <v xml:space="preserve"> </v>
      </c>
      <c r="D835" s="3" t="str">
        <f ca="1">IF(OR(INDEX($K$2:$K$1001,MATCH(ROWS($J$2:J835),$J$2:$J$1001,0),1)&gt;=100000,INDEX($Q$1005:$U$1005,1,MATCH(COLUMNS($Q$1006:S1006),$Q$1006:$U$1006,0))&gt;=100000), " ",IF(INDEX($Q$2:$U$1001,MATCH(ROWS($J$2:J835),$J$2:$J$1001,0),MATCH(COLUMNS($Q$1006:S1006),$Q$1006:$U$1006,0)), HYPERLINK("#",""), HYPERLINK(CONCATENATE("#Metadata!", ADDRESS(INDEX($L$2:$L$1001,MATCH(ROWS($J$2:J835),$J$2:$J$1001,0),0), INDEX($Q$1004:$U$1004,1,MATCH(COLUMNS($Q$1006:S1006),$Q$1006:$U$1006,0)))),"Fix")))</f>
        <v xml:space="preserve"> </v>
      </c>
      <c r="E835" s="3" t="str">
        <f ca="1">IF(OR(INDEX($K$2:$K$1001,MATCH(ROWS($J$2:J835),$J$2:$J$1001,0),1)&gt;=100000,INDEX($Q$1005:$U$1005,1,MATCH(COLUMNS($Q$1006:T1006),$Q$1006:$U$1006,0))&gt;=100000), " ",IF(INDEX($Q$2:$U$1001,MATCH(ROWS($J$2:J835),$J$2:$J$1001,0),MATCH(COLUMNS($Q$1006:T1006),$Q$1006:$U$1006,0)), HYPERLINK("#",""), HYPERLINK(CONCATENATE("#Metadata!", ADDRESS(INDEX($L$2:$L$1001,MATCH(ROWS($J$2:J835),$J$2:$J$1001,0),0), INDEX($Q$1004:$U$1004,1,MATCH(COLUMNS($Q$1006:T1006),$Q$1006:$U$1006,0)))),"Fix")))</f>
        <v xml:space="preserve"> </v>
      </c>
      <c r="F835" s="3" t="str">
        <f ca="1">IF(OR(INDEX($K$2:$K$1001,MATCH(ROWS($J$2:J835),$J$2:$J$1001,0),1)&gt;=100000,INDEX($Q$1005:$U$1005,1,MATCH(COLUMNS($Q$1006:U1006),$Q$1006:$U$1006,0))&gt;=100000), " ",IF(INDEX($Q$2:$U$1001,MATCH(ROWS($J$2:J835),$J$2:$J$1001,0),MATCH(COLUMNS($Q$1006:U1006),$Q$1006:$U$1006,0)), HYPERLINK("#",""), HYPERLINK(CONCATENATE("#Metadata!", ADDRESS(INDEX($L$2:$L$1001,MATCH(ROWS($J$2:J835),$J$2:$J$1001,0),0), INDEX($Q$1004:$U$1004,1,MATCH(COLUMNS($Q$1006:U1006),$Q$1006:$U$1006,0)))),"Fix")))</f>
        <v xml:space="preserve"> </v>
      </c>
      <c r="J835">
        <f ca="1"/>
        <v>834</v>
      </c>
      <c r="K835">
        <v>100835</v>
      </c>
      <c r="L835">
        <v>835</v>
      </c>
      <c r="M835" t="b">
        <f t="shared" si="13"/>
        <v>1</v>
      </c>
      <c r="N835" t="b">
        <f>COUNTBLANK(Metadata!B835:F835)=COLUMNS(Metadata!B835:F835)</f>
        <v>1</v>
      </c>
      <c r="O835" t="str">
        <v/>
      </c>
      <c r="Q835" t="b">
        <f ca="1"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R835" t="b">
        <f>IF(Metadata!C835="",FALSE,TRUE)</f>
        <v>0</v>
      </c>
      <c r="S835" t="b">
        <f>OR(AND(IF(Metadata!D835="",FALSE,TRUE),EXACT(Metadata!D835,"missing: not collected")),AND(IF(Metadata!D835="",FALSE,TRUE),OR(EXACT(Metadata!D835,"t"),EXACT(Metadata!D835,"f"))))</f>
        <v>0</v>
      </c>
      <c r="T835" t="b">
        <f>AND(IF(Metadata!E835="",FALSE,TRUE),OR(EXACT(Metadata!E835,"a"),EXACT(Metadata!E835,"b")))</f>
        <v>0</v>
      </c>
      <c r="U835" t="b">
        <f>OR(AND(IF(Metadata!F835="",FALSE,TRUE),OR(EXACT(Metadata!F835,"missing: not collected"),EXACT(Metadata!F835,"missing: not provided"))),AND(IF(Metadata!F835="",FALSE,TRUE),OR(EXACT(Metadata!F835,"lo"),EXACT(Metadata!F835,"med"),EXACT(Metadata!F835,"hi"))))</f>
        <v>0</v>
      </c>
    </row>
    <row r="836" spans="1:21" x14ac:dyDescent="0.2">
      <c r="A836" s="4" t="str">
        <f ca="1">IF(B836=" "," ",HYPERLINK(CONCATENATE("#metadata!",ADDRESS(INDEX($L$2:$L$1001,MATCH(ROWS($J$2:J836),$J$2:$J$1001,0),0),1)),INDEX($O$2:$O$1001,MATCH(ROWS($J$2:J836),$J$2:$J$1001,0),0)))</f>
        <v xml:space="preserve"> </v>
      </c>
      <c r="B836" s="3" t="str">
        <f ca="1">IF(OR(INDEX($K$2:$K$1001,MATCH(ROWS($J$2:J836),$J$2:$J$1001,0),1)&gt;=100000,INDEX($Q$1005:$U$1005,1,MATCH(COLUMNS($Q$1006:Q1006),$Q$1006:$U$1006,0))&gt;=100000), " ",IF(INDEX($Q$2:$U$1001,MATCH(ROWS($J$2:J836),$J$2:$J$1001,0),MATCH(COLUMNS($Q$1006:Q1006),$Q$1006:$U$1006,0)), HYPERLINK("#",""), HYPERLINK(CONCATENATE("#Metadata!", ADDRESS(INDEX($L$2:$L$1001,MATCH(ROWS($J$2:J836),$J$2:$J$1001,0),0), INDEX($Q$1004:$U$1004,1,MATCH(COLUMNS($Q$1006:Q1006),$Q$1006:$U$1006,0)))),"Fix")))</f>
        <v xml:space="preserve"> </v>
      </c>
      <c r="C836" s="3" t="str">
        <f ca="1">IF(OR(INDEX($K$2:$K$1001,MATCH(ROWS($J$2:J836),$J$2:$J$1001,0),1)&gt;=100000,INDEX($Q$1005:$U$1005,1,MATCH(COLUMNS($Q$1006:R1006),$Q$1006:$U$1006,0))&gt;=100000), " ",IF(INDEX($Q$2:$U$1001,MATCH(ROWS($J$2:J836),$J$2:$J$1001,0),MATCH(COLUMNS($Q$1006:R1006),$Q$1006:$U$1006,0)), HYPERLINK("#",""), HYPERLINK(CONCATENATE("#Metadata!", ADDRESS(INDEX($L$2:$L$1001,MATCH(ROWS($J$2:J836),$J$2:$J$1001,0),0), INDEX($Q$1004:$U$1004,1,MATCH(COLUMNS($Q$1006:R1006),$Q$1006:$U$1006,0)))),"Fix")))</f>
        <v xml:space="preserve"> </v>
      </c>
      <c r="D836" s="3" t="str">
        <f ca="1">IF(OR(INDEX($K$2:$K$1001,MATCH(ROWS($J$2:J836),$J$2:$J$1001,0),1)&gt;=100000,INDEX($Q$1005:$U$1005,1,MATCH(COLUMNS($Q$1006:S1006),$Q$1006:$U$1006,0))&gt;=100000), " ",IF(INDEX($Q$2:$U$1001,MATCH(ROWS($J$2:J836),$J$2:$J$1001,0),MATCH(COLUMNS($Q$1006:S1006),$Q$1006:$U$1006,0)), HYPERLINK("#",""), HYPERLINK(CONCATENATE("#Metadata!", ADDRESS(INDEX($L$2:$L$1001,MATCH(ROWS($J$2:J836),$J$2:$J$1001,0),0), INDEX($Q$1004:$U$1004,1,MATCH(COLUMNS($Q$1006:S1006),$Q$1006:$U$1006,0)))),"Fix")))</f>
        <v xml:space="preserve"> </v>
      </c>
      <c r="E836" s="3" t="str">
        <f ca="1">IF(OR(INDEX($K$2:$K$1001,MATCH(ROWS($J$2:J836),$J$2:$J$1001,0),1)&gt;=100000,INDEX($Q$1005:$U$1005,1,MATCH(COLUMNS($Q$1006:T1006),$Q$1006:$U$1006,0))&gt;=100000), " ",IF(INDEX($Q$2:$U$1001,MATCH(ROWS($J$2:J836),$J$2:$J$1001,0),MATCH(COLUMNS($Q$1006:T1006),$Q$1006:$U$1006,0)), HYPERLINK("#",""), HYPERLINK(CONCATENATE("#Metadata!", ADDRESS(INDEX($L$2:$L$1001,MATCH(ROWS($J$2:J836),$J$2:$J$1001,0),0), INDEX($Q$1004:$U$1004,1,MATCH(COLUMNS($Q$1006:T1006),$Q$1006:$U$1006,0)))),"Fix")))</f>
        <v xml:space="preserve"> </v>
      </c>
      <c r="F836" s="3" t="str">
        <f ca="1">IF(OR(INDEX($K$2:$K$1001,MATCH(ROWS($J$2:J836),$J$2:$J$1001,0),1)&gt;=100000,INDEX($Q$1005:$U$1005,1,MATCH(COLUMNS($Q$1006:U1006),$Q$1006:$U$1006,0))&gt;=100000), " ",IF(INDEX($Q$2:$U$1001,MATCH(ROWS($J$2:J836),$J$2:$J$1001,0),MATCH(COLUMNS($Q$1006:U1006),$Q$1006:$U$1006,0)), HYPERLINK("#",""), HYPERLINK(CONCATENATE("#Metadata!", ADDRESS(INDEX($L$2:$L$1001,MATCH(ROWS($J$2:J836),$J$2:$J$1001,0),0), INDEX($Q$1004:$U$1004,1,MATCH(COLUMNS($Q$1006:U1006),$Q$1006:$U$1006,0)))),"Fix")))</f>
        <v xml:space="preserve"> </v>
      </c>
      <c r="J836">
        <f ca="1"/>
        <v>835</v>
      </c>
      <c r="K836">
        <v>100836</v>
      </c>
      <c r="L836">
        <v>836</v>
      </c>
      <c r="M836" t="b">
        <f t="shared" si="13"/>
        <v>1</v>
      </c>
      <c r="N836" t="b">
        <f>COUNTBLANK(Metadata!B836:F836)=COLUMNS(Metadata!B836:F836)</f>
        <v>1</v>
      </c>
      <c r="O836" t="str">
        <v/>
      </c>
      <c r="Q836" t="b">
        <f ca="1"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R836" t="b">
        <f>IF(Metadata!C836="",FALSE,TRUE)</f>
        <v>0</v>
      </c>
      <c r="S836" t="b">
        <f>OR(AND(IF(Metadata!D836="",FALSE,TRUE),EXACT(Metadata!D836,"missing: not collected")),AND(IF(Metadata!D836="",FALSE,TRUE),OR(EXACT(Metadata!D836,"t"),EXACT(Metadata!D836,"f"))))</f>
        <v>0</v>
      </c>
      <c r="T836" t="b">
        <f>AND(IF(Metadata!E836="",FALSE,TRUE),OR(EXACT(Metadata!E836,"a"),EXACT(Metadata!E836,"b")))</f>
        <v>0</v>
      </c>
      <c r="U836" t="b">
        <f>OR(AND(IF(Metadata!F836="",FALSE,TRUE),OR(EXACT(Metadata!F836,"missing: not collected"),EXACT(Metadata!F836,"missing: not provided"))),AND(IF(Metadata!F836="",FALSE,TRUE),OR(EXACT(Metadata!F836,"lo"),EXACT(Metadata!F836,"med"),EXACT(Metadata!F836,"hi"))))</f>
        <v>0</v>
      </c>
    </row>
    <row r="837" spans="1:21" x14ac:dyDescent="0.2">
      <c r="A837" s="4" t="str">
        <f ca="1">IF(B837=" "," ",HYPERLINK(CONCATENATE("#metadata!",ADDRESS(INDEX($L$2:$L$1001,MATCH(ROWS($J$2:J837),$J$2:$J$1001,0),0),1)),INDEX($O$2:$O$1001,MATCH(ROWS($J$2:J837),$J$2:$J$1001,0),0)))</f>
        <v xml:space="preserve"> </v>
      </c>
      <c r="B837" s="3" t="str">
        <f ca="1">IF(OR(INDEX($K$2:$K$1001,MATCH(ROWS($J$2:J837),$J$2:$J$1001,0),1)&gt;=100000,INDEX($Q$1005:$U$1005,1,MATCH(COLUMNS($Q$1006:Q1006),$Q$1006:$U$1006,0))&gt;=100000), " ",IF(INDEX($Q$2:$U$1001,MATCH(ROWS($J$2:J837),$J$2:$J$1001,0),MATCH(COLUMNS($Q$1006:Q1006),$Q$1006:$U$1006,0)), HYPERLINK("#",""), HYPERLINK(CONCATENATE("#Metadata!", ADDRESS(INDEX($L$2:$L$1001,MATCH(ROWS($J$2:J837),$J$2:$J$1001,0),0), INDEX($Q$1004:$U$1004,1,MATCH(COLUMNS($Q$1006:Q1006),$Q$1006:$U$1006,0)))),"Fix")))</f>
        <v xml:space="preserve"> </v>
      </c>
      <c r="C837" s="3" t="str">
        <f ca="1">IF(OR(INDEX($K$2:$K$1001,MATCH(ROWS($J$2:J837),$J$2:$J$1001,0),1)&gt;=100000,INDEX($Q$1005:$U$1005,1,MATCH(COLUMNS($Q$1006:R1006),$Q$1006:$U$1006,0))&gt;=100000), " ",IF(INDEX($Q$2:$U$1001,MATCH(ROWS($J$2:J837),$J$2:$J$1001,0),MATCH(COLUMNS($Q$1006:R1006),$Q$1006:$U$1006,0)), HYPERLINK("#",""), HYPERLINK(CONCATENATE("#Metadata!", ADDRESS(INDEX($L$2:$L$1001,MATCH(ROWS($J$2:J837),$J$2:$J$1001,0),0), INDEX($Q$1004:$U$1004,1,MATCH(COLUMNS($Q$1006:R1006),$Q$1006:$U$1006,0)))),"Fix")))</f>
        <v xml:space="preserve"> </v>
      </c>
      <c r="D837" s="3" t="str">
        <f ca="1">IF(OR(INDEX($K$2:$K$1001,MATCH(ROWS($J$2:J837),$J$2:$J$1001,0),1)&gt;=100000,INDEX($Q$1005:$U$1005,1,MATCH(COLUMNS($Q$1006:S1006),$Q$1006:$U$1006,0))&gt;=100000), " ",IF(INDEX($Q$2:$U$1001,MATCH(ROWS($J$2:J837),$J$2:$J$1001,0),MATCH(COLUMNS($Q$1006:S1006),$Q$1006:$U$1006,0)), HYPERLINK("#",""), HYPERLINK(CONCATENATE("#Metadata!", ADDRESS(INDEX($L$2:$L$1001,MATCH(ROWS($J$2:J837),$J$2:$J$1001,0),0), INDEX($Q$1004:$U$1004,1,MATCH(COLUMNS($Q$1006:S1006),$Q$1006:$U$1006,0)))),"Fix")))</f>
        <v xml:space="preserve"> </v>
      </c>
      <c r="E837" s="3" t="str">
        <f ca="1">IF(OR(INDEX($K$2:$K$1001,MATCH(ROWS($J$2:J837),$J$2:$J$1001,0),1)&gt;=100000,INDEX($Q$1005:$U$1005,1,MATCH(COLUMNS($Q$1006:T1006),$Q$1006:$U$1006,0))&gt;=100000), " ",IF(INDEX($Q$2:$U$1001,MATCH(ROWS($J$2:J837),$J$2:$J$1001,0),MATCH(COLUMNS($Q$1006:T1006),$Q$1006:$U$1006,0)), HYPERLINK("#",""), HYPERLINK(CONCATENATE("#Metadata!", ADDRESS(INDEX($L$2:$L$1001,MATCH(ROWS($J$2:J837),$J$2:$J$1001,0),0), INDEX($Q$1004:$U$1004,1,MATCH(COLUMNS($Q$1006:T1006),$Q$1006:$U$1006,0)))),"Fix")))</f>
        <v xml:space="preserve"> </v>
      </c>
      <c r="F837" s="3" t="str">
        <f ca="1">IF(OR(INDEX($K$2:$K$1001,MATCH(ROWS($J$2:J837),$J$2:$J$1001,0),1)&gt;=100000,INDEX($Q$1005:$U$1005,1,MATCH(COLUMNS($Q$1006:U1006),$Q$1006:$U$1006,0))&gt;=100000), " ",IF(INDEX($Q$2:$U$1001,MATCH(ROWS($J$2:J837),$J$2:$J$1001,0),MATCH(COLUMNS($Q$1006:U1006),$Q$1006:$U$1006,0)), HYPERLINK("#",""), HYPERLINK(CONCATENATE("#Metadata!", ADDRESS(INDEX($L$2:$L$1001,MATCH(ROWS($J$2:J837),$J$2:$J$1001,0),0), INDEX($Q$1004:$U$1004,1,MATCH(COLUMNS($Q$1006:U1006),$Q$1006:$U$1006,0)))),"Fix")))</f>
        <v xml:space="preserve"> </v>
      </c>
      <c r="J837">
        <f ca="1"/>
        <v>836</v>
      </c>
      <c r="K837">
        <v>100837</v>
      </c>
      <c r="L837">
        <v>837</v>
      </c>
      <c r="M837" t="b">
        <f t="shared" si="13"/>
        <v>1</v>
      </c>
      <c r="N837" t="b">
        <f>COUNTBLANK(Metadata!B837:F837)=COLUMNS(Metadata!B837:F837)</f>
        <v>1</v>
      </c>
      <c r="O837" t="str">
        <v/>
      </c>
      <c r="Q837" t="b">
        <f ca="1"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R837" t="b">
        <f>IF(Metadata!C837="",FALSE,TRUE)</f>
        <v>0</v>
      </c>
      <c r="S837" t="b">
        <f>OR(AND(IF(Metadata!D837="",FALSE,TRUE),EXACT(Metadata!D837,"missing: not collected")),AND(IF(Metadata!D837="",FALSE,TRUE),OR(EXACT(Metadata!D837,"t"),EXACT(Metadata!D837,"f"))))</f>
        <v>0</v>
      </c>
      <c r="T837" t="b">
        <f>AND(IF(Metadata!E837="",FALSE,TRUE),OR(EXACT(Metadata!E837,"a"),EXACT(Metadata!E837,"b")))</f>
        <v>0</v>
      </c>
      <c r="U837" t="b">
        <f>OR(AND(IF(Metadata!F837="",FALSE,TRUE),OR(EXACT(Metadata!F837,"missing: not collected"),EXACT(Metadata!F837,"missing: not provided"))),AND(IF(Metadata!F837="",FALSE,TRUE),OR(EXACT(Metadata!F837,"lo"),EXACT(Metadata!F837,"med"),EXACT(Metadata!F837,"hi"))))</f>
        <v>0</v>
      </c>
    </row>
    <row r="838" spans="1:21" x14ac:dyDescent="0.2">
      <c r="A838" s="4" t="str">
        <f ca="1">IF(B838=" "," ",HYPERLINK(CONCATENATE("#metadata!",ADDRESS(INDEX($L$2:$L$1001,MATCH(ROWS($J$2:J838),$J$2:$J$1001,0),0),1)),INDEX($O$2:$O$1001,MATCH(ROWS($J$2:J838),$J$2:$J$1001,0),0)))</f>
        <v xml:space="preserve"> </v>
      </c>
      <c r="B838" s="3" t="str">
        <f ca="1">IF(OR(INDEX($K$2:$K$1001,MATCH(ROWS($J$2:J838),$J$2:$J$1001,0),1)&gt;=100000,INDEX($Q$1005:$U$1005,1,MATCH(COLUMNS($Q$1006:Q1006),$Q$1006:$U$1006,0))&gt;=100000), " ",IF(INDEX($Q$2:$U$1001,MATCH(ROWS($J$2:J838),$J$2:$J$1001,0),MATCH(COLUMNS($Q$1006:Q1006),$Q$1006:$U$1006,0)), HYPERLINK("#",""), HYPERLINK(CONCATENATE("#Metadata!", ADDRESS(INDEX($L$2:$L$1001,MATCH(ROWS($J$2:J838),$J$2:$J$1001,0),0), INDEX($Q$1004:$U$1004,1,MATCH(COLUMNS($Q$1006:Q1006),$Q$1006:$U$1006,0)))),"Fix")))</f>
        <v xml:space="preserve"> </v>
      </c>
      <c r="C838" s="3" t="str">
        <f ca="1">IF(OR(INDEX($K$2:$K$1001,MATCH(ROWS($J$2:J838),$J$2:$J$1001,0),1)&gt;=100000,INDEX($Q$1005:$U$1005,1,MATCH(COLUMNS($Q$1006:R1006),$Q$1006:$U$1006,0))&gt;=100000), " ",IF(INDEX($Q$2:$U$1001,MATCH(ROWS($J$2:J838),$J$2:$J$1001,0),MATCH(COLUMNS($Q$1006:R1006),$Q$1006:$U$1006,0)), HYPERLINK("#",""), HYPERLINK(CONCATENATE("#Metadata!", ADDRESS(INDEX($L$2:$L$1001,MATCH(ROWS($J$2:J838),$J$2:$J$1001,0),0), INDEX($Q$1004:$U$1004,1,MATCH(COLUMNS($Q$1006:R1006),$Q$1006:$U$1006,0)))),"Fix")))</f>
        <v xml:space="preserve"> </v>
      </c>
      <c r="D838" s="3" t="str">
        <f ca="1">IF(OR(INDEX($K$2:$K$1001,MATCH(ROWS($J$2:J838),$J$2:$J$1001,0),1)&gt;=100000,INDEX($Q$1005:$U$1005,1,MATCH(COLUMNS($Q$1006:S1006),$Q$1006:$U$1006,0))&gt;=100000), " ",IF(INDEX($Q$2:$U$1001,MATCH(ROWS($J$2:J838),$J$2:$J$1001,0),MATCH(COLUMNS($Q$1006:S1006),$Q$1006:$U$1006,0)), HYPERLINK("#",""), HYPERLINK(CONCATENATE("#Metadata!", ADDRESS(INDEX($L$2:$L$1001,MATCH(ROWS($J$2:J838),$J$2:$J$1001,0),0), INDEX($Q$1004:$U$1004,1,MATCH(COLUMNS($Q$1006:S1006),$Q$1006:$U$1006,0)))),"Fix")))</f>
        <v xml:space="preserve"> </v>
      </c>
      <c r="E838" s="3" t="str">
        <f ca="1">IF(OR(INDEX($K$2:$K$1001,MATCH(ROWS($J$2:J838),$J$2:$J$1001,0),1)&gt;=100000,INDEX($Q$1005:$U$1005,1,MATCH(COLUMNS($Q$1006:T1006),$Q$1006:$U$1006,0))&gt;=100000), " ",IF(INDEX($Q$2:$U$1001,MATCH(ROWS($J$2:J838),$J$2:$J$1001,0),MATCH(COLUMNS($Q$1006:T1006),$Q$1006:$U$1006,0)), HYPERLINK("#",""), HYPERLINK(CONCATENATE("#Metadata!", ADDRESS(INDEX($L$2:$L$1001,MATCH(ROWS($J$2:J838),$J$2:$J$1001,0),0), INDEX($Q$1004:$U$1004,1,MATCH(COLUMNS($Q$1006:T1006),$Q$1006:$U$1006,0)))),"Fix")))</f>
        <v xml:space="preserve"> </v>
      </c>
      <c r="F838" s="3" t="str">
        <f ca="1">IF(OR(INDEX($K$2:$K$1001,MATCH(ROWS($J$2:J838),$J$2:$J$1001,0),1)&gt;=100000,INDEX($Q$1005:$U$1005,1,MATCH(COLUMNS($Q$1006:U1006),$Q$1006:$U$1006,0))&gt;=100000), " ",IF(INDEX($Q$2:$U$1001,MATCH(ROWS($J$2:J838),$J$2:$J$1001,0),MATCH(COLUMNS($Q$1006:U1006),$Q$1006:$U$1006,0)), HYPERLINK("#",""), HYPERLINK(CONCATENATE("#Metadata!", ADDRESS(INDEX($L$2:$L$1001,MATCH(ROWS($J$2:J838),$J$2:$J$1001,0),0), INDEX($Q$1004:$U$1004,1,MATCH(COLUMNS($Q$1006:U1006),$Q$1006:$U$1006,0)))),"Fix")))</f>
        <v xml:space="preserve"> </v>
      </c>
      <c r="J838">
        <f ca="1"/>
        <v>837</v>
      </c>
      <c r="K838">
        <v>100838</v>
      </c>
      <c r="L838">
        <v>838</v>
      </c>
      <c r="M838" t="b">
        <f t="shared" si="13"/>
        <v>1</v>
      </c>
      <c r="N838" t="b">
        <f>COUNTBLANK(Metadata!B838:F838)=COLUMNS(Metadata!B838:F838)</f>
        <v>1</v>
      </c>
      <c r="O838" t="str">
        <v/>
      </c>
      <c r="Q838" t="b">
        <f ca="1"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R838" t="b">
        <f>IF(Metadata!C838="",FALSE,TRUE)</f>
        <v>0</v>
      </c>
      <c r="S838" t="b">
        <f>OR(AND(IF(Metadata!D838="",FALSE,TRUE),EXACT(Metadata!D838,"missing: not collected")),AND(IF(Metadata!D838="",FALSE,TRUE),OR(EXACT(Metadata!D838,"t"),EXACT(Metadata!D838,"f"))))</f>
        <v>0</v>
      </c>
      <c r="T838" t="b">
        <f>AND(IF(Metadata!E838="",FALSE,TRUE),OR(EXACT(Metadata!E838,"a"),EXACT(Metadata!E838,"b")))</f>
        <v>0</v>
      </c>
      <c r="U838" t="b">
        <f>OR(AND(IF(Metadata!F838="",FALSE,TRUE),OR(EXACT(Metadata!F838,"missing: not collected"),EXACT(Metadata!F838,"missing: not provided"))),AND(IF(Metadata!F838="",FALSE,TRUE),OR(EXACT(Metadata!F838,"lo"),EXACT(Metadata!F838,"med"),EXACT(Metadata!F838,"hi"))))</f>
        <v>0</v>
      </c>
    </row>
    <row r="839" spans="1:21" x14ac:dyDescent="0.2">
      <c r="A839" s="4" t="str">
        <f ca="1">IF(B839=" "," ",HYPERLINK(CONCATENATE("#metadata!",ADDRESS(INDEX($L$2:$L$1001,MATCH(ROWS($J$2:J839),$J$2:$J$1001,0),0),1)),INDEX($O$2:$O$1001,MATCH(ROWS($J$2:J839),$J$2:$J$1001,0),0)))</f>
        <v xml:space="preserve"> </v>
      </c>
      <c r="B839" s="3" t="str">
        <f ca="1">IF(OR(INDEX($K$2:$K$1001,MATCH(ROWS($J$2:J839),$J$2:$J$1001,0),1)&gt;=100000,INDEX($Q$1005:$U$1005,1,MATCH(COLUMNS($Q$1006:Q1006),$Q$1006:$U$1006,0))&gt;=100000), " ",IF(INDEX($Q$2:$U$1001,MATCH(ROWS($J$2:J839),$J$2:$J$1001,0),MATCH(COLUMNS($Q$1006:Q1006),$Q$1006:$U$1006,0)), HYPERLINK("#",""), HYPERLINK(CONCATENATE("#Metadata!", ADDRESS(INDEX($L$2:$L$1001,MATCH(ROWS($J$2:J839),$J$2:$J$1001,0),0), INDEX($Q$1004:$U$1004,1,MATCH(COLUMNS($Q$1006:Q1006),$Q$1006:$U$1006,0)))),"Fix")))</f>
        <v xml:space="preserve"> </v>
      </c>
      <c r="C839" s="3" t="str">
        <f ca="1">IF(OR(INDEX($K$2:$K$1001,MATCH(ROWS($J$2:J839),$J$2:$J$1001,0),1)&gt;=100000,INDEX($Q$1005:$U$1005,1,MATCH(COLUMNS($Q$1006:R1006),$Q$1006:$U$1006,0))&gt;=100000), " ",IF(INDEX($Q$2:$U$1001,MATCH(ROWS($J$2:J839),$J$2:$J$1001,0),MATCH(COLUMNS($Q$1006:R1006),$Q$1006:$U$1006,0)), HYPERLINK("#",""), HYPERLINK(CONCATENATE("#Metadata!", ADDRESS(INDEX($L$2:$L$1001,MATCH(ROWS($J$2:J839),$J$2:$J$1001,0),0), INDEX($Q$1004:$U$1004,1,MATCH(COLUMNS($Q$1006:R1006),$Q$1006:$U$1006,0)))),"Fix")))</f>
        <v xml:space="preserve"> </v>
      </c>
      <c r="D839" s="3" t="str">
        <f ca="1">IF(OR(INDEX($K$2:$K$1001,MATCH(ROWS($J$2:J839),$J$2:$J$1001,0),1)&gt;=100000,INDEX($Q$1005:$U$1005,1,MATCH(COLUMNS($Q$1006:S1006),$Q$1006:$U$1006,0))&gt;=100000), " ",IF(INDEX($Q$2:$U$1001,MATCH(ROWS($J$2:J839),$J$2:$J$1001,0),MATCH(COLUMNS($Q$1006:S1006),$Q$1006:$U$1006,0)), HYPERLINK("#",""), HYPERLINK(CONCATENATE("#Metadata!", ADDRESS(INDEX($L$2:$L$1001,MATCH(ROWS($J$2:J839),$J$2:$J$1001,0),0), INDEX($Q$1004:$U$1004,1,MATCH(COLUMNS($Q$1006:S1006),$Q$1006:$U$1006,0)))),"Fix")))</f>
        <v xml:space="preserve"> </v>
      </c>
      <c r="E839" s="3" t="str">
        <f ca="1">IF(OR(INDEX($K$2:$K$1001,MATCH(ROWS($J$2:J839),$J$2:$J$1001,0),1)&gt;=100000,INDEX($Q$1005:$U$1005,1,MATCH(COLUMNS($Q$1006:T1006),$Q$1006:$U$1006,0))&gt;=100000), " ",IF(INDEX($Q$2:$U$1001,MATCH(ROWS($J$2:J839),$J$2:$J$1001,0),MATCH(COLUMNS($Q$1006:T1006),$Q$1006:$U$1006,0)), HYPERLINK("#",""), HYPERLINK(CONCATENATE("#Metadata!", ADDRESS(INDEX($L$2:$L$1001,MATCH(ROWS($J$2:J839),$J$2:$J$1001,0),0), INDEX($Q$1004:$U$1004,1,MATCH(COLUMNS($Q$1006:T1006),$Q$1006:$U$1006,0)))),"Fix")))</f>
        <v xml:space="preserve"> </v>
      </c>
      <c r="F839" s="3" t="str">
        <f ca="1">IF(OR(INDEX($K$2:$K$1001,MATCH(ROWS($J$2:J839),$J$2:$J$1001,0),1)&gt;=100000,INDEX($Q$1005:$U$1005,1,MATCH(COLUMNS($Q$1006:U1006),$Q$1006:$U$1006,0))&gt;=100000), " ",IF(INDEX($Q$2:$U$1001,MATCH(ROWS($J$2:J839),$J$2:$J$1001,0),MATCH(COLUMNS($Q$1006:U1006),$Q$1006:$U$1006,0)), HYPERLINK("#",""), HYPERLINK(CONCATENATE("#Metadata!", ADDRESS(INDEX($L$2:$L$1001,MATCH(ROWS($J$2:J839),$J$2:$J$1001,0),0), INDEX($Q$1004:$U$1004,1,MATCH(COLUMNS($Q$1006:U1006),$Q$1006:$U$1006,0)))),"Fix")))</f>
        <v xml:space="preserve"> </v>
      </c>
      <c r="J839">
        <f ca="1"/>
        <v>838</v>
      </c>
      <c r="K839">
        <v>100839</v>
      </c>
      <c r="L839">
        <v>839</v>
      </c>
      <c r="M839" t="b">
        <f t="shared" si="13"/>
        <v>1</v>
      </c>
      <c r="N839" t="b">
        <f>COUNTBLANK(Metadata!B839:F839)=COLUMNS(Metadata!B839:F839)</f>
        <v>1</v>
      </c>
      <c r="O839" t="str">
        <v/>
      </c>
      <c r="Q839" t="b">
        <f ca="1"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R839" t="b">
        <f>IF(Metadata!C839="",FALSE,TRUE)</f>
        <v>0</v>
      </c>
      <c r="S839" t="b">
        <f>OR(AND(IF(Metadata!D839="",FALSE,TRUE),EXACT(Metadata!D839,"missing: not collected")),AND(IF(Metadata!D839="",FALSE,TRUE),OR(EXACT(Metadata!D839,"t"),EXACT(Metadata!D839,"f"))))</f>
        <v>0</v>
      </c>
      <c r="T839" t="b">
        <f>AND(IF(Metadata!E839="",FALSE,TRUE),OR(EXACT(Metadata!E839,"a"),EXACT(Metadata!E839,"b")))</f>
        <v>0</v>
      </c>
      <c r="U839" t="b">
        <f>OR(AND(IF(Metadata!F839="",FALSE,TRUE),OR(EXACT(Metadata!F839,"missing: not collected"),EXACT(Metadata!F839,"missing: not provided"))),AND(IF(Metadata!F839="",FALSE,TRUE),OR(EXACT(Metadata!F839,"lo"),EXACT(Metadata!F839,"med"),EXACT(Metadata!F839,"hi"))))</f>
        <v>0</v>
      </c>
    </row>
    <row r="840" spans="1:21" x14ac:dyDescent="0.2">
      <c r="A840" s="4" t="str">
        <f ca="1">IF(B840=" "," ",HYPERLINK(CONCATENATE("#metadata!",ADDRESS(INDEX($L$2:$L$1001,MATCH(ROWS($J$2:J840),$J$2:$J$1001,0),0),1)),INDEX($O$2:$O$1001,MATCH(ROWS($J$2:J840),$J$2:$J$1001,0),0)))</f>
        <v xml:space="preserve"> </v>
      </c>
      <c r="B840" s="3" t="str">
        <f ca="1">IF(OR(INDEX($K$2:$K$1001,MATCH(ROWS($J$2:J840),$J$2:$J$1001,0),1)&gt;=100000,INDEX($Q$1005:$U$1005,1,MATCH(COLUMNS($Q$1006:Q1006),$Q$1006:$U$1006,0))&gt;=100000), " ",IF(INDEX($Q$2:$U$1001,MATCH(ROWS($J$2:J840),$J$2:$J$1001,0),MATCH(COLUMNS($Q$1006:Q1006),$Q$1006:$U$1006,0)), HYPERLINK("#",""), HYPERLINK(CONCATENATE("#Metadata!", ADDRESS(INDEX($L$2:$L$1001,MATCH(ROWS($J$2:J840),$J$2:$J$1001,0),0), INDEX($Q$1004:$U$1004,1,MATCH(COLUMNS($Q$1006:Q1006),$Q$1006:$U$1006,0)))),"Fix")))</f>
        <v xml:space="preserve"> </v>
      </c>
      <c r="C840" s="3" t="str">
        <f ca="1">IF(OR(INDEX($K$2:$K$1001,MATCH(ROWS($J$2:J840),$J$2:$J$1001,0),1)&gt;=100000,INDEX($Q$1005:$U$1005,1,MATCH(COLUMNS($Q$1006:R1006),$Q$1006:$U$1006,0))&gt;=100000), " ",IF(INDEX($Q$2:$U$1001,MATCH(ROWS($J$2:J840),$J$2:$J$1001,0),MATCH(COLUMNS($Q$1006:R1006),$Q$1006:$U$1006,0)), HYPERLINK("#",""), HYPERLINK(CONCATENATE("#Metadata!", ADDRESS(INDEX($L$2:$L$1001,MATCH(ROWS($J$2:J840),$J$2:$J$1001,0),0), INDEX($Q$1004:$U$1004,1,MATCH(COLUMNS($Q$1006:R1006),$Q$1006:$U$1006,0)))),"Fix")))</f>
        <v xml:space="preserve"> </v>
      </c>
      <c r="D840" s="3" t="str">
        <f ca="1">IF(OR(INDEX($K$2:$K$1001,MATCH(ROWS($J$2:J840),$J$2:$J$1001,0),1)&gt;=100000,INDEX($Q$1005:$U$1005,1,MATCH(COLUMNS($Q$1006:S1006),$Q$1006:$U$1006,0))&gt;=100000), " ",IF(INDEX($Q$2:$U$1001,MATCH(ROWS($J$2:J840),$J$2:$J$1001,0),MATCH(COLUMNS($Q$1006:S1006),$Q$1006:$U$1006,0)), HYPERLINK("#",""), HYPERLINK(CONCATENATE("#Metadata!", ADDRESS(INDEX($L$2:$L$1001,MATCH(ROWS($J$2:J840),$J$2:$J$1001,0),0), INDEX($Q$1004:$U$1004,1,MATCH(COLUMNS($Q$1006:S1006),$Q$1006:$U$1006,0)))),"Fix")))</f>
        <v xml:space="preserve"> </v>
      </c>
      <c r="E840" s="3" t="str">
        <f ca="1">IF(OR(INDEX($K$2:$K$1001,MATCH(ROWS($J$2:J840),$J$2:$J$1001,0),1)&gt;=100000,INDEX($Q$1005:$U$1005,1,MATCH(COLUMNS($Q$1006:T1006),$Q$1006:$U$1006,0))&gt;=100000), " ",IF(INDEX($Q$2:$U$1001,MATCH(ROWS($J$2:J840),$J$2:$J$1001,0),MATCH(COLUMNS($Q$1006:T1006),$Q$1006:$U$1006,0)), HYPERLINK("#",""), HYPERLINK(CONCATENATE("#Metadata!", ADDRESS(INDEX($L$2:$L$1001,MATCH(ROWS($J$2:J840),$J$2:$J$1001,0),0), INDEX($Q$1004:$U$1004,1,MATCH(COLUMNS($Q$1006:T1006),$Q$1006:$U$1006,0)))),"Fix")))</f>
        <v xml:space="preserve"> </v>
      </c>
      <c r="F840" s="3" t="str">
        <f ca="1">IF(OR(INDEX($K$2:$K$1001,MATCH(ROWS($J$2:J840),$J$2:$J$1001,0),1)&gt;=100000,INDEX($Q$1005:$U$1005,1,MATCH(COLUMNS($Q$1006:U1006),$Q$1006:$U$1006,0))&gt;=100000), " ",IF(INDEX($Q$2:$U$1001,MATCH(ROWS($J$2:J840),$J$2:$J$1001,0),MATCH(COLUMNS($Q$1006:U1006),$Q$1006:$U$1006,0)), HYPERLINK("#",""), HYPERLINK(CONCATENATE("#Metadata!", ADDRESS(INDEX($L$2:$L$1001,MATCH(ROWS($J$2:J840),$J$2:$J$1001,0),0), INDEX($Q$1004:$U$1004,1,MATCH(COLUMNS($Q$1006:U1006),$Q$1006:$U$1006,0)))),"Fix")))</f>
        <v xml:space="preserve"> </v>
      </c>
      <c r="J840">
        <f ca="1"/>
        <v>839</v>
      </c>
      <c r="K840">
        <v>100840</v>
      </c>
      <c r="L840">
        <v>840</v>
      </c>
      <c r="M840" t="b">
        <f t="shared" si="13"/>
        <v>1</v>
      </c>
      <c r="N840" t="b">
        <f>COUNTBLANK(Metadata!B840:F840)=COLUMNS(Metadata!B840:F840)</f>
        <v>1</v>
      </c>
      <c r="O840" t="str">
        <v/>
      </c>
      <c r="Q840" t="b">
        <f ca="1"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R840" t="b">
        <f>IF(Metadata!C840="",FALSE,TRUE)</f>
        <v>0</v>
      </c>
      <c r="S840" t="b">
        <f>OR(AND(IF(Metadata!D840="",FALSE,TRUE),EXACT(Metadata!D840,"missing: not collected")),AND(IF(Metadata!D840="",FALSE,TRUE),OR(EXACT(Metadata!D840,"t"),EXACT(Metadata!D840,"f"))))</f>
        <v>0</v>
      </c>
      <c r="T840" t="b">
        <f>AND(IF(Metadata!E840="",FALSE,TRUE),OR(EXACT(Metadata!E840,"a"),EXACT(Metadata!E840,"b")))</f>
        <v>0</v>
      </c>
      <c r="U840" t="b">
        <f>OR(AND(IF(Metadata!F840="",FALSE,TRUE),OR(EXACT(Metadata!F840,"missing: not collected"),EXACT(Metadata!F840,"missing: not provided"))),AND(IF(Metadata!F840="",FALSE,TRUE),OR(EXACT(Metadata!F840,"lo"),EXACT(Metadata!F840,"med"),EXACT(Metadata!F840,"hi"))))</f>
        <v>0</v>
      </c>
    </row>
    <row r="841" spans="1:21" x14ac:dyDescent="0.2">
      <c r="A841" s="4" t="str">
        <f ca="1">IF(B841=" "," ",HYPERLINK(CONCATENATE("#metadata!",ADDRESS(INDEX($L$2:$L$1001,MATCH(ROWS($J$2:J841),$J$2:$J$1001,0),0),1)),INDEX($O$2:$O$1001,MATCH(ROWS($J$2:J841),$J$2:$J$1001,0),0)))</f>
        <v xml:space="preserve"> </v>
      </c>
      <c r="B841" s="3" t="str">
        <f ca="1">IF(OR(INDEX($K$2:$K$1001,MATCH(ROWS($J$2:J841),$J$2:$J$1001,0),1)&gt;=100000,INDEX($Q$1005:$U$1005,1,MATCH(COLUMNS($Q$1006:Q1006),$Q$1006:$U$1006,0))&gt;=100000), " ",IF(INDEX($Q$2:$U$1001,MATCH(ROWS($J$2:J841),$J$2:$J$1001,0),MATCH(COLUMNS($Q$1006:Q1006),$Q$1006:$U$1006,0)), HYPERLINK("#",""), HYPERLINK(CONCATENATE("#Metadata!", ADDRESS(INDEX($L$2:$L$1001,MATCH(ROWS($J$2:J841),$J$2:$J$1001,0),0), INDEX($Q$1004:$U$1004,1,MATCH(COLUMNS($Q$1006:Q1006),$Q$1006:$U$1006,0)))),"Fix")))</f>
        <v xml:space="preserve"> </v>
      </c>
      <c r="C841" s="3" t="str">
        <f ca="1">IF(OR(INDEX($K$2:$K$1001,MATCH(ROWS($J$2:J841),$J$2:$J$1001,0),1)&gt;=100000,INDEX($Q$1005:$U$1005,1,MATCH(COLUMNS($Q$1006:R1006),$Q$1006:$U$1006,0))&gt;=100000), " ",IF(INDEX($Q$2:$U$1001,MATCH(ROWS($J$2:J841),$J$2:$J$1001,0),MATCH(COLUMNS($Q$1006:R1006),$Q$1006:$U$1006,0)), HYPERLINK("#",""), HYPERLINK(CONCATENATE("#Metadata!", ADDRESS(INDEX($L$2:$L$1001,MATCH(ROWS($J$2:J841),$J$2:$J$1001,0),0), INDEX($Q$1004:$U$1004,1,MATCH(COLUMNS($Q$1006:R1006),$Q$1006:$U$1006,0)))),"Fix")))</f>
        <v xml:space="preserve"> </v>
      </c>
      <c r="D841" s="3" t="str">
        <f ca="1">IF(OR(INDEX($K$2:$K$1001,MATCH(ROWS($J$2:J841),$J$2:$J$1001,0),1)&gt;=100000,INDEX($Q$1005:$U$1005,1,MATCH(COLUMNS($Q$1006:S1006),$Q$1006:$U$1006,0))&gt;=100000), " ",IF(INDEX($Q$2:$U$1001,MATCH(ROWS($J$2:J841),$J$2:$J$1001,0),MATCH(COLUMNS($Q$1006:S1006),$Q$1006:$U$1006,0)), HYPERLINK("#",""), HYPERLINK(CONCATENATE("#Metadata!", ADDRESS(INDEX($L$2:$L$1001,MATCH(ROWS($J$2:J841),$J$2:$J$1001,0),0), INDEX($Q$1004:$U$1004,1,MATCH(COLUMNS($Q$1006:S1006),$Q$1006:$U$1006,0)))),"Fix")))</f>
        <v xml:space="preserve"> </v>
      </c>
      <c r="E841" s="3" t="str">
        <f ca="1">IF(OR(INDEX($K$2:$K$1001,MATCH(ROWS($J$2:J841),$J$2:$J$1001,0),1)&gt;=100000,INDEX($Q$1005:$U$1005,1,MATCH(COLUMNS($Q$1006:T1006),$Q$1006:$U$1006,0))&gt;=100000), " ",IF(INDEX($Q$2:$U$1001,MATCH(ROWS($J$2:J841),$J$2:$J$1001,0),MATCH(COLUMNS($Q$1006:T1006),$Q$1006:$U$1006,0)), HYPERLINK("#",""), HYPERLINK(CONCATENATE("#Metadata!", ADDRESS(INDEX($L$2:$L$1001,MATCH(ROWS($J$2:J841),$J$2:$J$1001,0),0), INDEX($Q$1004:$U$1004,1,MATCH(COLUMNS($Q$1006:T1006),$Q$1006:$U$1006,0)))),"Fix")))</f>
        <v xml:space="preserve"> </v>
      </c>
      <c r="F841" s="3" t="str">
        <f ca="1">IF(OR(INDEX($K$2:$K$1001,MATCH(ROWS($J$2:J841),$J$2:$J$1001,0),1)&gt;=100000,INDEX($Q$1005:$U$1005,1,MATCH(COLUMNS($Q$1006:U1006),$Q$1006:$U$1006,0))&gt;=100000), " ",IF(INDEX($Q$2:$U$1001,MATCH(ROWS($J$2:J841),$J$2:$J$1001,0),MATCH(COLUMNS($Q$1006:U1006),$Q$1006:$U$1006,0)), HYPERLINK("#",""), HYPERLINK(CONCATENATE("#Metadata!", ADDRESS(INDEX($L$2:$L$1001,MATCH(ROWS($J$2:J841),$J$2:$J$1001,0),0), INDEX($Q$1004:$U$1004,1,MATCH(COLUMNS($Q$1006:U1006),$Q$1006:$U$1006,0)))),"Fix")))</f>
        <v xml:space="preserve"> </v>
      </c>
      <c r="J841">
        <f ca="1"/>
        <v>840</v>
      </c>
      <c r="K841">
        <v>100841</v>
      </c>
      <c r="L841">
        <v>841</v>
      </c>
      <c r="M841" t="b">
        <f t="shared" si="13"/>
        <v>1</v>
      </c>
      <c r="N841" t="b">
        <f>COUNTBLANK(Metadata!B841:F841)=COLUMNS(Metadata!B841:F841)</f>
        <v>1</v>
      </c>
      <c r="O841" t="str">
        <v/>
      </c>
      <c r="Q841" t="b">
        <f ca="1"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R841" t="b">
        <f>IF(Metadata!C841="",FALSE,TRUE)</f>
        <v>0</v>
      </c>
      <c r="S841" t="b">
        <f>OR(AND(IF(Metadata!D841="",FALSE,TRUE),EXACT(Metadata!D841,"missing: not collected")),AND(IF(Metadata!D841="",FALSE,TRUE),OR(EXACT(Metadata!D841,"t"),EXACT(Metadata!D841,"f"))))</f>
        <v>0</v>
      </c>
      <c r="T841" t="b">
        <f>AND(IF(Metadata!E841="",FALSE,TRUE),OR(EXACT(Metadata!E841,"a"),EXACT(Metadata!E841,"b")))</f>
        <v>0</v>
      </c>
      <c r="U841" t="b">
        <f>OR(AND(IF(Metadata!F841="",FALSE,TRUE),OR(EXACT(Metadata!F841,"missing: not collected"),EXACT(Metadata!F841,"missing: not provided"))),AND(IF(Metadata!F841="",FALSE,TRUE),OR(EXACT(Metadata!F841,"lo"),EXACT(Metadata!F841,"med"),EXACT(Metadata!F841,"hi"))))</f>
        <v>0</v>
      </c>
    </row>
    <row r="842" spans="1:21" x14ac:dyDescent="0.2">
      <c r="A842" s="4" t="str">
        <f ca="1">IF(B842=" "," ",HYPERLINK(CONCATENATE("#metadata!",ADDRESS(INDEX($L$2:$L$1001,MATCH(ROWS($J$2:J842),$J$2:$J$1001,0),0),1)),INDEX($O$2:$O$1001,MATCH(ROWS($J$2:J842),$J$2:$J$1001,0),0)))</f>
        <v xml:space="preserve"> </v>
      </c>
      <c r="B842" s="3" t="str">
        <f ca="1">IF(OR(INDEX($K$2:$K$1001,MATCH(ROWS($J$2:J842),$J$2:$J$1001,0),1)&gt;=100000,INDEX($Q$1005:$U$1005,1,MATCH(COLUMNS($Q$1006:Q1006),$Q$1006:$U$1006,0))&gt;=100000), " ",IF(INDEX($Q$2:$U$1001,MATCH(ROWS($J$2:J842),$J$2:$J$1001,0),MATCH(COLUMNS($Q$1006:Q1006),$Q$1006:$U$1006,0)), HYPERLINK("#",""), HYPERLINK(CONCATENATE("#Metadata!", ADDRESS(INDEX($L$2:$L$1001,MATCH(ROWS($J$2:J842),$J$2:$J$1001,0),0), INDEX($Q$1004:$U$1004,1,MATCH(COLUMNS($Q$1006:Q1006),$Q$1006:$U$1006,0)))),"Fix")))</f>
        <v xml:space="preserve"> </v>
      </c>
      <c r="C842" s="3" t="str">
        <f ca="1">IF(OR(INDEX($K$2:$K$1001,MATCH(ROWS($J$2:J842),$J$2:$J$1001,0),1)&gt;=100000,INDEX($Q$1005:$U$1005,1,MATCH(COLUMNS($Q$1006:R1006),$Q$1006:$U$1006,0))&gt;=100000), " ",IF(INDEX($Q$2:$U$1001,MATCH(ROWS($J$2:J842),$J$2:$J$1001,0),MATCH(COLUMNS($Q$1006:R1006),$Q$1006:$U$1006,0)), HYPERLINK("#",""), HYPERLINK(CONCATENATE("#Metadata!", ADDRESS(INDEX($L$2:$L$1001,MATCH(ROWS($J$2:J842),$J$2:$J$1001,0),0), INDEX($Q$1004:$U$1004,1,MATCH(COLUMNS($Q$1006:R1006),$Q$1006:$U$1006,0)))),"Fix")))</f>
        <v xml:space="preserve"> </v>
      </c>
      <c r="D842" s="3" t="str">
        <f ca="1">IF(OR(INDEX($K$2:$K$1001,MATCH(ROWS($J$2:J842),$J$2:$J$1001,0),1)&gt;=100000,INDEX($Q$1005:$U$1005,1,MATCH(COLUMNS($Q$1006:S1006),$Q$1006:$U$1006,0))&gt;=100000), " ",IF(INDEX($Q$2:$U$1001,MATCH(ROWS($J$2:J842),$J$2:$J$1001,0),MATCH(COLUMNS($Q$1006:S1006),$Q$1006:$U$1006,0)), HYPERLINK("#",""), HYPERLINK(CONCATENATE("#Metadata!", ADDRESS(INDEX($L$2:$L$1001,MATCH(ROWS($J$2:J842),$J$2:$J$1001,0),0), INDEX($Q$1004:$U$1004,1,MATCH(COLUMNS($Q$1006:S1006),$Q$1006:$U$1006,0)))),"Fix")))</f>
        <v xml:space="preserve"> </v>
      </c>
      <c r="E842" s="3" t="str">
        <f ca="1">IF(OR(INDEX($K$2:$K$1001,MATCH(ROWS($J$2:J842),$J$2:$J$1001,0),1)&gt;=100000,INDEX($Q$1005:$U$1005,1,MATCH(COLUMNS($Q$1006:T1006),$Q$1006:$U$1006,0))&gt;=100000), " ",IF(INDEX($Q$2:$U$1001,MATCH(ROWS($J$2:J842),$J$2:$J$1001,0),MATCH(COLUMNS($Q$1006:T1006),$Q$1006:$U$1006,0)), HYPERLINK("#",""), HYPERLINK(CONCATENATE("#Metadata!", ADDRESS(INDEX($L$2:$L$1001,MATCH(ROWS($J$2:J842),$J$2:$J$1001,0),0), INDEX($Q$1004:$U$1004,1,MATCH(COLUMNS($Q$1006:T1006),$Q$1006:$U$1006,0)))),"Fix")))</f>
        <v xml:space="preserve"> </v>
      </c>
      <c r="F842" s="3" t="str">
        <f ca="1">IF(OR(INDEX($K$2:$K$1001,MATCH(ROWS($J$2:J842),$J$2:$J$1001,0),1)&gt;=100000,INDEX($Q$1005:$U$1005,1,MATCH(COLUMNS($Q$1006:U1006),$Q$1006:$U$1006,0))&gt;=100000), " ",IF(INDEX($Q$2:$U$1001,MATCH(ROWS($J$2:J842),$J$2:$J$1001,0),MATCH(COLUMNS($Q$1006:U1006),$Q$1006:$U$1006,0)), HYPERLINK("#",""), HYPERLINK(CONCATENATE("#Metadata!", ADDRESS(INDEX($L$2:$L$1001,MATCH(ROWS($J$2:J842),$J$2:$J$1001,0),0), INDEX($Q$1004:$U$1004,1,MATCH(COLUMNS($Q$1006:U1006),$Q$1006:$U$1006,0)))),"Fix")))</f>
        <v xml:space="preserve"> </v>
      </c>
      <c r="J842">
        <f ca="1"/>
        <v>841</v>
      </c>
      <c r="K842">
        <v>100842</v>
      </c>
      <c r="L842">
        <v>842</v>
      </c>
      <c r="M842" t="b">
        <f t="shared" si="13"/>
        <v>1</v>
      </c>
      <c r="N842" t="b">
        <f>COUNTBLANK(Metadata!B842:F842)=COLUMNS(Metadata!B842:F842)</f>
        <v>1</v>
      </c>
      <c r="O842" t="str">
        <v/>
      </c>
      <c r="Q842" t="b">
        <f ca="1"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R842" t="b">
        <f>IF(Metadata!C842="",FALSE,TRUE)</f>
        <v>0</v>
      </c>
      <c r="S842" t="b">
        <f>OR(AND(IF(Metadata!D842="",FALSE,TRUE),EXACT(Metadata!D842,"missing: not collected")),AND(IF(Metadata!D842="",FALSE,TRUE),OR(EXACT(Metadata!D842,"t"),EXACT(Metadata!D842,"f"))))</f>
        <v>0</v>
      </c>
      <c r="T842" t="b">
        <f>AND(IF(Metadata!E842="",FALSE,TRUE),OR(EXACT(Metadata!E842,"a"),EXACT(Metadata!E842,"b")))</f>
        <v>0</v>
      </c>
      <c r="U842" t="b">
        <f>OR(AND(IF(Metadata!F842="",FALSE,TRUE),OR(EXACT(Metadata!F842,"missing: not collected"),EXACT(Metadata!F842,"missing: not provided"))),AND(IF(Metadata!F842="",FALSE,TRUE),OR(EXACT(Metadata!F842,"lo"),EXACT(Metadata!F842,"med"),EXACT(Metadata!F842,"hi"))))</f>
        <v>0</v>
      </c>
    </row>
    <row r="843" spans="1:21" x14ac:dyDescent="0.2">
      <c r="A843" s="4" t="str">
        <f ca="1">IF(B843=" "," ",HYPERLINK(CONCATENATE("#metadata!",ADDRESS(INDEX($L$2:$L$1001,MATCH(ROWS($J$2:J843),$J$2:$J$1001,0),0),1)),INDEX($O$2:$O$1001,MATCH(ROWS($J$2:J843),$J$2:$J$1001,0),0)))</f>
        <v xml:space="preserve"> </v>
      </c>
      <c r="B843" s="3" t="str">
        <f ca="1">IF(OR(INDEX($K$2:$K$1001,MATCH(ROWS($J$2:J843),$J$2:$J$1001,0),1)&gt;=100000,INDEX($Q$1005:$U$1005,1,MATCH(COLUMNS($Q$1006:Q1006),$Q$1006:$U$1006,0))&gt;=100000), " ",IF(INDEX($Q$2:$U$1001,MATCH(ROWS($J$2:J843),$J$2:$J$1001,0),MATCH(COLUMNS($Q$1006:Q1006),$Q$1006:$U$1006,0)), HYPERLINK("#",""), HYPERLINK(CONCATENATE("#Metadata!", ADDRESS(INDEX($L$2:$L$1001,MATCH(ROWS($J$2:J843),$J$2:$J$1001,0),0), INDEX($Q$1004:$U$1004,1,MATCH(COLUMNS($Q$1006:Q1006),$Q$1006:$U$1006,0)))),"Fix")))</f>
        <v xml:space="preserve"> </v>
      </c>
      <c r="C843" s="3" t="str">
        <f ca="1">IF(OR(INDEX($K$2:$K$1001,MATCH(ROWS($J$2:J843),$J$2:$J$1001,0),1)&gt;=100000,INDEX($Q$1005:$U$1005,1,MATCH(COLUMNS($Q$1006:R1006),$Q$1006:$U$1006,0))&gt;=100000), " ",IF(INDEX($Q$2:$U$1001,MATCH(ROWS($J$2:J843),$J$2:$J$1001,0),MATCH(COLUMNS($Q$1006:R1006),$Q$1006:$U$1006,0)), HYPERLINK("#",""), HYPERLINK(CONCATENATE("#Metadata!", ADDRESS(INDEX($L$2:$L$1001,MATCH(ROWS($J$2:J843),$J$2:$J$1001,0),0), INDEX($Q$1004:$U$1004,1,MATCH(COLUMNS($Q$1006:R1006),$Q$1006:$U$1006,0)))),"Fix")))</f>
        <v xml:space="preserve"> </v>
      </c>
      <c r="D843" s="3" t="str">
        <f ca="1">IF(OR(INDEX($K$2:$K$1001,MATCH(ROWS($J$2:J843),$J$2:$J$1001,0),1)&gt;=100000,INDEX($Q$1005:$U$1005,1,MATCH(COLUMNS($Q$1006:S1006),$Q$1006:$U$1006,0))&gt;=100000), " ",IF(INDEX($Q$2:$U$1001,MATCH(ROWS($J$2:J843),$J$2:$J$1001,0),MATCH(COLUMNS($Q$1006:S1006),$Q$1006:$U$1006,0)), HYPERLINK("#",""), HYPERLINK(CONCATENATE("#Metadata!", ADDRESS(INDEX($L$2:$L$1001,MATCH(ROWS($J$2:J843),$J$2:$J$1001,0),0), INDEX($Q$1004:$U$1004,1,MATCH(COLUMNS($Q$1006:S1006),$Q$1006:$U$1006,0)))),"Fix")))</f>
        <v xml:space="preserve"> </v>
      </c>
      <c r="E843" s="3" t="str">
        <f ca="1">IF(OR(INDEX($K$2:$K$1001,MATCH(ROWS($J$2:J843),$J$2:$J$1001,0),1)&gt;=100000,INDEX($Q$1005:$U$1005,1,MATCH(COLUMNS($Q$1006:T1006),$Q$1006:$U$1006,0))&gt;=100000), " ",IF(INDEX($Q$2:$U$1001,MATCH(ROWS($J$2:J843),$J$2:$J$1001,0),MATCH(COLUMNS($Q$1006:T1006),$Q$1006:$U$1006,0)), HYPERLINK("#",""), HYPERLINK(CONCATENATE("#Metadata!", ADDRESS(INDEX($L$2:$L$1001,MATCH(ROWS($J$2:J843),$J$2:$J$1001,0),0), INDEX($Q$1004:$U$1004,1,MATCH(COLUMNS($Q$1006:T1006),$Q$1006:$U$1006,0)))),"Fix")))</f>
        <v xml:space="preserve"> </v>
      </c>
      <c r="F843" s="3" t="str">
        <f ca="1">IF(OR(INDEX($K$2:$K$1001,MATCH(ROWS($J$2:J843),$J$2:$J$1001,0),1)&gt;=100000,INDEX($Q$1005:$U$1005,1,MATCH(COLUMNS($Q$1006:U1006),$Q$1006:$U$1006,0))&gt;=100000), " ",IF(INDEX($Q$2:$U$1001,MATCH(ROWS($J$2:J843),$J$2:$J$1001,0),MATCH(COLUMNS($Q$1006:U1006),$Q$1006:$U$1006,0)), HYPERLINK("#",""), HYPERLINK(CONCATENATE("#Metadata!", ADDRESS(INDEX($L$2:$L$1001,MATCH(ROWS($J$2:J843),$J$2:$J$1001,0),0), INDEX($Q$1004:$U$1004,1,MATCH(COLUMNS($Q$1006:U1006),$Q$1006:$U$1006,0)))),"Fix")))</f>
        <v xml:space="preserve"> </v>
      </c>
      <c r="J843">
        <f ca="1"/>
        <v>842</v>
      </c>
      <c r="K843">
        <v>100843</v>
      </c>
      <c r="L843">
        <v>843</v>
      </c>
      <c r="M843" t="b">
        <f t="shared" si="13"/>
        <v>1</v>
      </c>
      <c r="N843" t="b">
        <f>COUNTBLANK(Metadata!B843:F843)=COLUMNS(Metadata!B843:F843)</f>
        <v>1</v>
      </c>
      <c r="O843" t="str">
        <v/>
      </c>
      <c r="Q843" t="b">
        <f ca="1"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R843" t="b">
        <f>IF(Metadata!C843="",FALSE,TRUE)</f>
        <v>0</v>
      </c>
      <c r="S843" t="b">
        <f>OR(AND(IF(Metadata!D843="",FALSE,TRUE),EXACT(Metadata!D843,"missing: not collected")),AND(IF(Metadata!D843="",FALSE,TRUE),OR(EXACT(Metadata!D843,"t"),EXACT(Metadata!D843,"f"))))</f>
        <v>0</v>
      </c>
      <c r="T843" t="b">
        <f>AND(IF(Metadata!E843="",FALSE,TRUE),OR(EXACT(Metadata!E843,"a"),EXACT(Metadata!E843,"b")))</f>
        <v>0</v>
      </c>
      <c r="U843" t="b">
        <f>OR(AND(IF(Metadata!F843="",FALSE,TRUE),OR(EXACT(Metadata!F843,"missing: not collected"),EXACT(Metadata!F843,"missing: not provided"))),AND(IF(Metadata!F843="",FALSE,TRUE),OR(EXACT(Metadata!F843,"lo"),EXACT(Metadata!F843,"med"),EXACT(Metadata!F843,"hi"))))</f>
        <v>0</v>
      </c>
    </row>
    <row r="844" spans="1:21" x14ac:dyDescent="0.2">
      <c r="A844" s="4" t="str">
        <f ca="1">IF(B844=" "," ",HYPERLINK(CONCATENATE("#metadata!",ADDRESS(INDEX($L$2:$L$1001,MATCH(ROWS($J$2:J844),$J$2:$J$1001,0),0),1)),INDEX($O$2:$O$1001,MATCH(ROWS($J$2:J844),$J$2:$J$1001,0),0)))</f>
        <v xml:space="preserve"> </v>
      </c>
      <c r="B844" s="3" t="str">
        <f ca="1">IF(OR(INDEX($K$2:$K$1001,MATCH(ROWS($J$2:J844),$J$2:$J$1001,0),1)&gt;=100000,INDEX($Q$1005:$U$1005,1,MATCH(COLUMNS($Q$1006:Q1006),$Q$1006:$U$1006,0))&gt;=100000), " ",IF(INDEX($Q$2:$U$1001,MATCH(ROWS($J$2:J844),$J$2:$J$1001,0),MATCH(COLUMNS($Q$1006:Q1006),$Q$1006:$U$1006,0)), HYPERLINK("#",""), HYPERLINK(CONCATENATE("#Metadata!", ADDRESS(INDEX($L$2:$L$1001,MATCH(ROWS($J$2:J844),$J$2:$J$1001,0),0), INDEX($Q$1004:$U$1004,1,MATCH(COLUMNS($Q$1006:Q1006),$Q$1006:$U$1006,0)))),"Fix")))</f>
        <v xml:space="preserve"> </v>
      </c>
      <c r="C844" s="3" t="str">
        <f ca="1">IF(OR(INDEX($K$2:$K$1001,MATCH(ROWS($J$2:J844),$J$2:$J$1001,0),1)&gt;=100000,INDEX($Q$1005:$U$1005,1,MATCH(COLUMNS($Q$1006:R1006),$Q$1006:$U$1006,0))&gt;=100000), " ",IF(INDEX($Q$2:$U$1001,MATCH(ROWS($J$2:J844),$J$2:$J$1001,0),MATCH(COLUMNS($Q$1006:R1006),$Q$1006:$U$1006,0)), HYPERLINK("#",""), HYPERLINK(CONCATENATE("#Metadata!", ADDRESS(INDEX($L$2:$L$1001,MATCH(ROWS($J$2:J844),$J$2:$J$1001,0),0), INDEX($Q$1004:$U$1004,1,MATCH(COLUMNS($Q$1006:R1006),$Q$1006:$U$1006,0)))),"Fix")))</f>
        <v xml:space="preserve"> </v>
      </c>
      <c r="D844" s="3" t="str">
        <f ca="1">IF(OR(INDEX($K$2:$K$1001,MATCH(ROWS($J$2:J844),$J$2:$J$1001,0),1)&gt;=100000,INDEX($Q$1005:$U$1005,1,MATCH(COLUMNS($Q$1006:S1006),$Q$1006:$U$1006,0))&gt;=100000), " ",IF(INDEX($Q$2:$U$1001,MATCH(ROWS($J$2:J844),$J$2:$J$1001,0),MATCH(COLUMNS($Q$1006:S1006),$Q$1006:$U$1006,0)), HYPERLINK("#",""), HYPERLINK(CONCATENATE("#Metadata!", ADDRESS(INDEX($L$2:$L$1001,MATCH(ROWS($J$2:J844),$J$2:$J$1001,0),0), INDEX($Q$1004:$U$1004,1,MATCH(COLUMNS($Q$1006:S1006),$Q$1006:$U$1006,0)))),"Fix")))</f>
        <v xml:space="preserve"> </v>
      </c>
      <c r="E844" s="3" t="str">
        <f ca="1">IF(OR(INDEX($K$2:$K$1001,MATCH(ROWS($J$2:J844),$J$2:$J$1001,0),1)&gt;=100000,INDEX($Q$1005:$U$1005,1,MATCH(COLUMNS($Q$1006:T1006),$Q$1006:$U$1006,0))&gt;=100000), " ",IF(INDEX($Q$2:$U$1001,MATCH(ROWS($J$2:J844),$J$2:$J$1001,0),MATCH(COLUMNS($Q$1006:T1006),$Q$1006:$U$1006,0)), HYPERLINK("#",""), HYPERLINK(CONCATENATE("#Metadata!", ADDRESS(INDEX($L$2:$L$1001,MATCH(ROWS($J$2:J844),$J$2:$J$1001,0),0), INDEX($Q$1004:$U$1004,1,MATCH(COLUMNS($Q$1006:T1006),$Q$1006:$U$1006,0)))),"Fix")))</f>
        <v xml:space="preserve"> </v>
      </c>
      <c r="F844" s="3" t="str">
        <f ca="1">IF(OR(INDEX($K$2:$K$1001,MATCH(ROWS($J$2:J844),$J$2:$J$1001,0),1)&gt;=100000,INDEX($Q$1005:$U$1005,1,MATCH(COLUMNS($Q$1006:U1006),$Q$1006:$U$1006,0))&gt;=100000), " ",IF(INDEX($Q$2:$U$1001,MATCH(ROWS($J$2:J844),$J$2:$J$1001,0),MATCH(COLUMNS($Q$1006:U1006),$Q$1006:$U$1006,0)), HYPERLINK("#",""), HYPERLINK(CONCATENATE("#Metadata!", ADDRESS(INDEX($L$2:$L$1001,MATCH(ROWS($J$2:J844),$J$2:$J$1001,0),0), INDEX($Q$1004:$U$1004,1,MATCH(COLUMNS($Q$1006:U1006),$Q$1006:$U$1006,0)))),"Fix")))</f>
        <v xml:space="preserve"> </v>
      </c>
      <c r="J844">
        <f ca="1"/>
        <v>843</v>
      </c>
      <c r="K844">
        <v>100844</v>
      </c>
      <c r="L844">
        <v>844</v>
      </c>
      <c r="M844" t="b">
        <f t="shared" si="13"/>
        <v>1</v>
      </c>
      <c r="N844" t="b">
        <f>COUNTBLANK(Metadata!B844:F844)=COLUMNS(Metadata!B844:F844)</f>
        <v>1</v>
      </c>
      <c r="O844" t="str">
        <v/>
      </c>
      <c r="Q844" t="b">
        <f ca="1"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R844" t="b">
        <f>IF(Metadata!C844="",FALSE,TRUE)</f>
        <v>0</v>
      </c>
      <c r="S844" t="b">
        <f>OR(AND(IF(Metadata!D844="",FALSE,TRUE),EXACT(Metadata!D844,"missing: not collected")),AND(IF(Metadata!D844="",FALSE,TRUE),OR(EXACT(Metadata!D844,"t"),EXACT(Metadata!D844,"f"))))</f>
        <v>0</v>
      </c>
      <c r="T844" t="b">
        <f>AND(IF(Metadata!E844="",FALSE,TRUE),OR(EXACT(Metadata!E844,"a"),EXACT(Metadata!E844,"b")))</f>
        <v>0</v>
      </c>
      <c r="U844" t="b">
        <f>OR(AND(IF(Metadata!F844="",FALSE,TRUE),OR(EXACT(Metadata!F844,"missing: not collected"),EXACT(Metadata!F844,"missing: not provided"))),AND(IF(Metadata!F844="",FALSE,TRUE),OR(EXACT(Metadata!F844,"lo"),EXACT(Metadata!F844,"med"),EXACT(Metadata!F844,"hi"))))</f>
        <v>0</v>
      </c>
    </row>
    <row r="845" spans="1:21" x14ac:dyDescent="0.2">
      <c r="A845" s="4" t="str">
        <f ca="1">IF(B845=" "," ",HYPERLINK(CONCATENATE("#metadata!",ADDRESS(INDEX($L$2:$L$1001,MATCH(ROWS($J$2:J845),$J$2:$J$1001,0),0),1)),INDEX($O$2:$O$1001,MATCH(ROWS($J$2:J845),$J$2:$J$1001,0),0)))</f>
        <v xml:space="preserve"> </v>
      </c>
      <c r="B845" s="3" t="str">
        <f ca="1">IF(OR(INDEX($K$2:$K$1001,MATCH(ROWS($J$2:J845),$J$2:$J$1001,0),1)&gt;=100000,INDEX($Q$1005:$U$1005,1,MATCH(COLUMNS($Q$1006:Q1006),$Q$1006:$U$1006,0))&gt;=100000), " ",IF(INDEX($Q$2:$U$1001,MATCH(ROWS($J$2:J845),$J$2:$J$1001,0),MATCH(COLUMNS($Q$1006:Q1006),$Q$1006:$U$1006,0)), HYPERLINK("#",""), HYPERLINK(CONCATENATE("#Metadata!", ADDRESS(INDEX($L$2:$L$1001,MATCH(ROWS($J$2:J845),$J$2:$J$1001,0),0), INDEX($Q$1004:$U$1004,1,MATCH(COLUMNS($Q$1006:Q1006),$Q$1006:$U$1006,0)))),"Fix")))</f>
        <v xml:space="preserve"> </v>
      </c>
      <c r="C845" s="3" t="str">
        <f ca="1">IF(OR(INDEX($K$2:$K$1001,MATCH(ROWS($J$2:J845),$J$2:$J$1001,0),1)&gt;=100000,INDEX($Q$1005:$U$1005,1,MATCH(COLUMNS($Q$1006:R1006),$Q$1006:$U$1006,0))&gt;=100000), " ",IF(INDEX($Q$2:$U$1001,MATCH(ROWS($J$2:J845),$J$2:$J$1001,0),MATCH(COLUMNS($Q$1006:R1006),$Q$1006:$U$1006,0)), HYPERLINK("#",""), HYPERLINK(CONCATENATE("#Metadata!", ADDRESS(INDEX($L$2:$L$1001,MATCH(ROWS($J$2:J845),$J$2:$J$1001,0),0), INDEX($Q$1004:$U$1004,1,MATCH(COLUMNS($Q$1006:R1006),$Q$1006:$U$1006,0)))),"Fix")))</f>
        <v xml:space="preserve"> </v>
      </c>
      <c r="D845" s="3" t="str">
        <f ca="1">IF(OR(INDEX($K$2:$K$1001,MATCH(ROWS($J$2:J845),$J$2:$J$1001,0),1)&gt;=100000,INDEX($Q$1005:$U$1005,1,MATCH(COLUMNS($Q$1006:S1006),$Q$1006:$U$1006,0))&gt;=100000), " ",IF(INDEX($Q$2:$U$1001,MATCH(ROWS($J$2:J845),$J$2:$J$1001,0),MATCH(COLUMNS($Q$1006:S1006),$Q$1006:$U$1006,0)), HYPERLINK("#",""), HYPERLINK(CONCATENATE("#Metadata!", ADDRESS(INDEX($L$2:$L$1001,MATCH(ROWS($J$2:J845),$J$2:$J$1001,0),0), INDEX($Q$1004:$U$1004,1,MATCH(COLUMNS($Q$1006:S1006),$Q$1006:$U$1006,0)))),"Fix")))</f>
        <v xml:space="preserve"> </v>
      </c>
      <c r="E845" s="3" t="str">
        <f ca="1">IF(OR(INDEX($K$2:$K$1001,MATCH(ROWS($J$2:J845),$J$2:$J$1001,0),1)&gt;=100000,INDEX($Q$1005:$U$1005,1,MATCH(COLUMNS($Q$1006:T1006),$Q$1006:$U$1006,0))&gt;=100000), " ",IF(INDEX($Q$2:$U$1001,MATCH(ROWS($J$2:J845),$J$2:$J$1001,0),MATCH(COLUMNS($Q$1006:T1006),$Q$1006:$U$1006,0)), HYPERLINK("#",""), HYPERLINK(CONCATENATE("#Metadata!", ADDRESS(INDEX($L$2:$L$1001,MATCH(ROWS($J$2:J845),$J$2:$J$1001,0),0), INDEX($Q$1004:$U$1004,1,MATCH(COLUMNS($Q$1006:T1006),$Q$1006:$U$1006,0)))),"Fix")))</f>
        <v xml:space="preserve"> </v>
      </c>
      <c r="F845" s="3" t="str">
        <f ca="1">IF(OR(INDEX($K$2:$K$1001,MATCH(ROWS($J$2:J845),$J$2:$J$1001,0),1)&gt;=100000,INDEX($Q$1005:$U$1005,1,MATCH(COLUMNS($Q$1006:U1006),$Q$1006:$U$1006,0))&gt;=100000), " ",IF(INDEX($Q$2:$U$1001,MATCH(ROWS($J$2:J845),$J$2:$J$1001,0),MATCH(COLUMNS($Q$1006:U1006),$Q$1006:$U$1006,0)), HYPERLINK("#",""), HYPERLINK(CONCATENATE("#Metadata!", ADDRESS(INDEX($L$2:$L$1001,MATCH(ROWS($J$2:J845),$J$2:$J$1001,0),0), INDEX($Q$1004:$U$1004,1,MATCH(COLUMNS($Q$1006:U1006),$Q$1006:$U$1006,0)))),"Fix")))</f>
        <v xml:space="preserve"> </v>
      </c>
      <c r="J845">
        <f ca="1"/>
        <v>844</v>
      </c>
      <c r="K845">
        <v>100845</v>
      </c>
      <c r="L845">
        <v>845</v>
      </c>
      <c r="M845" t="b">
        <f t="shared" si="13"/>
        <v>1</v>
      </c>
      <c r="N845" t="b">
        <f>COUNTBLANK(Metadata!B845:F845)=COLUMNS(Metadata!B845:F845)</f>
        <v>1</v>
      </c>
      <c r="O845" t="str">
        <v/>
      </c>
      <c r="Q845" t="b">
        <f ca="1"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R845" t="b">
        <f>IF(Metadata!C845="",FALSE,TRUE)</f>
        <v>0</v>
      </c>
      <c r="S845" t="b">
        <f>OR(AND(IF(Metadata!D845="",FALSE,TRUE),EXACT(Metadata!D845,"missing: not collected")),AND(IF(Metadata!D845="",FALSE,TRUE),OR(EXACT(Metadata!D845,"t"),EXACT(Metadata!D845,"f"))))</f>
        <v>0</v>
      </c>
      <c r="T845" t="b">
        <f>AND(IF(Metadata!E845="",FALSE,TRUE),OR(EXACT(Metadata!E845,"a"),EXACT(Metadata!E845,"b")))</f>
        <v>0</v>
      </c>
      <c r="U845" t="b">
        <f>OR(AND(IF(Metadata!F845="",FALSE,TRUE),OR(EXACT(Metadata!F845,"missing: not collected"),EXACT(Metadata!F845,"missing: not provided"))),AND(IF(Metadata!F845="",FALSE,TRUE),OR(EXACT(Metadata!F845,"lo"),EXACT(Metadata!F845,"med"),EXACT(Metadata!F845,"hi"))))</f>
        <v>0</v>
      </c>
    </row>
    <row r="846" spans="1:21" x14ac:dyDescent="0.2">
      <c r="A846" s="4" t="str">
        <f ca="1">IF(B846=" "," ",HYPERLINK(CONCATENATE("#metadata!",ADDRESS(INDEX($L$2:$L$1001,MATCH(ROWS($J$2:J846),$J$2:$J$1001,0),0),1)),INDEX($O$2:$O$1001,MATCH(ROWS($J$2:J846),$J$2:$J$1001,0),0)))</f>
        <v xml:space="preserve"> </v>
      </c>
      <c r="B846" s="3" t="str">
        <f ca="1">IF(OR(INDEX($K$2:$K$1001,MATCH(ROWS($J$2:J846),$J$2:$J$1001,0),1)&gt;=100000,INDEX($Q$1005:$U$1005,1,MATCH(COLUMNS($Q$1006:Q1006),$Q$1006:$U$1006,0))&gt;=100000), " ",IF(INDEX($Q$2:$U$1001,MATCH(ROWS($J$2:J846),$J$2:$J$1001,0),MATCH(COLUMNS($Q$1006:Q1006),$Q$1006:$U$1006,0)), HYPERLINK("#",""), HYPERLINK(CONCATENATE("#Metadata!", ADDRESS(INDEX($L$2:$L$1001,MATCH(ROWS($J$2:J846),$J$2:$J$1001,0),0), INDEX($Q$1004:$U$1004,1,MATCH(COLUMNS($Q$1006:Q1006),$Q$1006:$U$1006,0)))),"Fix")))</f>
        <v xml:space="preserve"> </v>
      </c>
      <c r="C846" s="3" t="str">
        <f ca="1">IF(OR(INDEX($K$2:$K$1001,MATCH(ROWS($J$2:J846),$J$2:$J$1001,0),1)&gt;=100000,INDEX($Q$1005:$U$1005,1,MATCH(COLUMNS($Q$1006:R1006),$Q$1006:$U$1006,0))&gt;=100000), " ",IF(INDEX($Q$2:$U$1001,MATCH(ROWS($J$2:J846),$J$2:$J$1001,0),MATCH(COLUMNS($Q$1006:R1006),$Q$1006:$U$1006,0)), HYPERLINK("#",""), HYPERLINK(CONCATENATE("#Metadata!", ADDRESS(INDEX($L$2:$L$1001,MATCH(ROWS($J$2:J846),$J$2:$J$1001,0),0), INDEX($Q$1004:$U$1004,1,MATCH(COLUMNS($Q$1006:R1006),$Q$1006:$U$1006,0)))),"Fix")))</f>
        <v xml:space="preserve"> </v>
      </c>
      <c r="D846" s="3" t="str">
        <f ca="1">IF(OR(INDEX($K$2:$K$1001,MATCH(ROWS($J$2:J846),$J$2:$J$1001,0),1)&gt;=100000,INDEX($Q$1005:$U$1005,1,MATCH(COLUMNS($Q$1006:S1006),$Q$1006:$U$1006,0))&gt;=100000), " ",IF(INDEX($Q$2:$U$1001,MATCH(ROWS($J$2:J846),$J$2:$J$1001,0),MATCH(COLUMNS($Q$1006:S1006),$Q$1006:$U$1006,0)), HYPERLINK("#",""), HYPERLINK(CONCATENATE("#Metadata!", ADDRESS(INDEX($L$2:$L$1001,MATCH(ROWS($J$2:J846),$J$2:$J$1001,0),0), INDEX($Q$1004:$U$1004,1,MATCH(COLUMNS($Q$1006:S1006),$Q$1006:$U$1006,0)))),"Fix")))</f>
        <v xml:space="preserve"> </v>
      </c>
      <c r="E846" s="3" t="str">
        <f ca="1">IF(OR(INDEX($K$2:$K$1001,MATCH(ROWS($J$2:J846),$J$2:$J$1001,0),1)&gt;=100000,INDEX($Q$1005:$U$1005,1,MATCH(COLUMNS($Q$1006:T1006),$Q$1006:$U$1006,0))&gt;=100000), " ",IF(INDEX($Q$2:$U$1001,MATCH(ROWS($J$2:J846),$J$2:$J$1001,0),MATCH(COLUMNS($Q$1006:T1006),$Q$1006:$U$1006,0)), HYPERLINK("#",""), HYPERLINK(CONCATENATE("#Metadata!", ADDRESS(INDEX($L$2:$L$1001,MATCH(ROWS($J$2:J846),$J$2:$J$1001,0),0), INDEX($Q$1004:$U$1004,1,MATCH(COLUMNS($Q$1006:T1006),$Q$1006:$U$1006,0)))),"Fix")))</f>
        <v xml:space="preserve"> </v>
      </c>
      <c r="F846" s="3" t="str">
        <f ca="1">IF(OR(INDEX($K$2:$K$1001,MATCH(ROWS($J$2:J846),$J$2:$J$1001,0),1)&gt;=100000,INDEX($Q$1005:$U$1005,1,MATCH(COLUMNS($Q$1006:U1006),$Q$1006:$U$1006,0))&gt;=100000), " ",IF(INDEX($Q$2:$U$1001,MATCH(ROWS($J$2:J846),$J$2:$J$1001,0),MATCH(COLUMNS($Q$1006:U1006),$Q$1006:$U$1006,0)), HYPERLINK("#",""), HYPERLINK(CONCATENATE("#Metadata!", ADDRESS(INDEX($L$2:$L$1001,MATCH(ROWS($J$2:J846),$J$2:$J$1001,0),0), INDEX($Q$1004:$U$1004,1,MATCH(COLUMNS($Q$1006:U1006),$Q$1006:$U$1006,0)))),"Fix")))</f>
        <v xml:space="preserve"> </v>
      </c>
      <c r="J846">
        <f ca="1"/>
        <v>845</v>
      </c>
      <c r="K846">
        <v>100846</v>
      </c>
      <c r="L846">
        <v>846</v>
      </c>
      <c r="M846" t="b">
        <f t="shared" si="13"/>
        <v>1</v>
      </c>
      <c r="N846" t="b">
        <f>COUNTBLANK(Metadata!B846:F846)=COLUMNS(Metadata!B846:F846)</f>
        <v>1</v>
      </c>
      <c r="O846" t="str">
        <v/>
      </c>
      <c r="Q846" t="b">
        <f ca="1"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R846" t="b">
        <f>IF(Metadata!C846="",FALSE,TRUE)</f>
        <v>0</v>
      </c>
      <c r="S846" t="b">
        <f>OR(AND(IF(Metadata!D846="",FALSE,TRUE),EXACT(Metadata!D846,"missing: not collected")),AND(IF(Metadata!D846="",FALSE,TRUE),OR(EXACT(Metadata!D846,"t"),EXACT(Metadata!D846,"f"))))</f>
        <v>0</v>
      </c>
      <c r="T846" t="b">
        <f>AND(IF(Metadata!E846="",FALSE,TRUE),OR(EXACT(Metadata!E846,"a"),EXACT(Metadata!E846,"b")))</f>
        <v>0</v>
      </c>
      <c r="U846" t="b">
        <f>OR(AND(IF(Metadata!F846="",FALSE,TRUE),OR(EXACT(Metadata!F846,"missing: not collected"),EXACT(Metadata!F846,"missing: not provided"))),AND(IF(Metadata!F846="",FALSE,TRUE),OR(EXACT(Metadata!F846,"lo"),EXACT(Metadata!F846,"med"),EXACT(Metadata!F846,"hi"))))</f>
        <v>0</v>
      </c>
    </row>
    <row r="847" spans="1:21" x14ac:dyDescent="0.2">
      <c r="A847" s="4" t="str">
        <f ca="1">IF(B847=" "," ",HYPERLINK(CONCATENATE("#metadata!",ADDRESS(INDEX($L$2:$L$1001,MATCH(ROWS($J$2:J847),$J$2:$J$1001,0),0),1)),INDEX($O$2:$O$1001,MATCH(ROWS($J$2:J847),$J$2:$J$1001,0),0)))</f>
        <v xml:space="preserve"> </v>
      </c>
      <c r="B847" s="3" t="str">
        <f ca="1">IF(OR(INDEX($K$2:$K$1001,MATCH(ROWS($J$2:J847),$J$2:$J$1001,0),1)&gt;=100000,INDEX($Q$1005:$U$1005,1,MATCH(COLUMNS($Q$1006:Q1006),$Q$1006:$U$1006,0))&gt;=100000), " ",IF(INDEX($Q$2:$U$1001,MATCH(ROWS($J$2:J847),$J$2:$J$1001,0),MATCH(COLUMNS($Q$1006:Q1006),$Q$1006:$U$1006,0)), HYPERLINK("#",""), HYPERLINK(CONCATENATE("#Metadata!", ADDRESS(INDEX($L$2:$L$1001,MATCH(ROWS($J$2:J847),$J$2:$J$1001,0),0), INDEX($Q$1004:$U$1004,1,MATCH(COLUMNS($Q$1006:Q1006),$Q$1006:$U$1006,0)))),"Fix")))</f>
        <v xml:space="preserve"> </v>
      </c>
      <c r="C847" s="3" t="str">
        <f ca="1">IF(OR(INDEX($K$2:$K$1001,MATCH(ROWS($J$2:J847),$J$2:$J$1001,0),1)&gt;=100000,INDEX($Q$1005:$U$1005,1,MATCH(COLUMNS($Q$1006:R1006),$Q$1006:$U$1006,0))&gt;=100000), " ",IF(INDEX($Q$2:$U$1001,MATCH(ROWS($J$2:J847),$J$2:$J$1001,0),MATCH(COLUMNS($Q$1006:R1006),$Q$1006:$U$1006,0)), HYPERLINK("#",""), HYPERLINK(CONCATENATE("#Metadata!", ADDRESS(INDEX($L$2:$L$1001,MATCH(ROWS($J$2:J847),$J$2:$J$1001,0),0), INDEX($Q$1004:$U$1004,1,MATCH(COLUMNS($Q$1006:R1006),$Q$1006:$U$1006,0)))),"Fix")))</f>
        <v xml:space="preserve"> </v>
      </c>
      <c r="D847" s="3" t="str">
        <f ca="1">IF(OR(INDEX($K$2:$K$1001,MATCH(ROWS($J$2:J847),$J$2:$J$1001,0),1)&gt;=100000,INDEX($Q$1005:$U$1005,1,MATCH(COLUMNS($Q$1006:S1006),$Q$1006:$U$1006,0))&gt;=100000), " ",IF(INDEX($Q$2:$U$1001,MATCH(ROWS($J$2:J847),$J$2:$J$1001,0),MATCH(COLUMNS($Q$1006:S1006),$Q$1006:$U$1006,0)), HYPERLINK("#",""), HYPERLINK(CONCATENATE("#Metadata!", ADDRESS(INDEX($L$2:$L$1001,MATCH(ROWS($J$2:J847),$J$2:$J$1001,0),0), INDEX($Q$1004:$U$1004,1,MATCH(COLUMNS($Q$1006:S1006),$Q$1006:$U$1006,0)))),"Fix")))</f>
        <v xml:space="preserve"> </v>
      </c>
      <c r="E847" s="3" t="str">
        <f ca="1">IF(OR(INDEX($K$2:$K$1001,MATCH(ROWS($J$2:J847),$J$2:$J$1001,0),1)&gt;=100000,INDEX($Q$1005:$U$1005,1,MATCH(COLUMNS($Q$1006:T1006),$Q$1006:$U$1006,0))&gt;=100000), " ",IF(INDEX($Q$2:$U$1001,MATCH(ROWS($J$2:J847),$J$2:$J$1001,0),MATCH(COLUMNS($Q$1006:T1006),$Q$1006:$U$1006,0)), HYPERLINK("#",""), HYPERLINK(CONCATENATE("#Metadata!", ADDRESS(INDEX($L$2:$L$1001,MATCH(ROWS($J$2:J847),$J$2:$J$1001,0),0), INDEX($Q$1004:$U$1004,1,MATCH(COLUMNS($Q$1006:T1006),$Q$1006:$U$1006,0)))),"Fix")))</f>
        <v xml:space="preserve"> </v>
      </c>
      <c r="F847" s="3" t="str">
        <f ca="1">IF(OR(INDEX($K$2:$K$1001,MATCH(ROWS($J$2:J847),$J$2:$J$1001,0),1)&gt;=100000,INDEX($Q$1005:$U$1005,1,MATCH(COLUMNS($Q$1006:U1006),$Q$1006:$U$1006,0))&gt;=100000), " ",IF(INDEX($Q$2:$U$1001,MATCH(ROWS($J$2:J847),$J$2:$J$1001,0),MATCH(COLUMNS($Q$1006:U1006),$Q$1006:$U$1006,0)), HYPERLINK("#",""), HYPERLINK(CONCATENATE("#Metadata!", ADDRESS(INDEX($L$2:$L$1001,MATCH(ROWS($J$2:J847),$J$2:$J$1001,0),0), INDEX($Q$1004:$U$1004,1,MATCH(COLUMNS($Q$1006:U1006),$Q$1006:$U$1006,0)))),"Fix")))</f>
        <v xml:space="preserve"> </v>
      </c>
      <c r="J847">
        <f ca="1"/>
        <v>846</v>
      </c>
      <c r="K847">
        <v>100847</v>
      </c>
      <c r="L847">
        <v>847</v>
      </c>
      <c r="M847" t="b">
        <f t="shared" si="13"/>
        <v>1</v>
      </c>
      <c r="N847" t="b">
        <f>COUNTBLANK(Metadata!B847:F847)=COLUMNS(Metadata!B847:F847)</f>
        <v>1</v>
      </c>
      <c r="O847" t="str">
        <v/>
      </c>
      <c r="Q847" t="b">
        <f ca="1"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R847" t="b">
        <f>IF(Metadata!C847="",FALSE,TRUE)</f>
        <v>0</v>
      </c>
      <c r="S847" t="b">
        <f>OR(AND(IF(Metadata!D847="",FALSE,TRUE),EXACT(Metadata!D847,"missing: not collected")),AND(IF(Metadata!D847="",FALSE,TRUE),OR(EXACT(Metadata!D847,"t"),EXACT(Metadata!D847,"f"))))</f>
        <v>0</v>
      </c>
      <c r="T847" t="b">
        <f>AND(IF(Metadata!E847="",FALSE,TRUE),OR(EXACT(Metadata!E847,"a"),EXACT(Metadata!E847,"b")))</f>
        <v>0</v>
      </c>
      <c r="U847" t="b">
        <f>OR(AND(IF(Metadata!F847="",FALSE,TRUE),OR(EXACT(Metadata!F847,"missing: not collected"),EXACT(Metadata!F847,"missing: not provided"))),AND(IF(Metadata!F847="",FALSE,TRUE),OR(EXACT(Metadata!F847,"lo"),EXACT(Metadata!F847,"med"),EXACT(Metadata!F847,"hi"))))</f>
        <v>0</v>
      </c>
    </row>
    <row r="848" spans="1:21" x14ac:dyDescent="0.2">
      <c r="A848" s="4" t="str">
        <f ca="1">IF(B848=" "," ",HYPERLINK(CONCATENATE("#metadata!",ADDRESS(INDEX($L$2:$L$1001,MATCH(ROWS($J$2:J848),$J$2:$J$1001,0),0),1)),INDEX($O$2:$O$1001,MATCH(ROWS($J$2:J848),$J$2:$J$1001,0),0)))</f>
        <v xml:space="preserve"> </v>
      </c>
      <c r="B848" s="3" t="str">
        <f ca="1">IF(OR(INDEX($K$2:$K$1001,MATCH(ROWS($J$2:J848),$J$2:$J$1001,0),1)&gt;=100000,INDEX($Q$1005:$U$1005,1,MATCH(COLUMNS($Q$1006:Q1006),$Q$1006:$U$1006,0))&gt;=100000), " ",IF(INDEX($Q$2:$U$1001,MATCH(ROWS($J$2:J848),$J$2:$J$1001,0),MATCH(COLUMNS($Q$1006:Q1006),$Q$1006:$U$1006,0)), HYPERLINK("#",""), HYPERLINK(CONCATENATE("#Metadata!", ADDRESS(INDEX($L$2:$L$1001,MATCH(ROWS($J$2:J848),$J$2:$J$1001,0),0), INDEX($Q$1004:$U$1004,1,MATCH(COLUMNS($Q$1006:Q1006),$Q$1006:$U$1006,0)))),"Fix")))</f>
        <v xml:space="preserve"> </v>
      </c>
      <c r="C848" s="3" t="str">
        <f ca="1">IF(OR(INDEX($K$2:$K$1001,MATCH(ROWS($J$2:J848),$J$2:$J$1001,0),1)&gt;=100000,INDEX($Q$1005:$U$1005,1,MATCH(COLUMNS($Q$1006:R1006),$Q$1006:$U$1006,0))&gt;=100000), " ",IF(INDEX($Q$2:$U$1001,MATCH(ROWS($J$2:J848),$J$2:$J$1001,0),MATCH(COLUMNS($Q$1006:R1006),$Q$1006:$U$1006,0)), HYPERLINK("#",""), HYPERLINK(CONCATENATE("#Metadata!", ADDRESS(INDEX($L$2:$L$1001,MATCH(ROWS($J$2:J848),$J$2:$J$1001,0),0), INDEX($Q$1004:$U$1004,1,MATCH(COLUMNS($Q$1006:R1006),$Q$1006:$U$1006,0)))),"Fix")))</f>
        <v xml:space="preserve"> </v>
      </c>
      <c r="D848" s="3" t="str">
        <f ca="1">IF(OR(INDEX($K$2:$K$1001,MATCH(ROWS($J$2:J848),$J$2:$J$1001,0),1)&gt;=100000,INDEX($Q$1005:$U$1005,1,MATCH(COLUMNS($Q$1006:S1006),$Q$1006:$U$1006,0))&gt;=100000), " ",IF(INDEX($Q$2:$U$1001,MATCH(ROWS($J$2:J848),$J$2:$J$1001,0),MATCH(COLUMNS($Q$1006:S1006),$Q$1006:$U$1006,0)), HYPERLINK("#",""), HYPERLINK(CONCATENATE("#Metadata!", ADDRESS(INDEX($L$2:$L$1001,MATCH(ROWS($J$2:J848),$J$2:$J$1001,0),0), INDEX($Q$1004:$U$1004,1,MATCH(COLUMNS($Q$1006:S1006),$Q$1006:$U$1006,0)))),"Fix")))</f>
        <v xml:space="preserve"> </v>
      </c>
      <c r="E848" s="3" t="str">
        <f ca="1">IF(OR(INDEX($K$2:$K$1001,MATCH(ROWS($J$2:J848),$J$2:$J$1001,0),1)&gt;=100000,INDEX($Q$1005:$U$1005,1,MATCH(COLUMNS($Q$1006:T1006),$Q$1006:$U$1006,0))&gt;=100000), " ",IF(INDEX($Q$2:$U$1001,MATCH(ROWS($J$2:J848),$J$2:$J$1001,0),MATCH(COLUMNS($Q$1006:T1006),$Q$1006:$U$1006,0)), HYPERLINK("#",""), HYPERLINK(CONCATENATE("#Metadata!", ADDRESS(INDEX($L$2:$L$1001,MATCH(ROWS($J$2:J848),$J$2:$J$1001,0),0), INDEX($Q$1004:$U$1004,1,MATCH(COLUMNS($Q$1006:T1006),$Q$1006:$U$1006,0)))),"Fix")))</f>
        <v xml:space="preserve"> </v>
      </c>
      <c r="F848" s="3" t="str">
        <f ca="1">IF(OR(INDEX($K$2:$K$1001,MATCH(ROWS($J$2:J848),$J$2:$J$1001,0),1)&gt;=100000,INDEX($Q$1005:$U$1005,1,MATCH(COLUMNS($Q$1006:U1006),$Q$1006:$U$1006,0))&gt;=100000), " ",IF(INDEX($Q$2:$U$1001,MATCH(ROWS($J$2:J848),$J$2:$J$1001,0),MATCH(COLUMNS($Q$1006:U1006),$Q$1006:$U$1006,0)), HYPERLINK("#",""), HYPERLINK(CONCATENATE("#Metadata!", ADDRESS(INDEX($L$2:$L$1001,MATCH(ROWS($J$2:J848),$J$2:$J$1001,0),0), INDEX($Q$1004:$U$1004,1,MATCH(COLUMNS($Q$1006:U1006),$Q$1006:$U$1006,0)))),"Fix")))</f>
        <v xml:space="preserve"> </v>
      </c>
      <c r="J848">
        <f ca="1"/>
        <v>847</v>
      </c>
      <c r="K848">
        <v>100848</v>
      </c>
      <c r="L848">
        <v>848</v>
      </c>
      <c r="M848" t="b">
        <f t="shared" si="13"/>
        <v>1</v>
      </c>
      <c r="N848" t="b">
        <f>COUNTBLANK(Metadata!B848:F848)=COLUMNS(Metadata!B848:F848)</f>
        <v>1</v>
      </c>
      <c r="O848" t="str">
        <v/>
      </c>
      <c r="Q848" t="b">
        <f ca="1"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R848" t="b">
        <f>IF(Metadata!C848="",FALSE,TRUE)</f>
        <v>0</v>
      </c>
      <c r="S848" t="b">
        <f>OR(AND(IF(Metadata!D848="",FALSE,TRUE),EXACT(Metadata!D848,"missing: not collected")),AND(IF(Metadata!D848="",FALSE,TRUE),OR(EXACT(Metadata!D848,"t"),EXACT(Metadata!D848,"f"))))</f>
        <v>0</v>
      </c>
      <c r="T848" t="b">
        <f>AND(IF(Metadata!E848="",FALSE,TRUE),OR(EXACT(Metadata!E848,"a"),EXACT(Metadata!E848,"b")))</f>
        <v>0</v>
      </c>
      <c r="U848" t="b">
        <f>OR(AND(IF(Metadata!F848="",FALSE,TRUE),OR(EXACT(Metadata!F848,"missing: not collected"),EXACT(Metadata!F848,"missing: not provided"))),AND(IF(Metadata!F848="",FALSE,TRUE),OR(EXACT(Metadata!F848,"lo"),EXACT(Metadata!F848,"med"),EXACT(Metadata!F848,"hi"))))</f>
        <v>0</v>
      </c>
    </row>
    <row r="849" spans="1:21" x14ac:dyDescent="0.2">
      <c r="A849" s="4" t="str">
        <f ca="1">IF(B849=" "," ",HYPERLINK(CONCATENATE("#metadata!",ADDRESS(INDEX($L$2:$L$1001,MATCH(ROWS($J$2:J849),$J$2:$J$1001,0),0),1)),INDEX($O$2:$O$1001,MATCH(ROWS($J$2:J849),$J$2:$J$1001,0),0)))</f>
        <v xml:space="preserve"> </v>
      </c>
      <c r="B849" s="3" t="str">
        <f ca="1">IF(OR(INDEX($K$2:$K$1001,MATCH(ROWS($J$2:J849),$J$2:$J$1001,0),1)&gt;=100000,INDEX($Q$1005:$U$1005,1,MATCH(COLUMNS($Q$1006:Q1006),$Q$1006:$U$1006,0))&gt;=100000), " ",IF(INDEX($Q$2:$U$1001,MATCH(ROWS($J$2:J849),$J$2:$J$1001,0),MATCH(COLUMNS($Q$1006:Q1006),$Q$1006:$U$1006,0)), HYPERLINK("#",""), HYPERLINK(CONCATENATE("#Metadata!", ADDRESS(INDEX($L$2:$L$1001,MATCH(ROWS($J$2:J849),$J$2:$J$1001,0),0), INDEX($Q$1004:$U$1004,1,MATCH(COLUMNS($Q$1006:Q1006),$Q$1006:$U$1006,0)))),"Fix")))</f>
        <v xml:space="preserve"> </v>
      </c>
      <c r="C849" s="3" t="str">
        <f ca="1">IF(OR(INDEX($K$2:$K$1001,MATCH(ROWS($J$2:J849),$J$2:$J$1001,0),1)&gt;=100000,INDEX($Q$1005:$U$1005,1,MATCH(COLUMNS($Q$1006:R1006),$Q$1006:$U$1006,0))&gt;=100000), " ",IF(INDEX($Q$2:$U$1001,MATCH(ROWS($J$2:J849),$J$2:$J$1001,0),MATCH(COLUMNS($Q$1006:R1006),$Q$1006:$U$1006,0)), HYPERLINK("#",""), HYPERLINK(CONCATENATE("#Metadata!", ADDRESS(INDEX($L$2:$L$1001,MATCH(ROWS($J$2:J849),$J$2:$J$1001,0),0), INDEX($Q$1004:$U$1004,1,MATCH(COLUMNS($Q$1006:R1006),$Q$1006:$U$1006,0)))),"Fix")))</f>
        <v xml:space="preserve"> </v>
      </c>
      <c r="D849" s="3" t="str">
        <f ca="1">IF(OR(INDEX($K$2:$K$1001,MATCH(ROWS($J$2:J849),$J$2:$J$1001,0),1)&gt;=100000,INDEX($Q$1005:$U$1005,1,MATCH(COLUMNS($Q$1006:S1006),$Q$1006:$U$1006,0))&gt;=100000), " ",IF(INDEX($Q$2:$U$1001,MATCH(ROWS($J$2:J849),$J$2:$J$1001,0),MATCH(COLUMNS($Q$1006:S1006),$Q$1006:$U$1006,0)), HYPERLINK("#",""), HYPERLINK(CONCATENATE("#Metadata!", ADDRESS(INDEX($L$2:$L$1001,MATCH(ROWS($J$2:J849),$J$2:$J$1001,0),0), INDEX($Q$1004:$U$1004,1,MATCH(COLUMNS($Q$1006:S1006),$Q$1006:$U$1006,0)))),"Fix")))</f>
        <v xml:space="preserve"> </v>
      </c>
      <c r="E849" s="3" t="str">
        <f ca="1">IF(OR(INDEX($K$2:$K$1001,MATCH(ROWS($J$2:J849),$J$2:$J$1001,0),1)&gt;=100000,INDEX($Q$1005:$U$1005,1,MATCH(COLUMNS($Q$1006:T1006),$Q$1006:$U$1006,0))&gt;=100000), " ",IF(INDEX($Q$2:$U$1001,MATCH(ROWS($J$2:J849),$J$2:$J$1001,0),MATCH(COLUMNS($Q$1006:T1006),$Q$1006:$U$1006,0)), HYPERLINK("#",""), HYPERLINK(CONCATENATE("#Metadata!", ADDRESS(INDEX($L$2:$L$1001,MATCH(ROWS($J$2:J849),$J$2:$J$1001,0),0), INDEX($Q$1004:$U$1004,1,MATCH(COLUMNS($Q$1006:T1006),$Q$1006:$U$1006,0)))),"Fix")))</f>
        <v xml:space="preserve"> </v>
      </c>
      <c r="F849" s="3" t="str">
        <f ca="1">IF(OR(INDEX($K$2:$K$1001,MATCH(ROWS($J$2:J849),$J$2:$J$1001,0),1)&gt;=100000,INDEX($Q$1005:$U$1005,1,MATCH(COLUMNS($Q$1006:U1006),$Q$1006:$U$1006,0))&gt;=100000), " ",IF(INDEX($Q$2:$U$1001,MATCH(ROWS($J$2:J849),$J$2:$J$1001,0),MATCH(COLUMNS($Q$1006:U1006),$Q$1006:$U$1006,0)), HYPERLINK("#",""), HYPERLINK(CONCATENATE("#Metadata!", ADDRESS(INDEX($L$2:$L$1001,MATCH(ROWS($J$2:J849),$J$2:$J$1001,0),0), INDEX($Q$1004:$U$1004,1,MATCH(COLUMNS($Q$1006:U1006),$Q$1006:$U$1006,0)))),"Fix")))</f>
        <v xml:space="preserve"> </v>
      </c>
      <c r="J849">
        <f ca="1"/>
        <v>848</v>
      </c>
      <c r="K849">
        <v>100849</v>
      </c>
      <c r="L849">
        <v>849</v>
      </c>
      <c r="M849" t="b">
        <f t="shared" si="13"/>
        <v>1</v>
      </c>
      <c r="N849" t="b">
        <f>COUNTBLANK(Metadata!B849:F849)=COLUMNS(Metadata!B849:F849)</f>
        <v>1</v>
      </c>
      <c r="O849" t="str">
        <v/>
      </c>
      <c r="Q849" t="b">
        <f ca="1"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R849" t="b">
        <f>IF(Metadata!C849="",FALSE,TRUE)</f>
        <v>0</v>
      </c>
      <c r="S849" t="b">
        <f>OR(AND(IF(Metadata!D849="",FALSE,TRUE),EXACT(Metadata!D849,"missing: not collected")),AND(IF(Metadata!D849="",FALSE,TRUE),OR(EXACT(Metadata!D849,"t"),EXACT(Metadata!D849,"f"))))</f>
        <v>0</v>
      </c>
      <c r="T849" t="b">
        <f>AND(IF(Metadata!E849="",FALSE,TRUE),OR(EXACT(Metadata!E849,"a"),EXACT(Metadata!E849,"b")))</f>
        <v>0</v>
      </c>
      <c r="U849" t="b">
        <f>OR(AND(IF(Metadata!F849="",FALSE,TRUE),OR(EXACT(Metadata!F849,"missing: not collected"),EXACT(Metadata!F849,"missing: not provided"))),AND(IF(Metadata!F849="",FALSE,TRUE),OR(EXACT(Metadata!F849,"lo"),EXACT(Metadata!F849,"med"),EXACT(Metadata!F849,"hi"))))</f>
        <v>0</v>
      </c>
    </row>
    <row r="850" spans="1:21" x14ac:dyDescent="0.2">
      <c r="A850" s="4" t="str">
        <f ca="1">IF(B850=" "," ",HYPERLINK(CONCATENATE("#metadata!",ADDRESS(INDEX($L$2:$L$1001,MATCH(ROWS($J$2:J850),$J$2:$J$1001,0),0),1)),INDEX($O$2:$O$1001,MATCH(ROWS($J$2:J850),$J$2:$J$1001,0),0)))</f>
        <v xml:space="preserve"> </v>
      </c>
      <c r="B850" s="3" t="str">
        <f ca="1">IF(OR(INDEX($K$2:$K$1001,MATCH(ROWS($J$2:J850),$J$2:$J$1001,0),1)&gt;=100000,INDEX($Q$1005:$U$1005,1,MATCH(COLUMNS($Q$1006:Q1006),$Q$1006:$U$1006,0))&gt;=100000), " ",IF(INDEX($Q$2:$U$1001,MATCH(ROWS($J$2:J850),$J$2:$J$1001,0),MATCH(COLUMNS($Q$1006:Q1006),$Q$1006:$U$1006,0)), HYPERLINK("#",""), HYPERLINK(CONCATENATE("#Metadata!", ADDRESS(INDEX($L$2:$L$1001,MATCH(ROWS($J$2:J850),$J$2:$J$1001,0),0), INDEX($Q$1004:$U$1004,1,MATCH(COLUMNS($Q$1006:Q1006),$Q$1006:$U$1006,0)))),"Fix")))</f>
        <v xml:space="preserve"> </v>
      </c>
      <c r="C850" s="3" t="str">
        <f ca="1">IF(OR(INDEX($K$2:$K$1001,MATCH(ROWS($J$2:J850),$J$2:$J$1001,0),1)&gt;=100000,INDEX($Q$1005:$U$1005,1,MATCH(COLUMNS($Q$1006:R1006),$Q$1006:$U$1006,0))&gt;=100000), " ",IF(INDEX($Q$2:$U$1001,MATCH(ROWS($J$2:J850),$J$2:$J$1001,0),MATCH(COLUMNS($Q$1006:R1006),$Q$1006:$U$1006,0)), HYPERLINK("#",""), HYPERLINK(CONCATENATE("#Metadata!", ADDRESS(INDEX($L$2:$L$1001,MATCH(ROWS($J$2:J850),$J$2:$J$1001,0),0), INDEX($Q$1004:$U$1004,1,MATCH(COLUMNS($Q$1006:R1006),$Q$1006:$U$1006,0)))),"Fix")))</f>
        <v xml:space="preserve"> </v>
      </c>
      <c r="D850" s="3" t="str">
        <f ca="1">IF(OR(INDEX($K$2:$K$1001,MATCH(ROWS($J$2:J850),$J$2:$J$1001,0),1)&gt;=100000,INDEX($Q$1005:$U$1005,1,MATCH(COLUMNS($Q$1006:S1006),$Q$1006:$U$1006,0))&gt;=100000), " ",IF(INDEX($Q$2:$U$1001,MATCH(ROWS($J$2:J850),$J$2:$J$1001,0),MATCH(COLUMNS($Q$1006:S1006),$Q$1006:$U$1006,0)), HYPERLINK("#",""), HYPERLINK(CONCATENATE("#Metadata!", ADDRESS(INDEX($L$2:$L$1001,MATCH(ROWS($J$2:J850),$J$2:$J$1001,0),0), INDEX($Q$1004:$U$1004,1,MATCH(COLUMNS($Q$1006:S1006),$Q$1006:$U$1006,0)))),"Fix")))</f>
        <v xml:space="preserve"> </v>
      </c>
      <c r="E850" s="3" t="str">
        <f ca="1">IF(OR(INDEX($K$2:$K$1001,MATCH(ROWS($J$2:J850),$J$2:$J$1001,0),1)&gt;=100000,INDEX($Q$1005:$U$1005,1,MATCH(COLUMNS($Q$1006:T1006),$Q$1006:$U$1006,0))&gt;=100000), " ",IF(INDEX($Q$2:$U$1001,MATCH(ROWS($J$2:J850),$J$2:$J$1001,0),MATCH(COLUMNS($Q$1006:T1006),$Q$1006:$U$1006,0)), HYPERLINK("#",""), HYPERLINK(CONCATENATE("#Metadata!", ADDRESS(INDEX($L$2:$L$1001,MATCH(ROWS($J$2:J850),$J$2:$J$1001,0),0), INDEX($Q$1004:$U$1004,1,MATCH(COLUMNS($Q$1006:T1006),$Q$1006:$U$1006,0)))),"Fix")))</f>
        <v xml:space="preserve"> </v>
      </c>
      <c r="F850" s="3" t="str">
        <f ca="1">IF(OR(INDEX($K$2:$K$1001,MATCH(ROWS($J$2:J850),$J$2:$J$1001,0),1)&gt;=100000,INDEX($Q$1005:$U$1005,1,MATCH(COLUMNS($Q$1006:U1006),$Q$1006:$U$1006,0))&gt;=100000), " ",IF(INDEX($Q$2:$U$1001,MATCH(ROWS($J$2:J850),$J$2:$J$1001,0),MATCH(COLUMNS($Q$1006:U1006),$Q$1006:$U$1006,0)), HYPERLINK("#",""), HYPERLINK(CONCATENATE("#Metadata!", ADDRESS(INDEX($L$2:$L$1001,MATCH(ROWS($J$2:J850),$J$2:$J$1001,0),0), INDEX($Q$1004:$U$1004,1,MATCH(COLUMNS($Q$1006:U1006),$Q$1006:$U$1006,0)))),"Fix")))</f>
        <v xml:space="preserve"> </v>
      </c>
      <c r="J850">
        <f ca="1"/>
        <v>849</v>
      </c>
      <c r="K850">
        <v>100850</v>
      </c>
      <c r="L850">
        <v>850</v>
      </c>
      <c r="M850" t="b">
        <f t="shared" si="13"/>
        <v>1</v>
      </c>
      <c r="N850" t="b">
        <f>COUNTBLANK(Metadata!B850:F850)=COLUMNS(Metadata!B850:F850)</f>
        <v>1</v>
      </c>
      <c r="O850" t="str">
        <v/>
      </c>
      <c r="Q850" t="b">
        <f ca="1"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R850" t="b">
        <f>IF(Metadata!C850="",FALSE,TRUE)</f>
        <v>0</v>
      </c>
      <c r="S850" t="b">
        <f>OR(AND(IF(Metadata!D850="",FALSE,TRUE),EXACT(Metadata!D850,"missing: not collected")),AND(IF(Metadata!D850="",FALSE,TRUE),OR(EXACT(Metadata!D850,"t"),EXACT(Metadata!D850,"f"))))</f>
        <v>0</v>
      </c>
      <c r="T850" t="b">
        <f>AND(IF(Metadata!E850="",FALSE,TRUE),OR(EXACT(Metadata!E850,"a"),EXACT(Metadata!E850,"b")))</f>
        <v>0</v>
      </c>
      <c r="U850" t="b">
        <f>OR(AND(IF(Metadata!F850="",FALSE,TRUE),OR(EXACT(Metadata!F850,"missing: not collected"),EXACT(Metadata!F850,"missing: not provided"))),AND(IF(Metadata!F850="",FALSE,TRUE),OR(EXACT(Metadata!F850,"lo"),EXACT(Metadata!F850,"med"),EXACT(Metadata!F850,"hi"))))</f>
        <v>0</v>
      </c>
    </row>
    <row r="851" spans="1:21" x14ac:dyDescent="0.2">
      <c r="A851" s="4" t="str">
        <f ca="1">IF(B851=" "," ",HYPERLINK(CONCATENATE("#metadata!",ADDRESS(INDEX($L$2:$L$1001,MATCH(ROWS($J$2:J851),$J$2:$J$1001,0),0),1)),INDEX($O$2:$O$1001,MATCH(ROWS($J$2:J851),$J$2:$J$1001,0),0)))</f>
        <v xml:space="preserve"> </v>
      </c>
      <c r="B851" s="3" t="str">
        <f ca="1">IF(OR(INDEX($K$2:$K$1001,MATCH(ROWS($J$2:J851),$J$2:$J$1001,0),1)&gt;=100000,INDEX($Q$1005:$U$1005,1,MATCH(COLUMNS($Q$1006:Q1006),$Q$1006:$U$1006,0))&gt;=100000), " ",IF(INDEX($Q$2:$U$1001,MATCH(ROWS($J$2:J851),$J$2:$J$1001,0),MATCH(COLUMNS($Q$1006:Q1006),$Q$1006:$U$1006,0)), HYPERLINK("#",""), HYPERLINK(CONCATENATE("#Metadata!", ADDRESS(INDEX($L$2:$L$1001,MATCH(ROWS($J$2:J851),$J$2:$J$1001,0),0), INDEX($Q$1004:$U$1004,1,MATCH(COLUMNS($Q$1006:Q1006),$Q$1006:$U$1006,0)))),"Fix")))</f>
        <v xml:space="preserve"> </v>
      </c>
      <c r="C851" s="3" t="str">
        <f ca="1">IF(OR(INDEX($K$2:$K$1001,MATCH(ROWS($J$2:J851),$J$2:$J$1001,0),1)&gt;=100000,INDEX($Q$1005:$U$1005,1,MATCH(COLUMNS($Q$1006:R1006),$Q$1006:$U$1006,0))&gt;=100000), " ",IF(INDEX($Q$2:$U$1001,MATCH(ROWS($J$2:J851),$J$2:$J$1001,0),MATCH(COLUMNS($Q$1006:R1006),$Q$1006:$U$1006,0)), HYPERLINK("#",""), HYPERLINK(CONCATENATE("#Metadata!", ADDRESS(INDEX($L$2:$L$1001,MATCH(ROWS($J$2:J851),$J$2:$J$1001,0),0), INDEX($Q$1004:$U$1004,1,MATCH(COLUMNS($Q$1006:R1006),$Q$1006:$U$1006,0)))),"Fix")))</f>
        <v xml:space="preserve"> </v>
      </c>
      <c r="D851" s="3" t="str">
        <f ca="1">IF(OR(INDEX($K$2:$K$1001,MATCH(ROWS($J$2:J851),$J$2:$J$1001,0),1)&gt;=100000,INDEX($Q$1005:$U$1005,1,MATCH(COLUMNS($Q$1006:S1006),$Q$1006:$U$1006,0))&gt;=100000), " ",IF(INDEX($Q$2:$U$1001,MATCH(ROWS($J$2:J851),$J$2:$J$1001,0),MATCH(COLUMNS($Q$1006:S1006),$Q$1006:$U$1006,0)), HYPERLINK("#",""), HYPERLINK(CONCATENATE("#Metadata!", ADDRESS(INDEX($L$2:$L$1001,MATCH(ROWS($J$2:J851),$J$2:$J$1001,0),0), INDEX($Q$1004:$U$1004,1,MATCH(COLUMNS($Q$1006:S1006),$Q$1006:$U$1006,0)))),"Fix")))</f>
        <v xml:space="preserve"> </v>
      </c>
      <c r="E851" s="3" t="str">
        <f ca="1">IF(OR(INDEX($K$2:$K$1001,MATCH(ROWS($J$2:J851),$J$2:$J$1001,0),1)&gt;=100000,INDEX($Q$1005:$U$1005,1,MATCH(COLUMNS($Q$1006:T1006),$Q$1006:$U$1006,0))&gt;=100000), " ",IF(INDEX($Q$2:$U$1001,MATCH(ROWS($J$2:J851),$J$2:$J$1001,0),MATCH(COLUMNS($Q$1006:T1006),$Q$1006:$U$1006,0)), HYPERLINK("#",""), HYPERLINK(CONCATENATE("#Metadata!", ADDRESS(INDEX($L$2:$L$1001,MATCH(ROWS($J$2:J851),$J$2:$J$1001,0),0), INDEX($Q$1004:$U$1004,1,MATCH(COLUMNS($Q$1006:T1006),$Q$1006:$U$1006,0)))),"Fix")))</f>
        <v xml:space="preserve"> </v>
      </c>
      <c r="F851" s="3" t="str">
        <f ca="1">IF(OR(INDEX($K$2:$K$1001,MATCH(ROWS($J$2:J851),$J$2:$J$1001,0),1)&gt;=100000,INDEX($Q$1005:$U$1005,1,MATCH(COLUMNS($Q$1006:U1006),$Q$1006:$U$1006,0))&gt;=100000), " ",IF(INDEX($Q$2:$U$1001,MATCH(ROWS($J$2:J851),$J$2:$J$1001,0),MATCH(COLUMNS($Q$1006:U1006),$Q$1006:$U$1006,0)), HYPERLINK("#",""), HYPERLINK(CONCATENATE("#Metadata!", ADDRESS(INDEX($L$2:$L$1001,MATCH(ROWS($J$2:J851),$J$2:$J$1001,0),0), INDEX($Q$1004:$U$1004,1,MATCH(COLUMNS($Q$1006:U1006),$Q$1006:$U$1006,0)))),"Fix")))</f>
        <v xml:space="preserve"> </v>
      </c>
      <c r="J851">
        <f ca="1"/>
        <v>850</v>
      </c>
      <c r="K851">
        <v>100851</v>
      </c>
      <c r="L851">
        <v>851</v>
      </c>
      <c r="M851" t="b">
        <f t="shared" si="13"/>
        <v>1</v>
      </c>
      <c r="N851" t="b">
        <f>COUNTBLANK(Metadata!B851:F851)=COLUMNS(Metadata!B851:F851)</f>
        <v>1</v>
      </c>
      <c r="O851" t="str">
        <v/>
      </c>
      <c r="Q851" t="b">
        <f ca="1"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R851" t="b">
        <f>IF(Metadata!C851="",FALSE,TRUE)</f>
        <v>0</v>
      </c>
      <c r="S851" t="b">
        <f>OR(AND(IF(Metadata!D851="",FALSE,TRUE),EXACT(Metadata!D851,"missing: not collected")),AND(IF(Metadata!D851="",FALSE,TRUE),OR(EXACT(Metadata!D851,"t"),EXACT(Metadata!D851,"f"))))</f>
        <v>0</v>
      </c>
      <c r="T851" t="b">
        <f>AND(IF(Metadata!E851="",FALSE,TRUE),OR(EXACT(Metadata!E851,"a"),EXACT(Metadata!E851,"b")))</f>
        <v>0</v>
      </c>
      <c r="U851" t="b">
        <f>OR(AND(IF(Metadata!F851="",FALSE,TRUE),OR(EXACT(Metadata!F851,"missing: not collected"),EXACT(Metadata!F851,"missing: not provided"))),AND(IF(Metadata!F851="",FALSE,TRUE),OR(EXACT(Metadata!F851,"lo"),EXACT(Metadata!F851,"med"),EXACT(Metadata!F851,"hi"))))</f>
        <v>0</v>
      </c>
    </row>
    <row r="852" spans="1:21" x14ac:dyDescent="0.2">
      <c r="A852" s="4" t="str">
        <f ca="1">IF(B852=" "," ",HYPERLINK(CONCATENATE("#metadata!",ADDRESS(INDEX($L$2:$L$1001,MATCH(ROWS($J$2:J852),$J$2:$J$1001,0),0),1)),INDEX($O$2:$O$1001,MATCH(ROWS($J$2:J852),$J$2:$J$1001,0),0)))</f>
        <v xml:space="preserve"> </v>
      </c>
      <c r="B852" s="3" t="str">
        <f ca="1">IF(OR(INDEX($K$2:$K$1001,MATCH(ROWS($J$2:J852),$J$2:$J$1001,0),1)&gt;=100000,INDEX($Q$1005:$U$1005,1,MATCH(COLUMNS($Q$1006:Q1006),$Q$1006:$U$1006,0))&gt;=100000), " ",IF(INDEX($Q$2:$U$1001,MATCH(ROWS($J$2:J852),$J$2:$J$1001,0),MATCH(COLUMNS($Q$1006:Q1006),$Q$1006:$U$1006,0)), HYPERLINK("#",""), HYPERLINK(CONCATENATE("#Metadata!", ADDRESS(INDEX($L$2:$L$1001,MATCH(ROWS($J$2:J852),$J$2:$J$1001,0),0), INDEX($Q$1004:$U$1004,1,MATCH(COLUMNS($Q$1006:Q1006),$Q$1006:$U$1006,0)))),"Fix")))</f>
        <v xml:space="preserve"> </v>
      </c>
      <c r="C852" s="3" t="str">
        <f ca="1">IF(OR(INDEX($K$2:$K$1001,MATCH(ROWS($J$2:J852),$J$2:$J$1001,0),1)&gt;=100000,INDEX($Q$1005:$U$1005,1,MATCH(COLUMNS($Q$1006:R1006),$Q$1006:$U$1006,0))&gt;=100000), " ",IF(INDEX($Q$2:$U$1001,MATCH(ROWS($J$2:J852),$J$2:$J$1001,0),MATCH(COLUMNS($Q$1006:R1006),$Q$1006:$U$1006,0)), HYPERLINK("#",""), HYPERLINK(CONCATENATE("#Metadata!", ADDRESS(INDEX($L$2:$L$1001,MATCH(ROWS($J$2:J852),$J$2:$J$1001,0),0), INDEX($Q$1004:$U$1004,1,MATCH(COLUMNS($Q$1006:R1006),$Q$1006:$U$1006,0)))),"Fix")))</f>
        <v xml:space="preserve"> </v>
      </c>
      <c r="D852" s="3" t="str">
        <f ca="1">IF(OR(INDEX($K$2:$K$1001,MATCH(ROWS($J$2:J852),$J$2:$J$1001,0),1)&gt;=100000,INDEX($Q$1005:$U$1005,1,MATCH(COLUMNS($Q$1006:S1006),$Q$1006:$U$1006,0))&gt;=100000), " ",IF(INDEX($Q$2:$U$1001,MATCH(ROWS($J$2:J852),$J$2:$J$1001,0),MATCH(COLUMNS($Q$1006:S1006),$Q$1006:$U$1006,0)), HYPERLINK("#",""), HYPERLINK(CONCATENATE("#Metadata!", ADDRESS(INDEX($L$2:$L$1001,MATCH(ROWS($J$2:J852),$J$2:$J$1001,0),0), INDEX($Q$1004:$U$1004,1,MATCH(COLUMNS($Q$1006:S1006),$Q$1006:$U$1006,0)))),"Fix")))</f>
        <v xml:space="preserve"> </v>
      </c>
      <c r="E852" s="3" t="str">
        <f ca="1">IF(OR(INDEX($K$2:$K$1001,MATCH(ROWS($J$2:J852),$J$2:$J$1001,0),1)&gt;=100000,INDEX($Q$1005:$U$1005,1,MATCH(COLUMNS($Q$1006:T1006),$Q$1006:$U$1006,0))&gt;=100000), " ",IF(INDEX($Q$2:$U$1001,MATCH(ROWS($J$2:J852),$J$2:$J$1001,0),MATCH(COLUMNS($Q$1006:T1006),$Q$1006:$U$1006,0)), HYPERLINK("#",""), HYPERLINK(CONCATENATE("#Metadata!", ADDRESS(INDEX($L$2:$L$1001,MATCH(ROWS($J$2:J852),$J$2:$J$1001,0),0), INDEX($Q$1004:$U$1004,1,MATCH(COLUMNS($Q$1006:T1006),$Q$1006:$U$1006,0)))),"Fix")))</f>
        <v xml:space="preserve"> </v>
      </c>
      <c r="F852" s="3" t="str">
        <f ca="1">IF(OR(INDEX($K$2:$K$1001,MATCH(ROWS($J$2:J852),$J$2:$J$1001,0),1)&gt;=100000,INDEX($Q$1005:$U$1005,1,MATCH(COLUMNS($Q$1006:U1006),$Q$1006:$U$1006,0))&gt;=100000), " ",IF(INDEX($Q$2:$U$1001,MATCH(ROWS($J$2:J852),$J$2:$J$1001,0),MATCH(COLUMNS($Q$1006:U1006),$Q$1006:$U$1006,0)), HYPERLINK("#",""), HYPERLINK(CONCATENATE("#Metadata!", ADDRESS(INDEX($L$2:$L$1001,MATCH(ROWS($J$2:J852),$J$2:$J$1001,0),0), INDEX($Q$1004:$U$1004,1,MATCH(COLUMNS($Q$1006:U1006),$Q$1006:$U$1006,0)))),"Fix")))</f>
        <v xml:space="preserve"> </v>
      </c>
      <c r="J852">
        <f ca="1"/>
        <v>851</v>
      </c>
      <c r="K852">
        <v>100852</v>
      </c>
      <c r="L852">
        <v>852</v>
      </c>
      <c r="M852" t="b">
        <f t="shared" si="13"/>
        <v>1</v>
      </c>
      <c r="N852" t="b">
        <f>COUNTBLANK(Metadata!B852:F852)=COLUMNS(Metadata!B852:F852)</f>
        <v>1</v>
      </c>
      <c r="O852" t="str">
        <v/>
      </c>
      <c r="Q852" t="b">
        <f ca="1"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R852" t="b">
        <f>IF(Metadata!C852="",FALSE,TRUE)</f>
        <v>0</v>
      </c>
      <c r="S852" t="b">
        <f>OR(AND(IF(Metadata!D852="",FALSE,TRUE),EXACT(Metadata!D852,"missing: not collected")),AND(IF(Metadata!D852="",FALSE,TRUE),OR(EXACT(Metadata!D852,"t"),EXACT(Metadata!D852,"f"))))</f>
        <v>0</v>
      </c>
      <c r="T852" t="b">
        <f>AND(IF(Metadata!E852="",FALSE,TRUE),OR(EXACT(Metadata!E852,"a"),EXACT(Metadata!E852,"b")))</f>
        <v>0</v>
      </c>
      <c r="U852" t="b">
        <f>OR(AND(IF(Metadata!F852="",FALSE,TRUE),OR(EXACT(Metadata!F852,"missing: not collected"),EXACT(Metadata!F852,"missing: not provided"))),AND(IF(Metadata!F852="",FALSE,TRUE),OR(EXACT(Metadata!F852,"lo"),EXACT(Metadata!F852,"med"),EXACT(Metadata!F852,"hi"))))</f>
        <v>0</v>
      </c>
    </row>
    <row r="853" spans="1:21" x14ac:dyDescent="0.2">
      <c r="A853" s="4" t="str">
        <f ca="1">IF(B853=" "," ",HYPERLINK(CONCATENATE("#metadata!",ADDRESS(INDEX($L$2:$L$1001,MATCH(ROWS($J$2:J853),$J$2:$J$1001,0),0),1)),INDEX($O$2:$O$1001,MATCH(ROWS($J$2:J853),$J$2:$J$1001,0),0)))</f>
        <v xml:space="preserve"> </v>
      </c>
      <c r="B853" s="3" t="str">
        <f ca="1">IF(OR(INDEX($K$2:$K$1001,MATCH(ROWS($J$2:J853),$J$2:$J$1001,0),1)&gt;=100000,INDEX($Q$1005:$U$1005,1,MATCH(COLUMNS($Q$1006:Q1006),$Q$1006:$U$1006,0))&gt;=100000), " ",IF(INDEX($Q$2:$U$1001,MATCH(ROWS($J$2:J853),$J$2:$J$1001,0),MATCH(COLUMNS($Q$1006:Q1006),$Q$1006:$U$1006,0)), HYPERLINK("#",""), HYPERLINK(CONCATENATE("#Metadata!", ADDRESS(INDEX($L$2:$L$1001,MATCH(ROWS($J$2:J853),$J$2:$J$1001,0),0), INDEX($Q$1004:$U$1004,1,MATCH(COLUMNS($Q$1006:Q1006),$Q$1006:$U$1006,0)))),"Fix")))</f>
        <v xml:space="preserve"> </v>
      </c>
      <c r="C853" s="3" t="str">
        <f ca="1">IF(OR(INDEX($K$2:$K$1001,MATCH(ROWS($J$2:J853),$J$2:$J$1001,0),1)&gt;=100000,INDEX($Q$1005:$U$1005,1,MATCH(COLUMNS($Q$1006:R1006),$Q$1006:$U$1006,0))&gt;=100000), " ",IF(INDEX($Q$2:$U$1001,MATCH(ROWS($J$2:J853),$J$2:$J$1001,0),MATCH(COLUMNS($Q$1006:R1006),$Q$1006:$U$1006,0)), HYPERLINK("#",""), HYPERLINK(CONCATENATE("#Metadata!", ADDRESS(INDEX($L$2:$L$1001,MATCH(ROWS($J$2:J853),$J$2:$J$1001,0),0), INDEX($Q$1004:$U$1004,1,MATCH(COLUMNS($Q$1006:R1006),$Q$1006:$U$1006,0)))),"Fix")))</f>
        <v xml:space="preserve"> </v>
      </c>
      <c r="D853" s="3" t="str">
        <f ca="1">IF(OR(INDEX($K$2:$K$1001,MATCH(ROWS($J$2:J853),$J$2:$J$1001,0),1)&gt;=100000,INDEX($Q$1005:$U$1005,1,MATCH(COLUMNS($Q$1006:S1006),$Q$1006:$U$1006,0))&gt;=100000), " ",IF(INDEX($Q$2:$U$1001,MATCH(ROWS($J$2:J853),$J$2:$J$1001,0),MATCH(COLUMNS($Q$1006:S1006),$Q$1006:$U$1006,0)), HYPERLINK("#",""), HYPERLINK(CONCATENATE("#Metadata!", ADDRESS(INDEX($L$2:$L$1001,MATCH(ROWS($J$2:J853),$J$2:$J$1001,0),0), INDEX($Q$1004:$U$1004,1,MATCH(COLUMNS($Q$1006:S1006),$Q$1006:$U$1006,0)))),"Fix")))</f>
        <v xml:space="preserve"> </v>
      </c>
      <c r="E853" s="3" t="str">
        <f ca="1">IF(OR(INDEX($K$2:$K$1001,MATCH(ROWS($J$2:J853),$J$2:$J$1001,0),1)&gt;=100000,INDEX($Q$1005:$U$1005,1,MATCH(COLUMNS($Q$1006:T1006),$Q$1006:$U$1006,0))&gt;=100000), " ",IF(INDEX($Q$2:$U$1001,MATCH(ROWS($J$2:J853),$J$2:$J$1001,0),MATCH(COLUMNS($Q$1006:T1006),$Q$1006:$U$1006,0)), HYPERLINK("#",""), HYPERLINK(CONCATENATE("#Metadata!", ADDRESS(INDEX($L$2:$L$1001,MATCH(ROWS($J$2:J853),$J$2:$J$1001,0),0), INDEX($Q$1004:$U$1004,1,MATCH(COLUMNS($Q$1006:T1006),$Q$1006:$U$1006,0)))),"Fix")))</f>
        <v xml:space="preserve"> </v>
      </c>
      <c r="F853" s="3" t="str">
        <f ca="1">IF(OR(INDEX($K$2:$K$1001,MATCH(ROWS($J$2:J853),$J$2:$J$1001,0),1)&gt;=100000,INDEX($Q$1005:$U$1005,1,MATCH(COLUMNS($Q$1006:U1006),$Q$1006:$U$1006,0))&gt;=100000), " ",IF(INDEX($Q$2:$U$1001,MATCH(ROWS($J$2:J853),$J$2:$J$1001,0),MATCH(COLUMNS($Q$1006:U1006),$Q$1006:$U$1006,0)), HYPERLINK("#",""), HYPERLINK(CONCATENATE("#Metadata!", ADDRESS(INDEX($L$2:$L$1001,MATCH(ROWS($J$2:J853),$J$2:$J$1001,0),0), INDEX($Q$1004:$U$1004,1,MATCH(COLUMNS($Q$1006:U1006),$Q$1006:$U$1006,0)))),"Fix")))</f>
        <v xml:space="preserve"> </v>
      </c>
      <c r="J853">
        <f ca="1"/>
        <v>852</v>
      </c>
      <c r="K853">
        <v>100853</v>
      </c>
      <c r="L853">
        <v>853</v>
      </c>
      <c r="M853" t="b">
        <f t="shared" si="13"/>
        <v>1</v>
      </c>
      <c r="N853" t="b">
        <f>COUNTBLANK(Metadata!B853:F853)=COLUMNS(Metadata!B853:F853)</f>
        <v>1</v>
      </c>
      <c r="O853" t="str">
        <v/>
      </c>
      <c r="Q853" t="b">
        <f ca="1"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R853" t="b">
        <f>IF(Metadata!C853="",FALSE,TRUE)</f>
        <v>0</v>
      </c>
      <c r="S853" t="b">
        <f>OR(AND(IF(Metadata!D853="",FALSE,TRUE),EXACT(Metadata!D853,"missing: not collected")),AND(IF(Metadata!D853="",FALSE,TRUE),OR(EXACT(Metadata!D853,"t"),EXACT(Metadata!D853,"f"))))</f>
        <v>0</v>
      </c>
      <c r="T853" t="b">
        <f>AND(IF(Metadata!E853="",FALSE,TRUE),OR(EXACT(Metadata!E853,"a"),EXACT(Metadata!E853,"b")))</f>
        <v>0</v>
      </c>
      <c r="U853" t="b">
        <f>OR(AND(IF(Metadata!F853="",FALSE,TRUE),OR(EXACT(Metadata!F853,"missing: not collected"),EXACT(Metadata!F853,"missing: not provided"))),AND(IF(Metadata!F853="",FALSE,TRUE),OR(EXACT(Metadata!F853,"lo"),EXACT(Metadata!F853,"med"),EXACT(Metadata!F853,"hi"))))</f>
        <v>0</v>
      </c>
    </row>
    <row r="854" spans="1:21" x14ac:dyDescent="0.2">
      <c r="A854" s="4" t="str">
        <f ca="1">IF(B854=" "," ",HYPERLINK(CONCATENATE("#metadata!",ADDRESS(INDEX($L$2:$L$1001,MATCH(ROWS($J$2:J854),$J$2:$J$1001,0),0),1)),INDEX($O$2:$O$1001,MATCH(ROWS($J$2:J854),$J$2:$J$1001,0),0)))</f>
        <v xml:space="preserve"> </v>
      </c>
      <c r="B854" s="3" t="str">
        <f ca="1">IF(OR(INDEX($K$2:$K$1001,MATCH(ROWS($J$2:J854),$J$2:$J$1001,0),1)&gt;=100000,INDEX($Q$1005:$U$1005,1,MATCH(COLUMNS($Q$1006:Q1006),$Q$1006:$U$1006,0))&gt;=100000), " ",IF(INDEX($Q$2:$U$1001,MATCH(ROWS($J$2:J854),$J$2:$J$1001,0),MATCH(COLUMNS($Q$1006:Q1006),$Q$1006:$U$1006,0)), HYPERLINK("#",""), HYPERLINK(CONCATENATE("#Metadata!", ADDRESS(INDEX($L$2:$L$1001,MATCH(ROWS($J$2:J854),$J$2:$J$1001,0),0), INDEX($Q$1004:$U$1004,1,MATCH(COLUMNS($Q$1006:Q1006),$Q$1006:$U$1006,0)))),"Fix")))</f>
        <v xml:space="preserve"> </v>
      </c>
      <c r="C854" s="3" t="str">
        <f ca="1">IF(OR(INDEX($K$2:$K$1001,MATCH(ROWS($J$2:J854),$J$2:$J$1001,0),1)&gt;=100000,INDEX($Q$1005:$U$1005,1,MATCH(COLUMNS($Q$1006:R1006),$Q$1006:$U$1006,0))&gt;=100000), " ",IF(INDEX($Q$2:$U$1001,MATCH(ROWS($J$2:J854),$J$2:$J$1001,0),MATCH(COLUMNS($Q$1006:R1006),$Q$1006:$U$1006,0)), HYPERLINK("#",""), HYPERLINK(CONCATENATE("#Metadata!", ADDRESS(INDEX($L$2:$L$1001,MATCH(ROWS($J$2:J854),$J$2:$J$1001,0),0), INDEX($Q$1004:$U$1004,1,MATCH(COLUMNS($Q$1006:R1006),$Q$1006:$U$1006,0)))),"Fix")))</f>
        <v xml:space="preserve"> </v>
      </c>
      <c r="D854" s="3" t="str">
        <f ca="1">IF(OR(INDEX($K$2:$K$1001,MATCH(ROWS($J$2:J854),$J$2:$J$1001,0),1)&gt;=100000,INDEX($Q$1005:$U$1005,1,MATCH(COLUMNS($Q$1006:S1006),$Q$1006:$U$1006,0))&gt;=100000), " ",IF(INDEX($Q$2:$U$1001,MATCH(ROWS($J$2:J854),$J$2:$J$1001,0),MATCH(COLUMNS($Q$1006:S1006),$Q$1006:$U$1006,0)), HYPERLINK("#",""), HYPERLINK(CONCATENATE("#Metadata!", ADDRESS(INDEX($L$2:$L$1001,MATCH(ROWS($J$2:J854),$J$2:$J$1001,0),0), INDEX($Q$1004:$U$1004,1,MATCH(COLUMNS($Q$1006:S1006),$Q$1006:$U$1006,0)))),"Fix")))</f>
        <v xml:space="preserve"> </v>
      </c>
      <c r="E854" s="3" t="str">
        <f ca="1">IF(OR(INDEX($K$2:$K$1001,MATCH(ROWS($J$2:J854),$J$2:$J$1001,0),1)&gt;=100000,INDEX($Q$1005:$U$1005,1,MATCH(COLUMNS($Q$1006:T1006),$Q$1006:$U$1006,0))&gt;=100000), " ",IF(INDEX($Q$2:$U$1001,MATCH(ROWS($J$2:J854),$J$2:$J$1001,0),MATCH(COLUMNS($Q$1006:T1006),$Q$1006:$U$1006,0)), HYPERLINK("#",""), HYPERLINK(CONCATENATE("#Metadata!", ADDRESS(INDEX($L$2:$L$1001,MATCH(ROWS($J$2:J854),$J$2:$J$1001,0),0), INDEX($Q$1004:$U$1004,1,MATCH(COLUMNS($Q$1006:T1006),$Q$1006:$U$1006,0)))),"Fix")))</f>
        <v xml:space="preserve"> </v>
      </c>
      <c r="F854" s="3" t="str">
        <f ca="1">IF(OR(INDEX($K$2:$K$1001,MATCH(ROWS($J$2:J854),$J$2:$J$1001,0),1)&gt;=100000,INDEX($Q$1005:$U$1005,1,MATCH(COLUMNS($Q$1006:U1006),$Q$1006:$U$1006,0))&gt;=100000), " ",IF(INDEX($Q$2:$U$1001,MATCH(ROWS($J$2:J854),$J$2:$J$1001,0),MATCH(COLUMNS($Q$1006:U1006),$Q$1006:$U$1006,0)), HYPERLINK("#",""), HYPERLINK(CONCATENATE("#Metadata!", ADDRESS(INDEX($L$2:$L$1001,MATCH(ROWS($J$2:J854),$J$2:$J$1001,0),0), INDEX($Q$1004:$U$1004,1,MATCH(COLUMNS($Q$1006:U1006),$Q$1006:$U$1006,0)))),"Fix")))</f>
        <v xml:space="preserve"> </v>
      </c>
      <c r="J854">
        <f ca="1"/>
        <v>853</v>
      </c>
      <c r="K854">
        <v>100854</v>
      </c>
      <c r="L854">
        <v>854</v>
      </c>
      <c r="M854" t="b">
        <f t="shared" si="13"/>
        <v>1</v>
      </c>
      <c r="N854" t="b">
        <f>COUNTBLANK(Metadata!B854:F854)=COLUMNS(Metadata!B854:F854)</f>
        <v>1</v>
      </c>
      <c r="O854" t="str">
        <v/>
      </c>
      <c r="Q854" t="b">
        <f ca="1"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R854" t="b">
        <f>IF(Metadata!C854="",FALSE,TRUE)</f>
        <v>0</v>
      </c>
      <c r="S854" t="b">
        <f>OR(AND(IF(Metadata!D854="",FALSE,TRUE),EXACT(Metadata!D854,"missing: not collected")),AND(IF(Metadata!D854="",FALSE,TRUE),OR(EXACT(Metadata!D854,"t"),EXACT(Metadata!D854,"f"))))</f>
        <v>0</v>
      </c>
      <c r="T854" t="b">
        <f>AND(IF(Metadata!E854="",FALSE,TRUE),OR(EXACT(Metadata!E854,"a"),EXACT(Metadata!E854,"b")))</f>
        <v>0</v>
      </c>
      <c r="U854" t="b">
        <f>OR(AND(IF(Metadata!F854="",FALSE,TRUE),OR(EXACT(Metadata!F854,"missing: not collected"),EXACT(Metadata!F854,"missing: not provided"))),AND(IF(Metadata!F854="",FALSE,TRUE),OR(EXACT(Metadata!F854,"lo"),EXACT(Metadata!F854,"med"),EXACT(Metadata!F854,"hi"))))</f>
        <v>0</v>
      </c>
    </row>
    <row r="855" spans="1:21" x14ac:dyDescent="0.2">
      <c r="A855" s="4" t="str">
        <f ca="1">IF(B855=" "," ",HYPERLINK(CONCATENATE("#metadata!",ADDRESS(INDEX($L$2:$L$1001,MATCH(ROWS($J$2:J855),$J$2:$J$1001,0),0),1)),INDEX($O$2:$O$1001,MATCH(ROWS($J$2:J855),$J$2:$J$1001,0),0)))</f>
        <v xml:space="preserve"> </v>
      </c>
      <c r="B855" s="3" t="str">
        <f ca="1">IF(OR(INDEX($K$2:$K$1001,MATCH(ROWS($J$2:J855),$J$2:$J$1001,0),1)&gt;=100000,INDEX($Q$1005:$U$1005,1,MATCH(COLUMNS($Q$1006:Q1006),$Q$1006:$U$1006,0))&gt;=100000), " ",IF(INDEX($Q$2:$U$1001,MATCH(ROWS($J$2:J855),$J$2:$J$1001,0),MATCH(COLUMNS($Q$1006:Q1006),$Q$1006:$U$1006,0)), HYPERLINK("#",""), HYPERLINK(CONCATENATE("#Metadata!", ADDRESS(INDEX($L$2:$L$1001,MATCH(ROWS($J$2:J855),$J$2:$J$1001,0),0), INDEX($Q$1004:$U$1004,1,MATCH(COLUMNS($Q$1006:Q1006),$Q$1006:$U$1006,0)))),"Fix")))</f>
        <v xml:space="preserve"> </v>
      </c>
      <c r="C855" s="3" t="str">
        <f ca="1">IF(OR(INDEX($K$2:$K$1001,MATCH(ROWS($J$2:J855),$J$2:$J$1001,0),1)&gt;=100000,INDEX($Q$1005:$U$1005,1,MATCH(COLUMNS($Q$1006:R1006),$Q$1006:$U$1006,0))&gt;=100000), " ",IF(INDEX($Q$2:$U$1001,MATCH(ROWS($J$2:J855),$J$2:$J$1001,0),MATCH(COLUMNS($Q$1006:R1006),$Q$1006:$U$1006,0)), HYPERLINK("#",""), HYPERLINK(CONCATENATE("#Metadata!", ADDRESS(INDEX($L$2:$L$1001,MATCH(ROWS($J$2:J855),$J$2:$J$1001,0),0), INDEX($Q$1004:$U$1004,1,MATCH(COLUMNS($Q$1006:R1006),$Q$1006:$U$1006,0)))),"Fix")))</f>
        <v xml:space="preserve"> </v>
      </c>
      <c r="D855" s="3" t="str">
        <f ca="1">IF(OR(INDEX($K$2:$K$1001,MATCH(ROWS($J$2:J855),$J$2:$J$1001,0),1)&gt;=100000,INDEX($Q$1005:$U$1005,1,MATCH(COLUMNS($Q$1006:S1006),$Q$1006:$U$1006,0))&gt;=100000), " ",IF(INDEX($Q$2:$U$1001,MATCH(ROWS($J$2:J855),$J$2:$J$1001,0),MATCH(COLUMNS($Q$1006:S1006),$Q$1006:$U$1006,0)), HYPERLINK("#",""), HYPERLINK(CONCATENATE("#Metadata!", ADDRESS(INDEX($L$2:$L$1001,MATCH(ROWS($J$2:J855),$J$2:$J$1001,0),0), INDEX($Q$1004:$U$1004,1,MATCH(COLUMNS($Q$1006:S1006),$Q$1006:$U$1006,0)))),"Fix")))</f>
        <v xml:space="preserve"> </v>
      </c>
      <c r="E855" s="3" t="str">
        <f ca="1">IF(OR(INDEX($K$2:$K$1001,MATCH(ROWS($J$2:J855),$J$2:$J$1001,0),1)&gt;=100000,INDEX($Q$1005:$U$1005,1,MATCH(COLUMNS($Q$1006:T1006),$Q$1006:$U$1006,0))&gt;=100000), " ",IF(INDEX($Q$2:$U$1001,MATCH(ROWS($J$2:J855),$J$2:$J$1001,0),MATCH(COLUMNS($Q$1006:T1006),$Q$1006:$U$1006,0)), HYPERLINK("#",""), HYPERLINK(CONCATENATE("#Metadata!", ADDRESS(INDEX($L$2:$L$1001,MATCH(ROWS($J$2:J855),$J$2:$J$1001,0),0), INDEX($Q$1004:$U$1004,1,MATCH(COLUMNS($Q$1006:T1006),$Q$1006:$U$1006,0)))),"Fix")))</f>
        <v xml:space="preserve"> </v>
      </c>
      <c r="F855" s="3" t="str">
        <f ca="1">IF(OR(INDEX($K$2:$K$1001,MATCH(ROWS($J$2:J855),$J$2:$J$1001,0),1)&gt;=100000,INDEX($Q$1005:$U$1005,1,MATCH(COLUMNS($Q$1006:U1006),$Q$1006:$U$1006,0))&gt;=100000), " ",IF(INDEX($Q$2:$U$1001,MATCH(ROWS($J$2:J855),$J$2:$J$1001,0),MATCH(COLUMNS($Q$1006:U1006),$Q$1006:$U$1006,0)), HYPERLINK("#",""), HYPERLINK(CONCATENATE("#Metadata!", ADDRESS(INDEX($L$2:$L$1001,MATCH(ROWS($J$2:J855),$J$2:$J$1001,0),0), INDEX($Q$1004:$U$1004,1,MATCH(COLUMNS($Q$1006:U1006),$Q$1006:$U$1006,0)))),"Fix")))</f>
        <v xml:space="preserve"> </v>
      </c>
      <c r="J855">
        <f ca="1"/>
        <v>854</v>
      </c>
      <c r="K855">
        <v>100855</v>
      </c>
      <c r="L855">
        <v>855</v>
      </c>
      <c r="M855" t="b">
        <f t="shared" si="13"/>
        <v>1</v>
      </c>
      <c r="N855" t="b">
        <f>COUNTBLANK(Metadata!B855:F855)=COLUMNS(Metadata!B855:F855)</f>
        <v>1</v>
      </c>
      <c r="O855" t="str">
        <v/>
      </c>
      <c r="Q855" t="b">
        <f ca="1"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R855" t="b">
        <f>IF(Metadata!C855="",FALSE,TRUE)</f>
        <v>0</v>
      </c>
      <c r="S855" t="b">
        <f>OR(AND(IF(Metadata!D855="",FALSE,TRUE),EXACT(Metadata!D855,"missing: not collected")),AND(IF(Metadata!D855="",FALSE,TRUE),OR(EXACT(Metadata!D855,"t"),EXACT(Metadata!D855,"f"))))</f>
        <v>0</v>
      </c>
      <c r="T855" t="b">
        <f>AND(IF(Metadata!E855="",FALSE,TRUE),OR(EXACT(Metadata!E855,"a"),EXACT(Metadata!E855,"b")))</f>
        <v>0</v>
      </c>
      <c r="U855" t="b">
        <f>OR(AND(IF(Metadata!F855="",FALSE,TRUE),OR(EXACT(Metadata!F855,"missing: not collected"),EXACT(Metadata!F855,"missing: not provided"))),AND(IF(Metadata!F855="",FALSE,TRUE),OR(EXACT(Metadata!F855,"lo"),EXACT(Metadata!F855,"med"),EXACT(Metadata!F855,"hi"))))</f>
        <v>0</v>
      </c>
    </row>
    <row r="856" spans="1:21" x14ac:dyDescent="0.2">
      <c r="A856" s="4" t="str">
        <f ca="1">IF(B856=" "," ",HYPERLINK(CONCATENATE("#metadata!",ADDRESS(INDEX($L$2:$L$1001,MATCH(ROWS($J$2:J856),$J$2:$J$1001,0),0),1)),INDEX($O$2:$O$1001,MATCH(ROWS($J$2:J856),$J$2:$J$1001,0),0)))</f>
        <v xml:space="preserve"> </v>
      </c>
      <c r="B856" s="3" t="str">
        <f ca="1">IF(OR(INDEX($K$2:$K$1001,MATCH(ROWS($J$2:J856),$J$2:$J$1001,0),1)&gt;=100000,INDEX($Q$1005:$U$1005,1,MATCH(COLUMNS($Q$1006:Q1006),$Q$1006:$U$1006,0))&gt;=100000), " ",IF(INDEX($Q$2:$U$1001,MATCH(ROWS($J$2:J856),$J$2:$J$1001,0),MATCH(COLUMNS($Q$1006:Q1006),$Q$1006:$U$1006,0)), HYPERLINK("#",""), HYPERLINK(CONCATENATE("#Metadata!", ADDRESS(INDEX($L$2:$L$1001,MATCH(ROWS($J$2:J856),$J$2:$J$1001,0),0), INDEX($Q$1004:$U$1004,1,MATCH(COLUMNS($Q$1006:Q1006),$Q$1006:$U$1006,0)))),"Fix")))</f>
        <v xml:space="preserve"> </v>
      </c>
      <c r="C856" s="3" t="str">
        <f ca="1">IF(OR(INDEX($K$2:$K$1001,MATCH(ROWS($J$2:J856),$J$2:$J$1001,0),1)&gt;=100000,INDEX($Q$1005:$U$1005,1,MATCH(COLUMNS($Q$1006:R1006),$Q$1006:$U$1006,0))&gt;=100000), " ",IF(INDEX($Q$2:$U$1001,MATCH(ROWS($J$2:J856),$J$2:$J$1001,0),MATCH(COLUMNS($Q$1006:R1006),$Q$1006:$U$1006,0)), HYPERLINK("#",""), HYPERLINK(CONCATENATE("#Metadata!", ADDRESS(INDEX($L$2:$L$1001,MATCH(ROWS($J$2:J856),$J$2:$J$1001,0),0), INDEX($Q$1004:$U$1004,1,MATCH(COLUMNS($Q$1006:R1006),$Q$1006:$U$1006,0)))),"Fix")))</f>
        <v xml:space="preserve"> </v>
      </c>
      <c r="D856" s="3" t="str">
        <f ca="1">IF(OR(INDEX($K$2:$K$1001,MATCH(ROWS($J$2:J856),$J$2:$J$1001,0),1)&gt;=100000,INDEX($Q$1005:$U$1005,1,MATCH(COLUMNS($Q$1006:S1006),$Q$1006:$U$1006,0))&gt;=100000), " ",IF(INDEX($Q$2:$U$1001,MATCH(ROWS($J$2:J856),$J$2:$J$1001,0),MATCH(COLUMNS($Q$1006:S1006),$Q$1006:$U$1006,0)), HYPERLINK("#",""), HYPERLINK(CONCATENATE("#Metadata!", ADDRESS(INDEX($L$2:$L$1001,MATCH(ROWS($J$2:J856),$J$2:$J$1001,0),0), INDEX($Q$1004:$U$1004,1,MATCH(COLUMNS($Q$1006:S1006),$Q$1006:$U$1006,0)))),"Fix")))</f>
        <v xml:space="preserve"> </v>
      </c>
      <c r="E856" s="3" t="str">
        <f ca="1">IF(OR(INDEX($K$2:$K$1001,MATCH(ROWS($J$2:J856),$J$2:$J$1001,0),1)&gt;=100000,INDEX($Q$1005:$U$1005,1,MATCH(COLUMNS($Q$1006:T1006),$Q$1006:$U$1006,0))&gt;=100000), " ",IF(INDEX($Q$2:$U$1001,MATCH(ROWS($J$2:J856),$J$2:$J$1001,0),MATCH(COLUMNS($Q$1006:T1006),$Q$1006:$U$1006,0)), HYPERLINK("#",""), HYPERLINK(CONCATENATE("#Metadata!", ADDRESS(INDEX($L$2:$L$1001,MATCH(ROWS($J$2:J856),$J$2:$J$1001,0),0), INDEX($Q$1004:$U$1004,1,MATCH(COLUMNS($Q$1006:T1006),$Q$1006:$U$1006,0)))),"Fix")))</f>
        <v xml:space="preserve"> </v>
      </c>
      <c r="F856" s="3" t="str">
        <f ca="1">IF(OR(INDEX($K$2:$K$1001,MATCH(ROWS($J$2:J856),$J$2:$J$1001,0),1)&gt;=100000,INDEX($Q$1005:$U$1005,1,MATCH(COLUMNS($Q$1006:U1006),$Q$1006:$U$1006,0))&gt;=100000), " ",IF(INDEX($Q$2:$U$1001,MATCH(ROWS($J$2:J856),$J$2:$J$1001,0),MATCH(COLUMNS($Q$1006:U1006),$Q$1006:$U$1006,0)), HYPERLINK("#",""), HYPERLINK(CONCATENATE("#Metadata!", ADDRESS(INDEX($L$2:$L$1001,MATCH(ROWS($J$2:J856),$J$2:$J$1001,0),0), INDEX($Q$1004:$U$1004,1,MATCH(COLUMNS($Q$1006:U1006),$Q$1006:$U$1006,0)))),"Fix")))</f>
        <v xml:space="preserve"> </v>
      </c>
      <c r="J856">
        <f ca="1"/>
        <v>855</v>
      </c>
      <c r="K856">
        <v>100856</v>
      </c>
      <c r="L856">
        <v>856</v>
      </c>
      <c r="M856" t="b">
        <f t="shared" si="13"/>
        <v>1</v>
      </c>
      <c r="N856" t="b">
        <f>COUNTBLANK(Metadata!B856:F856)=COLUMNS(Metadata!B856:F856)</f>
        <v>1</v>
      </c>
      <c r="O856" t="str">
        <v/>
      </c>
      <c r="Q856" t="b">
        <f ca="1"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R856" t="b">
        <f>IF(Metadata!C856="",FALSE,TRUE)</f>
        <v>0</v>
      </c>
      <c r="S856" t="b">
        <f>OR(AND(IF(Metadata!D856="",FALSE,TRUE),EXACT(Metadata!D856,"missing: not collected")),AND(IF(Metadata!D856="",FALSE,TRUE),OR(EXACT(Metadata!D856,"t"),EXACT(Metadata!D856,"f"))))</f>
        <v>0</v>
      </c>
      <c r="T856" t="b">
        <f>AND(IF(Metadata!E856="",FALSE,TRUE),OR(EXACT(Metadata!E856,"a"),EXACT(Metadata!E856,"b")))</f>
        <v>0</v>
      </c>
      <c r="U856" t="b">
        <f>OR(AND(IF(Metadata!F856="",FALSE,TRUE),OR(EXACT(Metadata!F856,"missing: not collected"),EXACT(Metadata!F856,"missing: not provided"))),AND(IF(Metadata!F856="",FALSE,TRUE),OR(EXACT(Metadata!F856,"lo"),EXACT(Metadata!F856,"med"),EXACT(Metadata!F856,"hi"))))</f>
        <v>0</v>
      </c>
    </row>
    <row r="857" spans="1:21" x14ac:dyDescent="0.2">
      <c r="A857" s="4" t="str">
        <f ca="1">IF(B857=" "," ",HYPERLINK(CONCATENATE("#metadata!",ADDRESS(INDEX($L$2:$L$1001,MATCH(ROWS($J$2:J857),$J$2:$J$1001,0),0),1)),INDEX($O$2:$O$1001,MATCH(ROWS($J$2:J857),$J$2:$J$1001,0),0)))</f>
        <v xml:space="preserve"> </v>
      </c>
      <c r="B857" s="3" t="str">
        <f ca="1">IF(OR(INDEX($K$2:$K$1001,MATCH(ROWS($J$2:J857),$J$2:$J$1001,0),1)&gt;=100000,INDEX($Q$1005:$U$1005,1,MATCH(COLUMNS($Q$1006:Q1006),$Q$1006:$U$1006,0))&gt;=100000), " ",IF(INDEX($Q$2:$U$1001,MATCH(ROWS($J$2:J857),$J$2:$J$1001,0),MATCH(COLUMNS($Q$1006:Q1006),$Q$1006:$U$1006,0)), HYPERLINK("#",""), HYPERLINK(CONCATENATE("#Metadata!", ADDRESS(INDEX($L$2:$L$1001,MATCH(ROWS($J$2:J857),$J$2:$J$1001,0),0), INDEX($Q$1004:$U$1004,1,MATCH(COLUMNS($Q$1006:Q1006),$Q$1006:$U$1006,0)))),"Fix")))</f>
        <v xml:space="preserve"> </v>
      </c>
      <c r="C857" s="3" t="str">
        <f ca="1">IF(OR(INDEX($K$2:$K$1001,MATCH(ROWS($J$2:J857),$J$2:$J$1001,0),1)&gt;=100000,INDEX($Q$1005:$U$1005,1,MATCH(COLUMNS($Q$1006:R1006),$Q$1006:$U$1006,0))&gt;=100000), " ",IF(INDEX($Q$2:$U$1001,MATCH(ROWS($J$2:J857),$J$2:$J$1001,0),MATCH(COLUMNS($Q$1006:R1006),$Q$1006:$U$1006,0)), HYPERLINK("#",""), HYPERLINK(CONCATENATE("#Metadata!", ADDRESS(INDEX($L$2:$L$1001,MATCH(ROWS($J$2:J857),$J$2:$J$1001,0),0), INDEX($Q$1004:$U$1004,1,MATCH(COLUMNS($Q$1006:R1006),$Q$1006:$U$1006,0)))),"Fix")))</f>
        <v xml:space="preserve"> </v>
      </c>
      <c r="D857" s="3" t="str">
        <f ca="1">IF(OR(INDEX($K$2:$K$1001,MATCH(ROWS($J$2:J857),$J$2:$J$1001,0),1)&gt;=100000,INDEX($Q$1005:$U$1005,1,MATCH(COLUMNS($Q$1006:S1006),$Q$1006:$U$1006,0))&gt;=100000), " ",IF(INDEX($Q$2:$U$1001,MATCH(ROWS($J$2:J857),$J$2:$J$1001,0),MATCH(COLUMNS($Q$1006:S1006),$Q$1006:$U$1006,0)), HYPERLINK("#",""), HYPERLINK(CONCATENATE("#Metadata!", ADDRESS(INDEX($L$2:$L$1001,MATCH(ROWS($J$2:J857),$J$2:$J$1001,0),0), INDEX($Q$1004:$U$1004,1,MATCH(COLUMNS($Q$1006:S1006),$Q$1006:$U$1006,0)))),"Fix")))</f>
        <v xml:space="preserve"> </v>
      </c>
      <c r="E857" s="3" t="str">
        <f ca="1">IF(OR(INDEX($K$2:$K$1001,MATCH(ROWS($J$2:J857),$J$2:$J$1001,0),1)&gt;=100000,INDEX($Q$1005:$U$1005,1,MATCH(COLUMNS($Q$1006:T1006),$Q$1006:$U$1006,0))&gt;=100000), " ",IF(INDEX($Q$2:$U$1001,MATCH(ROWS($J$2:J857),$J$2:$J$1001,0),MATCH(COLUMNS($Q$1006:T1006),$Q$1006:$U$1006,0)), HYPERLINK("#",""), HYPERLINK(CONCATENATE("#Metadata!", ADDRESS(INDEX($L$2:$L$1001,MATCH(ROWS($J$2:J857),$J$2:$J$1001,0),0), INDEX($Q$1004:$U$1004,1,MATCH(COLUMNS($Q$1006:T1006),$Q$1006:$U$1006,0)))),"Fix")))</f>
        <v xml:space="preserve"> </v>
      </c>
      <c r="F857" s="3" t="str">
        <f ca="1">IF(OR(INDEX($K$2:$K$1001,MATCH(ROWS($J$2:J857),$J$2:$J$1001,0),1)&gt;=100000,INDEX($Q$1005:$U$1005,1,MATCH(COLUMNS($Q$1006:U1006),$Q$1006:$U$1006,0))&gt;=100000), " ",IF(INDEX($Q$2:$U$1001,MATCH(ROWS($J$2:J857),$J$2:$J$1001,0),MATCH(COLUMNS($Q$1006:U1006),$Q$1006:$U$1006,0)), HYPERLINK("#",""), HYPERLINK(CONCATENATE("#Metadata!", ADDRESS(INDEX($L$2:$L$1001,MATCH(ROWS($J$2:J857),$J$2:$J$1001,0),0), INDEX($Q$1004:$U$1004,1,MATCH(COLUMNS($Q$1006:U1006),$Q$1006:$U$1006,0)))),"Fix")))</f>
        <v xml:space="preserve"> </v>
      </c>
      <c r="J857">
        <f ca="1"/>
        <v>856</v>
      </c>
      <c r="K857">
        <v>100857</v>
      </c>
      <c r="L857">
        <v>857</v>
      </c>
      <c r="M857" t="b">
        <f t="shared" si="13"/>
        <v>1</v>
      </c>
      <c r="N857" t="b">
        <f>COUNTBLANK(Metadata!B857:F857)=COLUMNS(Metadata!B857:F857)</f>
        <v>1</v>
      </c>
      <c r="O857" t="str">
        <v/>
      </c>
      <c r="Q857" t="b">
        <f ca="1"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R857" t="b">
        <f>IF(Metadata!C857="",FALSE,TRUE)</f>
        <v>0</v>
      </c>
      <c r="S857" t="b">
        <f>OR(AND(IF(Metadata!D857="",FALSE,TRUE),EXACT(Metadata!D857,"missing: not collected")),AND(IF(Metadata!D857="",FALSE,TRUE),OR(EXACT(Metadata!D857,"t"),EXACT(Metadata!D857,"f"))))</f>
        <v>0</v>
      </c>
      <c r="T857" t="b">
        <f>AND(IF(Metadata!E857="",FALSE,TRUE),OR(EXACT(Metadata!E857,"a"),EXACT(Metadata!E857,"b")))</f>
        <v>0</v>
      </c>
      <c r="U857" t="b">
        <f>OR(AND(IF(Metadata!F857="",FALSE,TRUE),OR(EXACT(Metadata!F857,"missing: not collected"),EXACT(Metadata!F857,"missing: not provided"))),AND(IF(Metadata!F857="",FALSE,TRUE),OR(EXACT(Metadata!F857,"lo"),EXACT(Metadata!F857,"med"),EXACT(Metadata!F857,"hi"))))</f>
        <v>0</v>
      </c>
    </row>
    <row r="858" spans="1:21" x14ac:dyDescent="0.2">
      <c r="A858" s="4" t="str">
        <f ca="1">IF(B858=" "," ",HYPERLINK(CONCATENATE("#metadata!",ADDRESS(INDEX($L$2:$L$1001,MATCH(ROWS($J$2:J858),$J$2:$J$1001,0),0),1)),INDEX($O$2:$O$1001,MATCH(ROWS($J$2:J858),$J$2:$J$1001,0),0)))</f>
        <v xml:space="preserve"> </v>
      </c>
      <c r="B858" s="3" t="str">
        <f ca="1">IF(OR(INDEX($K$2:$K$1001,MATCH(ROWS($J$2:J858),$J$2:$J$1001,0),1)&gt;=100000,INDEX($Q$1005:$U$1005,1,MATCH(COLUMNS($Q$1006:Q1006),$Q$1006:$U$1006,0))&gt;=100000), " ",IF(INDEX($Q$2:$U$1001,MATCH(ROWS($J$2:J858),$J$2:$J$1001,0),MATCH(COLUMNS($Q$1006:Q1006),$Q$1006:$U$1006,0)), HYPERLINK("#",""), HYPERLINK(CONCATENATE("#Metadata!", ADDRESS(INDEX($L$2:$L$1001,MATCH(ROWS($J$2:J858),$J$2:$J$1001,0),0), INDEX($Q$1004:$U$1004,1,MATCH(COLUMNS($Q$1006:Q1006),$Q$1006:$U$1006,0)))),"Fix")))</f>
        <v xml:space="preserve"> </v>
      </c>
      <c r="C858" s="3" t="str">
        <f ca="1">IF(OR(INDEX($K$2:$K$1001,MATCH(ROWS($J$2:J858),$J$2:$J$1001,0),1)&gt;=100000,INDEX($Q$1005:$U$1005,1,MATCH(COLUMNS($Q$1006:R1006),$Q$1006:$U$1006,0))&gt;=100000), " ",IF(INDEX($Q$2:$U$1001,MATCH(ROWS($J$2:J858),$J$2:$J$1001,0),MATCH(COLUMNS($Q$1006:R1006),$Q$1006:$U$1006,0)), HYPERLINK("#",""), HYPERLINK(CONCATENATE("#Metadata!", ADDRESS(INDEX($L$2:$L$1001,MATCH(ROWS($J$2:J858),$J$2:$J$1001,0),0), INDEX($Q$1004:$U$1004,1,MATCH(COLUMNS($Q$1006:R1006),$Q$1006:$U$1006,0)))),"Fix")))</f>
        <v xml:space="preserve"> </v>
      </c>
      <c r="D858" s="3" t="str">
        <f ca="1">IF(OR(INDEX($K$2:$K$1001,MATCH(ROWS($J$2:J858),$J$2:$J$1001,0),1)&gt;=100000,INDEX($Q$1005:$U$1005,1,MATCH(COLUMNS($Q$1006:S1006),$Q$1006:$U$1006,0))&gt;=100000), " ",IF(INDEX($Q$2:$U$1001,MATCH(ROWS($J$2:J858),$J$2:$J$1001,0),MATCH(COLUMNS($Q$1006:S1006),$Q$1006:$U$1006,0)), HYPERLINK("#",""), HYPERLINK(CONCATENATE("#Metadata!", ADDRESS(INDEX($L$2:$L$1001,MATCH(ROWS($J$2:J858),$J$2:$J$1001,0),0), INDEX($Q$1004:$U$1004,1,MATCH(COLUMNS($Q$1006:S1006),$Q$1006:$U$1006,0)))),"Fix")))</f>
        <v xml:space="preserve"> </v>
      </c>
      <c r="E858" s="3" t="str">
        <f ca="1">IF(OR(INDEX($K$2:$K$1001,MATCH(ROWS($J$2:J858),$J$2:$J$1001,0),1)&gt;=100000,INDEX($Q$1005:$U$1005,1,MATCH(COLUMNS($Q$1006:T1006),$Q$1006:$U$1006,0))&gt;=100000), " ",IF(INDEX($Q$2:$U$1001,MATCH(ROWS($J$2:J858),$J$2:$J$1001,0),MATCH(COLUMNS($Q$1006:T1006),$Q$1006:$U$1006,0)), HYPERLINK("#",""), HYPERLINK(CONCATENATE("#Metadata!", ADDRESS(INDEX($L$2:$L$1001,MATCH(ROWS($J$2:J858),$J$2:$J$1001,0),0), INDEX($Q$1004:$U$1004,1,MATCH(COLUMNS($Q$1006:T1006),$Q$1006:$U$1006,0)))),"Fix")))</f>
        <v xml:space="preserve"> </v>
      </c>
      <c r="F858" s="3" t="str">
        <f ca="1">IF(OR(INDEX($K$2:$K$1001,MATCH(ROWS($J$2:J858),$J$2:$J$1001,0),1)&gt;=100000,INDEX($Q$1005:$U$1005,1,MATCH(COLUMNS($Q$1006:U1006),$Q$1006:$U$1006,0))&gt;=100000), " ",IF(INDEX($Q$2:$U$1001,MATCH(ROWS($J$2:J858),$J$2:$J$1001,0),MATCH(COLUMNS($Q$1006:U1006),$Q$1006:$U$1006,0)), HYPERLINK("#",""), HYPERLINK(CONCATENATE("#Metadata!", ADDRESS(INDEX($L$2:$L$1001,MATCH(ROWS($J$2:J858),$J$2:$J$1001,0),0), INDEX($Q$1004:$U$1004,1,MATCH(COLUMNS($Q$1006:U1006),$Q$1006:$U$1006,0)))),"Fix")))</f>
        <v xml:space="preserve"> </v>
      </c>
      <c r="J858">
        <f ca="1"/>
        <v>857</v>
      </c>
      <c r="K858">
        <v>100858</v>
      </c>
      <c r="L858">
        <v>858</v>
      </c>
      <c r="M858" t="b">
        <f t="shared" si="13"/>
        <v>1</v>
      </c>
      <c r="N858" t="b">
        <f>COUNTBLANK(Metadata!B858:F858)=COLUMNS(Metadata!B858:F858)</f>
        <v>1</v>
      </c>
      <c r="O858" t="str">
        <v/>
      </c>
      <c r="Q858" t="b">
        <f ca="1"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R858" t="b">
        <f>IF(Metadata!C858="",FALSE,TRUE)</f>
        <v>0</v>
      </c>
      <c r="S858" t="b">
        <f>OR(AND(IF(Metadata!D858="",FALSE,TRUE),EXACT(Metadata!D858,"missing: not collected")),AND(IF(Metadata!D858="",FALSE,TRUE),OR(EXACT(Metadata!D858,"t"),EXACT(Metadata!D858,"f"))))</f>
        <v>0</v>
      </c>
      <c r="T858" t="b">
        <f>AND(IF(Metadata!E858="",FALSE,TRUE),OR(EXACT(Metadata!E858,"a"),EXACT(Metadata!E858,"b")))</f>
        <v>0</v>
      </c>
      <c r="U858" t="b">
        <f>OR(AND(IF(Metadata!F858="",FALSE,TRUE),OR(EXACT(Metadata!F858,"missing: not collected"),EXACT(Metadata!F858,"missing: not provided"))),AND(IF(Metadata!F858="",FALSE,TRUE),OR(EXACT(Metadata!F858,"lo"),EXACT(Metadata!F858,"med"),EXACT(Metadata!F858,"hi"))))</f>
        <v>0</v>
      </c>
    </row>
    <row r="859" spans="1:21" x14ac:dyDescent="0.2">
      <c r="A859" s="4" t="str">
        <f ca="1">IF(B859=" "," ",HYPERLINK(CONCATENATE("#metadata!",ADDRESS(INDEX($L$2:$L$1001,MATCH(ROWS($J$2:J859),$J$2:$J$1001,0),0),1)),INDEX($O$2:$O$1001,MATCH(ROWS($J$2:J859),$J$2:$J$1001,0),0)))</f>
        <v xml:space="preserve"> </v>
      </c>
      <c r="B859" s="3" t="str">
        <f ca="1">IF(OR(INDEX($K$2:$K$1001,MATCH(ROWS($J$2:J859),$J$2:$J$1001,0),1)&gt;=100000,INDEX($Q$1005:$U$1005,1,MATCH(COLUMNS($Q$1006:Q1006),$Q$1006:$U$1006,0))&gt;=100000), " ",IF(INDEX($Q$2:$U$1001,MATCH(ROWS($J$2:J859),$J$2:$J$1001,0),MATCH(COLUMNS($Q$1006:Q1006),$Q$1006:$U$1006,0)), HYPERLINK("#",""), HYPERLINK(CONCATENATE("#Metadata!", ADDRESS(INDEX($L$2:$L$1001,MATCH(ROWS($J$2:J859),$J$2:$J$1001,0),0), INDEX($Q$1004:$U$1004,1,MATCH(COLUMNS($Q$1006:Q1006),$Q$1006:$U$1006,0)))),"Fix")))</f>
        <v xml:space="preserve"> </v>
      </c>
      <c r="C859" s="3" t="str">
        <f ca="1">IF(OR(INDEX($K$2:$K$1001,MATCH(ROWS($J$2:J859),$J$2:$J$1001,0),1)&gt;=100000,INDEX($Q$1005:$U$1005,1,MATCH(COLUMNS($Q$1006:R1006),$Q$1006:$U$1006,0))&gt;=100000), " ",IF(INDEX($Q$2:$U$1001,MATCH(ROWS($J$2:J859),$J$2:$J$1001,0),MATCH(COLUMNS($Q$1006:R1006),$Q$1006:$U$1006,0)), HYPERLINK("#",""), HYPERLINK(CONCATENATE("#Metadata!", ADDRESS(INDEX($L$2:$L$1001,MATCH(ROWS($J$2:J859),$J$2:$J$1001,0),0), INDEX($Q$1004:$U$1004,1,MATCH(COLUMNS($Q$1006:R1006),$Q$1006:$U$1006,0)))),"Fix")))</f>
        <v xml:space="preserve"> </v>
      </c>
      <c r="D859" s="3" t="str">
        <f ca="1">IF(OR(INDEX($K$2:$K$1001,MATCH(ROWS($J$2:J859),$J$2:$J$1001,0),1)&gt;=100000,INDEX($Q$1005:$U$1005,1,MATCH(COLUMNS($Q$1006:S1006),$Q$1006:$U$1006,0))&gt;=100000), " ",IF(INDEX($Q$2:$U$1001,MATCH(ROWS($J$2:J859),$J$2:$J$1001,0),MATCH(COLUMNS($Q$1006:S1006),$Q$1006:$U$1006,0)), HYPERLINK("#",""), HYPERLINK(CONCATENATE("#Metadata!", ADDRESS(INDEX($L$2:$L$1001,MATCH(ROWS($J$2:J859),$J$2:$J$1001,0),0), INDEX($Q$1004:$U$1004,1,MATCH(COLUMNS($Q$1006:S1006),$Q$1006:$U$1006,0)))),"Fix")))</f>
        <v xml:space="preserve"> </v>
      </c>
      <c r="E859" s="3" t="str">
        <f ca="1">IF(OR(INDEX($K$2:$K$1001,MATCH(ROWS($J$2:J859),$J$2:$J$1001,0),1)&gt;=100000,INDEX($Q$1005:$U$1005,1,MATCH(COLUMNS($Q$1006:T1006),$Q$1006:$U$1006,0))&gt;=100000), " ",IF(INDEX($Q$2:$U$1001,MATCH(ROWS($J$2:J859),$J$2:$J$1001,0),MATCH(COLUMNS($Q$1006:T1006),$Q$1006:$U$1006,0)), HYPERLINK("#",""), HYPERLINK(CONCATENATE("#Metadata!", ADDRESS(INDEX($L$2:$L$1001,MATCH(ROWS($J$2:J859),$J$2:$J$1001,0),0), INDEX($Q$1004:$U$1004,1,MATCH(COLUMNS($Q$1006:T1006),$Q$1006:$U$1006,0)))),"Fix")))</f>
        <v xml:space="preserve"> </v>
      </c>
      <c r="F859" s="3" t="str">
        <f ca="1">IF(OR(INDEX($K$2:$K$1001,MATCH(ROWS($J$2:J859),$J$2:$J$1001,0),1)&gt;=100000,INDEX($Q$1005:$U$1005,1,MATCH(COLUMNS($Q$1006:U1006),$Q$1006:$U$1006,0))&gt;=100000), " ",IF(INDEX($Q$2:$U$1001,MATCH(ROWS($J$2:J859),$J$2:$J$1001,0),MATCH(COLUMNS($Q$1006:U1006),$Q$1006:$U$1006,0)), HYPERLINK("#",""), HYPERLINK(CONCATENATE("#Metadata!", ADDRESS(INDEX($L$2:$L$1001,MATCH(ROWS($J$2:J859),$J$2:$J$1001,0),0), INDEX($Q$1004:$U$1004,1,MATCH(COLUMNS($Q$1006:U1006),$Q$1006:$U$1006,0)))),"Fix")))</f>
        <v xml:space="preserve"> </v>
      </c>
      <c r="J859">
        <f ca="1"/>
        <v>858</v>
      </c>
      <c r="K859">
        <v>100859</v>
      </c>
      <c r="L859">
        <v>859</v>
      </c>
      <c r="M859" t="b">
        <f t="shared" si="13"/>
        <v>1</v>
      </c>
      <c r="N859" t="b">
        <f>COUNTBLANK(Metadata!B859:F859)=COLUMNS(Metadata!B859:F859)</f>
        <v>1</v>
      </c>
      <c r="O859" t="str">
        <v/>
      </c>
      <c r="Q859" t="b">
        <f ca="1"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R859" t="b">
        <f>IF(Metadata!C859="",FALSE,TRUE)</f>
        <v>0</v>
      </c>
      <c r="S859" t="b">
        <f>OR(AND(IF(Metadata!D859="",FALSE,TRUE),EXACT(Metadata!D859,"missing: not collected")),AND(IF(Metadata!D859="",FALSE,TRUE),OR(EXACT(Metadata!D859,"t"),EXACT(Metadata!D859,"f"))))</f>
        <v>0</v>
      </c>
      <c r="T859" t="b">
        <f>AND(IF(Metadata!E859="",FALSE,TRUE),OR(EXACT(Metadata!E859,"a"),EXACT(Metadata!E859,"b")))</f>
        <v>0</v>
      </c>
      <c r="U859" t="b">
        <f>OR(AND(IF(Metadata!F859="",FALSE,TRUE),OR(EXACT(Metadata!F859,"missing: not collected"),EXACT(Metadata!F859,"missing: not provided"))),AND(IF(Metadata!F859="",FALSE,TRUE),OR(EXACT(Metadata!F859,"lo"),EXACT(Metadata!F859,"med"),EXACT(Metadata!F859,"hi"))))</f>
        <v>0</v>
      </c>
    </row>
    <row r="860" spans="1:21" x14ac:dyDescent="0.2">
      <c r="A860" s="4" t="str">
        <f ca="1">IF(B860=" "," ",HYPERLINK(CONCATENATE("#metadata!",ADDRESS(INDEX($L$2:$L$1001,MATCH(ROWS($J$2:J860),$J$2:$J$1001,0),0),1)),INDEX($O$2:$O$1001,MATCH(ROWS($J$2:J860),$J$2:$J$1001,0),0)))</f>
        <v xml:space="preserve"> </v>
      </c>
      <c r="B860" s="3" t="str">
        <f ca="1">IF(OR(INDEX($K$2:$K$1001,MATCH(ROWS($J$2:J860),$J$2:$J$1001,0),1)&gt;=100000,INDEX($Q$1005:$U$1005,1,MATCH(COLUMNS($Q$1006:Q1006),$Q$1006:$U$1006,0))&gt;=100000), " ",IF(INDEX($Q$2:$U$1001,MATCH(ROWS($J$2:J860),$J$2:$J$1001,0),MATCH(COLUMNS($Q$1006:Q1006),$Q$1006:$U$1006,0)), HYPERLINK("#",""), HYPERLINK(CONCATENATE("#Metadata!", ADDRESS(INDEX($L$2:$L$1001,MATCH(ROWS($J$2:J860),$J$2:$J$1001,0),0), INDEX($Q$1004:$U$1004,1,MATCH(COLUMNS($Q$1006:Q1006),$Q$1006:$U$1006,0)))),"Fix")))</f>
        <v xml:space="preserve"> </v>
      </c>
      <c r="C860" s="3" t="str">
        <f ca="1">IF(OR(INDEX($K$2:$K$1001,MATCH(ROWS($J$2:J860),$J$2:$J$1001,0),1)&gt;=100000,INDEX($Q$1005:$U$1005,1,MATCH(COLUMNS($Q$1006:R1006),$Q$1006:$U$1006,0))&gt;=100000), " ",IF(INDEX($Q$2:$U$1001,MATCH(ROWS($J$2:J860),$J$2:$J$1001,0),MATCH(COLUMNS($Q$1006:R1006),$Q$1006:$U$1006,0)), HYPERLINK("#",""), HYPERLINK(CONCATENATE("#Metadata!", ADDRESS(INDEX($L$2:$L$1001,MATCH(ROWS($J$2:J860),$J$2:$J$1001,0),0), INDEX($Q$1004:$U$1004,1,MATCH(COLUMNS($Q$1006:R1006),$Q$1006:$U$1006,0)))),"Fix")))</f>
        <v xml:space="preserve"> </v>
      </c>
      <c r="D860" s="3" t="str">
        <f ca="1">IF(OR(INDEX($K$2:$K$1001,MATCH(ROWS($J$2:J860),$J$2:$J$1001,0),1)&gt;=100000,INDEX($Q$1005:$U$1005,1,MATCH(COLUMNS($Q$1006:S1006),$Q$1006:$U$1006,0))&gt;=100000), " ",IF(INDEX($Q$2:$U$1001,MATCH(ROWS($J$2:J860),$J$2:$J$1001,0),MATCH(COLUMNS($Q$1006:S1006),$Q$1006:$U$1006,0)), HYPERLINK("#",""), HYPERLINK(CONCATENATE("#Metadata!", ADDRESS(INDEX($L$2:$L$1001,MATCH(ROWS($J$2:J860),$J$2:$J$1001,0),0), INDEX($Q$1004:$U$1004,1,MATCH(COLUMNS($Q$1006:S1006),$Q$1006:$U$1006,0)))),"Fix")))</f>
        <v xml:space="preserve"> </v>
      </c>
      <c r="E860" s="3" t="str">
        <f ca="1">IF(OR(INDEX($K$2:$K$1001,MATCH(ROWS($J$2:J860),$J$2:$J$1001,0),1)&gt;=100000,INDEX($Q$1005:$U$1005,1,MATCH(COLUMNS($Q$1006:T1006),$Q$1006:$U$1006,0))&gt;=100000), " ",IF(INDEX($Q$2:$U$1001,MATCH(ROWS($J$2:J860),$J$2:$J$1001,0),MATCH(COLUMNS($Q$1006:T1006),$Q$1006:$U$1006,0)), HYPERLINK("#",""), HYPERLINK(CONCATENATE("#Metadata!", ADDRESS(INDEX($L$2:$L$1001,MATCH(ROWS($J$2:J860),$J$2:$J$1001,0),0), INDEX($Q$1004:$U$1004,1,MATCH(COLUMNS($Q$1006:T1006),$Q$1006:$U$1006,0)))),"Fix")))</f>
        <v xml:space="preserve"> </v>
      </c>
      <c r="F860" s="3" t="str">
        <f ca="1">IF(OR(INDEX($K$2:$K$1001,MATCH(ROWS($J$2:J860),$J$2:$J$1001,0),1)&gt;=100000,INDEX($Q$1005:$U$1005,1,MATCH(COLUMNS($Q$1006:U1006),$Q$1006:$U$1006,0))&gt;=100000), " ",IF(INDEX($Q$2:$U$1001,MATCH(ROWS($J$2:J860),$J$2:$J$1001,0),MATCH(COLUMNS($Q$1006:U1006),$Q$1006:$U$1006,0)), HYPERLINK("#",""), HYPERLINK(CONCATENATE("#Metadata!", ADDRESS(INDEX($L$2:$L$1001,MATCH(ROWS($J$2:J860),$J$2:$J$1001,0),0), INDEX($Q$1004:$U$1004,1,MATCH(COLUMNS($Q$1006:U1006),$Q$1006:$U$1006,0)))),"Fix")))</f>
        <v xml:space="preserve"> </v>
      </c>
      <c r="J860">
        <f ca="1"/>
        <v>859</v>
      </c>
      <c r="K860">
        <v>100860</v>
      </c>
      <c r="L860">
        <v>860</v>
      </c>
      <c r="M860" t="b">
        <f t="shared" si="13"/>
        <v>1</v>
      </c>
      <c r="N860" t="b">
        <f>COUNTBLANK(Metadata!B860:F860)=COLUMNS(Metadata!B860:F860)</f>
        <v>1</v>
      </c>
      <c r="O860" t="str">
        <v/>
      </c>
      <c r="Q860" t="b">
        <f ca="1"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R860" t="b">
        <f>IF(Metadata!C860="",FALSE,TRUE)</f>
        <v>0</v>
      </c>
      <c r="S860" t="b">
        <f>OR(AND(IF(Metadata!D860="",FALSE,TRUE),EXACT(Metadata!D860,"missing: not collected")),AND(IF(Metadata!D860="",FALSE,TRUE),OR(EXACT(Metadata!D860,"t"),EXACT(Metadata!D860,"f"))))</f>
        <v>0</v>
      </c>
      <c r="T860" t="b">
        <f>AND(IF(Metadata!E860="",FALSE,TRUE),OR(EXACT(Metadata!E860,"a"),EXACT(Metadata!E860,"b")))</f>
        <v>0</v>
      </c>
      <c r="U860" t="b">
        <f>OR(AND(IF(Metadata!F860="",FALSE,TRUE),OR(EXACT(Metadata!F860,"missing: not collected"),EXACT(Metadata!F860,"missing: not provided"))),AND(IF(Metadata!F860="",FALSE,TRUE),OR(EXACT(Metadata!F860,"lo"),EXACT(Metadata!F860,"med"),EXACT(Metadata!F860,"hi"))))</f>
        <v>0</v>
      </c>
    </row>
    <row r="861" spans="1:21" x14ac:dyDescent="0.2">
      <c r="A861" s="4" t="str">
        <f ca="1">IF(B861=" "," ",HYPERLINK(CONCATENATE("#metadata!",ADDRESS(INDEX($L$2:$L$1001,MATCH(ROWS($J$2:J861),$J$2:$J$1001,0),0),1)),INDEX($O$2:$O$1001,MATCH(ROWS($J$2:J861),$J$2:$J$1001,0),0)))</f>
        <v xml:space="preserve"> </v>
      </c>
      <c r="B861" s="3" t="str">
        <f ca="1">IF(OR(INDEX($K$2:$K$1001,MATCH(ROWS($J$2:J861),$J$2:$J$1001,0),1)&gt;=100000,INDEX($Q$1005:$U$1005,1,MATCH(COLUMNS($Q$1006:Q1006),$Q$1006:$U$1006,0))&gt;=100000), " ",IF(INDEX($Q$2:$U$1001,MATCH(ROWS($J$2:J861),$J$2:$J$1001,0),MATCH(COLUMNS($Q$1006:Q1006),$Q$1006:$U$1006,0)), HYPERLINK("#",""), HYPERLINK(CONCATENATE("#Metadata!", ADDRESS(INDEX($L$2:$L$1001,MATCH(ROWS($J$2:J861),$J$2:$J$1001,0),0), INDEX($Q$1004:$U$1004,1,MATCH(COLUMNS($Q$1006:Q1006),$Q$1006:$U$1006,0)))),"Fix")))</f>
        <v xml:space="preserve"> </v>
      </c>
      <c r="C861" s="3" t="str">
        <f ca="1">IF(OR(INDEX($K$2:$K$1001,MATCH(ROWS($J$2:J861),$J$2:$J$1001,0),1)&gt;=100000,INDEX($Q$1005:$U$1005,1,MATCH(COLUMNS($Q$1006:R1006),$Q$1006:$U$1006,0))&gt;=100000), " ",IF(INDEX($Q$2:$U$1001,MATCH(ROWS($J$2:J861),$J$2:$J$1001,0),MATCH(COLUMNS($Q$1006:R1006),$Q$1006:$U$1006,0)), HYPERLINK("#",""), HYPERLINK(CONCATENATE("#Metadata!", ADDRESS(INDEX($L$2:$L$1001,MATCH(ROWS($J$2:J861),$J$2:$J$1001,0),0), INDEX($Q$1004:$U$1004,1,MATCH(COLUMNS($Q$1006:R1006),$Q$1006:$U$1006,0)))),"Fix")))</f>
        <v xml:space="preserve"> </v>
      </c>
      <c r="D861" s="3" t="str">
        <f ca="1">IF(OR(INDEX($K$2:$K$1001,MATCH(ROWS($J$2:J861),$J$2:$J$1001,0),1)&gt;=100000,INDEX($Q$1005:$U$1005,1,MATCH(COLUMNS($Q$1006:S1006),$Q$1006:$U$1006,0))&gt;=100000), " ",IF(INDEX($Q$2:$U$1001,MATCH(ROWS($J$2:J861),$J$2:$J$1001,0),MATCH(COLUMNS($Q$1006:S1006),$Q$1006:$U$1006,0)), HYPERLINK("#",""), HYPERLINK(CONCATENATE("#Metadata!", ADDRESS(INDEX($L$2:$L$1001,MATCH(ROWS($J$2:J861),$J$2:$J$1001,0),0), INDEX($Q$1004:$U$1004,1,MATCH(COLUMNS($Q$1006:S1006),$Q$1006:$U$1006,0)))),"Fix")))</f>
        <v xml:space="preserve"> </v>
      </c>
      <c r="E861" s="3" t="str">
        <f ca="1">IF(OR(INDEX($K$2:$K$1001,MATCH(ROWS($J$2:J861),$J$2:$J$1001,0),1)&gt;=100000,INDEX($Q$1005:$U$1005,1,MATCH(COLUMNS($Q$1006:T1006),$Q$1006:$U$1006,0))&gt;=100000), " ",IF(INDEX($Q$2:$U$1001,MATCH(ROWS($J$2:J861),$J$2:$J$1001,0),MATCH(COLUMNS($Q$1006:T1006),$Q$1006:$U$1006,0)), HYPERLINK("#",""), HYPERLINK(CONCATENATE("#Metadata!", ADDRESS(INDEX($L$2:$L$1001,MATCH(ROWS($J$2:J861),$J$2:$J$1001,0),0), INDEX($Q$1004:$U$1004,1,MATCH(COLUMNS($Q$1006:T1006),$Q$1006:$U$1006,0)))),"Fix")))</f>
        <v xml:space="preserve"> </v>
      </c>
      <c r="F861" s="3" t="str">
        <f ca="1">IF(OR(INDEX($K$2:$K$1001,MATCH(ROWS($J$2:J861),$J$2:$J$1001,0),1)&gt;=100000,INDEX($Q$1005:$U$1005,1,MATCH(COLUMNS($Q$1006:U1006),$Q$1006:$U$1006,0))&gt;=100000), " ",IF(INDEX($Q$2:$U$1001,MATCH(ROWS($J$2:J861),$J$2:$J$1001,0),MATCH(COLUMNS($Q$1006:U1006),$Q$1006:$U$1006,0)), HYPERLINK("#",""), HYPERLINK(CONCATENATE("#Metadata!", ADDRESS(INDEX($L$2:$L$1001,MATCH(ROWS($J$2:J861),$J$2:$J$1001,0),0), INDEX($Q$1004:$U$1004,1,MATCH(COLUMNS($Q$1006:U1006),$Q$1006:$U$1006,0)))),"Fix")))</f>
        <v xml:space="preserve"> </v>
      </c>
      <c r="J861">
        <f ca="1"/>
        <v>860</v>
      </c>
      <c r="K861">
        <v>100861</v>
      </c>
      <c r="L861">
        <v>861</v>
      </c>
      <c r="M861" t="b">
        <f t="shared" si="13"/>
        <v>1</v>
      </c>
      <c r="N861" t="b">
        <f>COUNTBLANK(Metadata!B861:F861)=COLUMNS(Metadata!B861:F861)</f>
        <v>1</v>
      </c>
      <c r="O861" t="str">
        <v/>
      </c>
      <c r="Q861" t="b">
        <f ca="1"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R861" t="b">
        <f>IF(Metadata!C861="",FALSE,TRUE)</f>
        <v>0</v>
      </c>
      <c r="S861" t="b">
        <f>OR(AND(IF(Metadata!D861="",FALSE,TRUE),EXACT(Metadata!D861,"missing: not collected")),AND(IF(Metadata!D861="",FALSE,TRUE),OR(EXACT(Metadata!D861,"t"),EXACT(Metadata!D861,"f"))))</f>
        <v>0</v>
      </c>
      <c r="T861" t="b">
        <f>AND(IF(Metadata!E861="",FALSE,TRUE),OR(EXACT(Metadata!E861,"a"),EXACT(Metadata!E861,"b")))</f>
        <v>0</v>
      </c>
      <c r="U861" t="b">
        <f>OR(AND(IF(Metadata!F861="",FALSE,TRUE),OR(EXACT(Metadata!F861,"missing: not collected"),EXACT(Metadata!F861,"missing: not provided"))),AND(IF(Metadata!F861="",FALSE,TRUE),OR(EXACT(Metadata!F861,"lo"),EXACT(Metadata!F861,"med"),EXACT(Metadata!F861,"hi"))))</f>
        <v>0</v>
      </c>
    </row>
    <row r="862" spans="1:21" x14ac:dyDescent="0.2">
      <c r="A862" s="4" t="str">
        <f ca="1">IF(B862=" "," ",HYPERLINK(CONCATENATE("#metadata!",ADDRESS(INDEX($L$2:$L$1001,MATCH(ROWS($J$2:J862),$J$2:$J$1001,0),0),1)),INDEX($O$2:$O$1001,MATCH(ROWS($J$2:J862),$J$2:$J$1001,0),0)))</f>
        <v xml:space="preserve"> </v>
      </c>
      <c r="B862" s="3" t="str">
        <f ca="1">IF(OR(INDEX($K$2:$K$1001,MATCH(ROWS($J$2:J862),$J$2:$J$1001,0),1)&gt;=100000,INDEX($Q$1005:$U$1005,1,MATCH(COLUMNS($Q$1006:Q1006),$Q$1006:$U$1006,0))&gt;=100000), " ",IF(INDEX($Q$2:$U$1001,MATCH(ROWS($J$2:J862),$J$2:$J$1001,0),MATCH(COLUMNS($Q$1006:Q1006),$Q$1006:$U$1006,0)), HYPERLINK("#",""), HYPERLINK(CONCATENATE("#Metadata!", ADDRESS(INDEX($L$2:$L$1001,MATCH(ROWS($J$2:J862),$J$2:$J$1001,0),0), INDEX($Q$1004:$U$1004,1,MATCH(COLUMNS($Q$1006:Q1006),$Q$1006:$U$1006,0)))),"Fix")))</f>
        <v xml:space="preserve"> </v>
      </c>
      <c r="C862" s="3" t="str">
        <f ca="1">IF(OR(INDEX($K$2:$K$1001,MATCH(ROWS($J$2:J862),$J$2:$J$1001,0),1)&gt;=100000,INDEX($Q$1005:$U$1005,1,MATCH(COLUMNS($Q$1006:R1006),$Q$1006:$U$1006,0))&gt;=100000), " ",IF(INDEX($Q$2:$U$1001,MATCH(ROWS($J$2:J862),$J$2:$J$1001,0),MATCH(COLUMNS($Q$1006:R1006),$Q$1006:$U$1006,0)), HYPERLINK("#",""), HYPERLINK(CONCATENATE("#Metadata!", ADDRESS(INDEX($L$2:$L$1001,MATCH(ROWS($J$2:J862),$J$2:$J$1001,0),0), INDEX($Q$1004:$U$1004,1,MATCH(COLUMNS($Q$1006:R1006),$Q$1006:$U$1006,0)))),"Fix")))</f>
        <v xml:space="preserve"> </v>
      </c>
      <c r="D862" s="3" t="str">
        <f ca="1">IF(OR(INDEX($K$2:$K$1001,MATCH(ROWS($J$2:J862),$J$2:$J$1001,0),1)&gt;=100000,INDEX($Q$1005:$U$1005,1,MATCH(COLUMNS($Q$1006:S1006),$Q$1006:$U$1006,0))&gt;=100000), " ",IF(INDEX($Q$2:$U$1001,MATCH(ROWS($J$2:J862),$J$2:$J$1001,0),MATCH(COLUMNS($Q$1006:S1006),$Q$1006:$U$1006,0)), HYPERLINK("#",""), HYPERLINK(CONCATENATE("#Metadata!", ADDRESS(INDEX($L$2:$L$1001,MATCH(ROWS($J$2:J862),$J$2:$J$1001,0),0), INDEX($Q$1004:$U$1004,1,MATCH(COLUMNS($Q$1006:S1006),$Q$1006:$U$1006,0)))),"Fix")))</f>
        <v xml:space="preserve"> </v>
      </c>
      <c r="E862" s="3" t="str">
        <f ca="1">IF(OR(INDEX($K$2:$K$1001,MATCH(ROWS($J$2:J862),$J$2:$J$1001,0),1)&gt;=100000,INDEX($Q$1005:$U$1005,1,MATCH(COLUMNS($Q$1006:T1006),$Q$1006:$U$1006,0))&gt;=100000), " ",IF(INDEX($Q$2:$U$1001,MATCH(ROWS($J$2:J862),$J$2:$J$1001,0),MATCH(COLUMNS($Q$1006:T1006),$Q$1006:$U$1006,0)), HYPERLINK("#",""), HYPERLINK(CONCATENATE("#Metadata!", ADDRESS(INDEX($L$2:$L$1001,MATCH(ROWS($J$2:J862),$J$2:$J$1001,0),0), INDEX($Q$1004:$U$1004,1,MATCH(COLUMNS($Q$1006:T1006),$Q$1006:$U$1006,0)))),"Fix")))</f>
        <v xml:space="preserve"> </v>
      </c>
      <c r="F862" s="3" t="str">
        <f ca="1">IF(OR(INDEX($K$2:$K$1001,MATCH(ROWS($J$2:J862),$J$2:$J$1001,0),1)&gt;=100000,INDEX($Q$1005:$U$1005,1,MATCH(COLUMNS($Q$1006:U1006),$Q$1006:$U$1006,0))&gt;=100000), " ",IF(INDEX($Q$2:$U$1001,MATCH(ROWS($J$2:J862),$J$2:$J$1001,0),MATCH(COLUMNS($Q$1006:U1006),$Q$1006:$U$1006,0)), HYPERLINK("#",""), HYPERLINK(CONCATENATE("#Metadata!", ADDRESS(INDEX($L$2:$L$1001,MATCH(ROWS($J$2:J862),$J$2:$J$1001,0),0), INDEX($Q$1004:$U$1004,1,MATCH(COLUMNS($Q$1006:U1006),$Q$1006:$U$1006,0)))),"Fix")))</f>
        <v xml:space="preserve"> </v>
      </c>
      <c r="J862">
        <f ca="1"/>
        <v>861</v>
      </c>
      <c r="K862">
        <v>100862</v>
      </c>
      <c r="L862">
        <v>862</v>
      </c>
      <c r="M862" t="b">
        <f t="shared" si="13"/>
        <v>1</v>
      </c>
      <c r="N862" t="b">
        <f>COUNTBLANK(Metadata!B862:F862)=COLUMNS(Metadata!B862:F862)</f>
        <v>1</v>
      </c>
      <c r="O862" t="str">
        <v/>
      </c>
      <c r="Q862" t="b">
        <f ca="1"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R862" t="b">
        <f>IF(Metadata!C862="",FALSE,TRUE)</f>
        <v>0</v>
      </c>
      <c r="S862" t="b">
        <f>OR(AND(IF(Metadata!D862="",FALSE,TRUE),EXACT(Metadata!D862,"missing: not collected")),AND(IF(Metadata!D862="",FALSE,TRUE),OR(EXACT(Metadata!D862,"t"),EXACT(Metadata!D862,"f"))))</f>
        <v>0</v>
      </c>
      <c r="T862" t="b">
        <f>AND(IF(Metadata!E862="",FALSE,TRUE),OR(EXACT(Metadata!E862,"a"),EXACT(Metadata!E862,"b")))</f>
        <v>0</v>
      </c>
      <c r="U862" t="b">
        <f>OR(AND(IF(Metadata!F862="",FALSE,TRUE),OR(EXACT(Metadata!F862,"missing: not collected"),EXACT(Metadata!F862,"missing: not provided"))),AND(IF(Metadata!F862="",FALSE,TRUE),OR(EXACT(Metadata!F862,"lo"),EXACT(Metadata!F862,"med"),EXACT(Metadata!F862,"hi"))))</f>
        <v>0</v>
      </c>
    </row>
    <row r="863" spans="1:21" x14ac:dyDescent="0.2">
      <c r="A863" s="4" t="str">
        <f ca="1">IF(B863=" "," ",HYPERLINK(CONCATENATE("#metadata!",ADDRESS(INDEX($L$2:$L$1001,MATCH(ROWS($J$2:J863),$J$2:$J$1001,0),0),1)),INDEX($O$2:$O$1001,MATCH(ROWS($J$2:J863),$J$2:$J$1001,0),0)))</f>
        <v xml:space="preserve"> </v>
      </c>
      <c r="B863" s="3" t="str">
        <f ca="1">IF(OR(INDEX($K$2:$K$1001,MATCH(ROWS($J$2:J863),$J$2:$J$1001,0),1)&gt;=100000,INDEX($Q$1005:$U$1005,1,MATCH(COLUMNS($Q$1006:Q1006),$Q$1006:$U$1006,0))&gt;=100000), " ",IF(INDEX($Q$2:$U$1001,MATCH(ROWS($J$2:J863),$J$2:$J$1001,0),MATCH(COLUMNS($Q$1006:Q1006),$Q$1006:$U$1006,0)), HYPERLINK("#",""), HYPERLINK(CONCATENATE("#Metadata!", ADDRESS(INDEX($L$2:$L$1001,MATCH(ROWS($J$2:J863),$J$2:$J$1001,0),0), INDEX($Q$1004:$U$1004,1,MATCH(COLUMNS($Q$1006:Q1006),$Q$1006:$U$1006,0)))),"Fix")))</f>
        <v xml:space="preserve"> </v>
      </c>
      <c r="C863" s="3" t="str">
        <f ca="1">IF(OR(INDEX($K$2:$K$1001,MATCH(ROWS($J$2:J863),$J$2:$J$1001,0),1)&gt;=100000,INDEX($Q$1005:$U$1005,1,MATCH(COLUMNS($Q$1006:R1006),$Q$1006:$U$1006,0))&gt;=100000), " ",IF(INDEX($Q$2:$U$1001,MATCH(ROWS($J$2:J863),$J$2:$J$1001,0),MATCH(COLUMNS($Q$1006:R1006),$Q$1006:$U$1006,0)), HYPERLINK("#",""), HYPERLINK(CONCATENATE("#Metadata!", ADDRESS(INDEX($L$2:$L$1001,MATCH(ROWS($J$2:J863),$J$2:$J$1001,0),0), INDEX($Q$1004:$U$1004,1,MATCH(COLUMNS($Q$1006:R1006),$Q$1006:$U$1006,0)))),"Fix")))</f>
        <v xml:space="preserve"> </v>
      </c>
      <c r="D863" s="3" t="str">
        <f ca="1">IF(OR(INDEX($K$2:$K$1001,MATCH(ROWS($J$2:J863),$J$2:$J$1001,0),1)&gt;=100000,INDEX($Q$1005:$U$1005,1,MATCH(COLUMNS($Q$1006:S1006),$Q$1006:$U$1006,0))&gt;=100000), " ",IF(INDEX($Q$2:$U$1001,MATCH(ROWS($J$2:J863),$J$2:$J$1001,0),MATCH(COLUMNS($Q$1006:S1006),$Q$1006:$U$1006,0)), HYPERLINK("#",""), HYPERLINK(CONCATENATE("#Metadata!", ADDRESS(INDEX($L$2:$L$1001,MATCH(ROWS($J$2:J863),$J$2:$J$1001,0),0), INDEX($Q$1004:$U$1004,1,MATCH(COLUMNS($Q$1006:S1006),$Q$1006:$U$1006,0)))),"Fix")))</f>
        <v xml:space="preserve"> </v>
      </c>
      <c r="E863" s="3" t="str">
        <f ca="1">IF(OR(INDEX($K$2:$K$1001,MATCH(ROWS($J$2:J863),$J$2:$J$1001,0),1)&gt;=100000,INDEX($Q$1005:$U$1005,1,MATCH(COLUMNS($Q$1006:T1006),$Q$1006:$U$1006,0))&gt;=100000), " ",IF(INDEX($Q$2:$U$1001,MATCH(ROWS($J$2:J863),$J$2:$J$1001,0),MATCH(COLUMNS($Q$1006:T1006),$Q$1006:$U$1006,0)), HYPERLINK("#",""), HYPERLINK(CONCATENATE("#Metadata!", ADDRESS(INDEX($L$2:$L$1001,MATCH(ROWS($J$2:J863),$J$2:$J$1001,0),0), INDEX($Q$1004:$U$1004,1,MATCH(COLUMNS($Q$1006:T1006),$Q$1006:$U$1006,0)))),"Fix")))</f>
        <v xml:space="preserve"> </v>
      </c>
      <c r="F863" s="3" t="str">
        <f ca="1">IF(OR(INDEX($K$2:$K$1001,MATCH(ROWS($J$2:J863),$J$2:$J$1001,0),1)&gt;=100000,INDEX($Q$1005:$U$1005,1,MATCH(COLUMNS($Q$1006:U1006),$Q$1006:$U$1006,0))&gt;=100000), " ",IF(INDEX($Q$2:$U$1001,MATCH(ROWS($J$2:J863),$J$2:$J$1001,0),MATCH(COLUMNS($Q$1006:U1006),$Q$1006:$U$1006,0)), HYPERLINK("#",""), HYPERLINK(CONCATENATE("#Metadata!", ADDRESS(INDEX($L$2:$L$1001,MATCH(ROWS($J$2:J863),$J$2:$J$1001,0),0), INDEX($Q$1004:$U$1004,1,MATCH(COLUMNS($Q$1006:U1006),$Q$1006:$U$1006,0)))),"Fix")))</f>
        <v xml:space="preserve"> </v>
      </c>
      <c r="J863">
        <f ca="1"/>
        <v>862</v>
      </c>
      <c r="K863">
        <v>100863</v>
      </c>
      <c r="L863">
        <v>863</v>
      </c>
      <c r="M863" t="b">
        <f t="shared" si="13"/>
        <v>1</v>
      </c>
      <c r="N863" t="b">
        <f>COUNTBLANK(Metadata!B863:F863)=COLUMNS(Metadata!B863:F863)</f>
        <v>1</v>
      </c>
      <c r="O863" t="str">
        <v/>
      </c>
      <c r="Q863" t="b">
        <f ca="1"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R863" t="b">
        <f>IF(Metadata!C863="",FALSE,TRUE)</f>
        <v>0</v>
      </c>
      <c r="S863" t="b">
        <f>OR(AND(IF(Metadata!D863="",FALSE,TRUE),EXACT(Metadata!D863,"missing: not collected")),AND(IF(Metadata!D863="",FALSE,TRUE),OR(EXACT(Metadata!D863,"t"),EXACT(Metadata!D863,"f"))))</f>
        <v>0</v>
      </c>
      <c r="T863" t="b">
        <f>AND(IF(Metadata!E863="",FALSE,TRUE),OR(EXACT(Metadata!E863,"a"),EXACT(Metadata!E863,"b")))</f>
        <v>0</v>
      </c>
      <c r="U863" t="b">
        <f>OR(AND(IF(Metadata!F863="",FALSE,TRUE),OR(EXACT(Metadata!F863,"missing: not collected"),EXACT(Metadata!F863,"missing: not provided"))),AND(IF(Metadata!F863="",FALSE,TRUE),OR(EXACT(Metadata!F863,"lo"),EXACT(Metadata!F863,"med"),EXACT(Metadata!F863,"hi"))))</f>
        <v>0</v>
      </c>
    </row>
    <row r="864" spans="1:21" x14ac:dyDescent="0.2">
      <c r="A864" s="4" t="str">
        <f ca="1">IF(B864=" "," ",HYPERLINK(CONCATENATE("#metadata!",ADDRESS(INDEX($L$2:$L$1001,MATCH(ROWS($J$2:J864),$J$2:$J$1001,0),0),1)),INDEX($O$2:$O$1001,MATCH(ROWS($J$2:J864),$J$2:$J$1001,0),0)))</f>
        <v xml:space="preserve"> </v>
      </c>
      <c r="B864" s="3" t="str">
        <f ca="1">IF(OR(INDEX($K$2:$K$1001,MATCH(ROWS($J$2:J864),$J$2:$J$1001,0),1)&gt;=100000,INDEX($Q$1005:$U$1005,1,MATCH(COLUMNS($Q$1006:Q1006),$Q$1006:$U$1006,0))&gt;=100000), " ",IF(INDEX($Q$2:$U$1001,MATCH(ROWS($J$2:J864),$J$2:$J$1001,0),MATCH(COLUMNS($Q$1006:Q1006),$Q$1006:$U$1006,0)), HYPERLINK("#",""), HYPERLINK(CONCATENATE("#Metadata!", ADDRESS(INDEX($L$2:$L$1001,MATCH(ROWS($J$2:J864),$J$2:$J$1001,0),0), INDEX($Q$1004:$U$1004,1,MATCH(COLUMNS($Q$1006:Q1006),$Q$1006:$U$1006,0)))),"Fix")))</f>
        <v xml:space="preserve"> </v>
      </c>
      <c r="C864" s="3" t="str">
        <f ca="1">IF(OR(INDEX($K$2:$K$1001,MATCH(ROWS($J$2:J864),$J$2:$J$1001,0),1)&gt;=100000,INDEX($Q$1005:$U$1005,1,MATCH(COLUMNS($Q$1006:R1006),$Q$1006:$U$1006,0))&gt;=100000), " ",IF(INDEX($Q$2:$U$1001,MATCH(ROWS($J$2:J864),$J$2:$J$1001,0),MATCH(COLUMNS($Q$1006:R1006),$Q$1006:$U$1006,0)), HYPERLINK("#",""), HYPERLINK(CONCATENATE("#Metadata!", ADDRESS(INDEX($L$2:$L$1001,MATCH(ROWS($J$2:J864),$J$2:$J$1001,0),0), INDEX($Q$1004:$U$1004,1,MATCH(COLUMNS($Q$1006:R1006),$Q$1006:$U$1006,0)))),"Fix")))</f>
        <v xml:space="preserve"> </v>
      </c>
      <c r="D864" s="3" t="str">
        <f ca="1">IF(OR(INDEX($K$2:$K$1001,MATCH(ROWS($J$2:J864),$J$2:$J$1001,0),1)&gt;=100000,INDEX($Q$1005:$U$1005,1,MATCH(COLUMNS($Q$1006:S1006),$Q$1006:$U$1006,0))&gt;=100000), " ",IF(INDEX($Q$2:$U$1001,MATCH(ROWS($J$2:J864),$J$2:$J$1001,0),MATCH(COLUMNS($Q$1006:S1006),$Q$1006:$U$1006,0)), HYPERLINK("#",""), HYPERLINK(CONCATENATE("#Metadata!", ADDRESS(INDEX($L$2:$L$1001,MATCH(ROWS($J$2:J864),$J$2:$J$1001,0),0), INDEX($Q$1004:$U$1004,1,MATCH(COLUMNS($Q$1006:S1006),$Q$1006:$U$1006,0)))),"Fix")))</f>
        <v xml:space="preserve"> </v>
      </c>
      <c r="E864" s="3" t="str">
        <f ca="1">IF(OR(INDEX($K$2:$K$1001,MATCH(ROWS($J$2:J864),$J$2:$J$1001,0),1)&gt;=100000,INDEX($Q$1005:$U$1005,1,MATCH(COLUMNS($Q$1006:T1006),$Q$1006:$U$1006,0))&gt;=100000), " ",IF(INDEX($Q$2:$U$1001,MATCH(ROWS($J$2:J864),$J$2:$J$1001,0),MATCH(COLUMNS($Q$1006:T1006),$Q$1006:$U$1006,0)), HYPERLINK("#",""), HYPERLINK(CONCATENATE("#Metadata!", ADDRESS(INDEX($L$2:$L$1001,MATCH(ROWS($J$2:J864),$J$2:$J$1001,0),0), INDEX($Q$1004:$U$1004,1,MATCH(COLUMNS($Q$1006:T1006),$Q$1006:$U$1006,0)))),"Fix")))</f>
        <v xml:space="preserve"> </v>
      </c>
      <c r="F864" s="3" t="str">
        <f ca="1">IF(OR(INDEX($K$2:$K$1001,MATCH(ROWS($J$2:J864),$J$2:$J$1001,0),1)&gt;=100000,INDEX($Q$1005:$U$1005,1,MATCH(COLUMNS($Q$1006:U1006),$Q$1006:$U$1006,0))&gt;=100000), " ",IF(INDEX($Q$2:$U$1001,MATCH(ROWS($J$2:J864),$J$2:$J$1001,0),MATCH(COLUMNS($Q$1006:U1006),$Q$1006:$U$1006,0)), HYPERLINK("#",""), HYPERLINK(CONCATENATE("#Metadata!", ADDRESS(INDEX($L$2:$L$1001,MATCH(ROWS($J$2:J864),$J$2:$J$1001,0),0), INDEX($Q$1004:$U$1004,1,MATCH(COLUMNS($Q$1006:U1006),$Q$1006:$U$1006,0)))),"Fix")))</f>
        <v xml:space="preserve"> </v>
      </c>
      <c r="J864">
        <f ca="1"/>
        <v>863</v>
      </c>
      <c r="K864">
        <v>100864</v>
      </c>
      <c r="L864">
        <v>864</v>
      </c>
      <c r="M864" t="b">
        <f t="shared" si="13"/>
        <v>1</v>
      </c>
      <c r="N864" t="b">
        <f>COUNTBLANK(Metadata!B864:F864)=COLUMNS(Metadata!B864:F864)</f>
        <v>1</v>
      </c>
      <c r="O864" t="str">
        <v/>
      </c>
      <c r="Q864" t="b">
        <f ca="1"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R864" t="b">
        <f>IF(Metadata!C864="",FALSE,TRUE)</f>
        <v>0</v>
      </c>
      <c r="S864" t="b">
        <f>OR(AND(IF(Metadata!D864="",FALSE,TRUE),EXACT(Metadata!D864,"missing: not collected")),AND(IF(Metadata!D864="",FALSE,TRUE),OR(EXACT(Metadata!D864,"t"),EXACT(Metadata!D864,"f"))))</f>
        <v>0</v>
      </c>
      <c r="T864" t="b">
        <f>AND(IF(Metadata!E864="",FALSE,TRUE),OR(EXACT(Metadata!E864,"a"),EXACT(Metadata!E864,"b")))</f>
        <v>0</v>
      </c>
      <c r="U864" t="b">
        <f>OR(AND(IF(Metadata!F864="",FALSE,TRUE),OR(EXACT(Metadata!F864,"missing: not collected"),EXACT(Metadata!F864,"missing: not provided"))),AND(IF(Metadata!F864="",FALSE,TRUE),OR(EXACT(Metadata!F864,"lo"),EXACT(Metadata!F864,"med"),EXACT(Metadata!F864,"hi"))))</f>
        <v>0</v>
      </c>
    </row>
    <row r="865" spans="1:21" x14ac:dyDescent="0.2">
      <c r="A865" s="4" t="str">
        <f ca="1">IF(B865=" "," ",HYPERLINK(CONCATENATE("#metadata!",ADDRESS(INDEX($L$2:$L$1001,MATCH(ROWS($J$2:J865),$J$2:$J$1001,0),0),1)),INDEX($O$2:$O$1001,MATCH(ROWS($J$2:J865),$J$2:$J$1001,0),0)))</f>
        <v xml:space="preserve"> </v>
      </c>
      <c r="B865" s="3" t="str">
        <f ca="1">IF(OR(INDEX($K$2:$K$1001,MATCH(ROWS($J$2:J865),$J$2:$J$1001,0),1)&gt;=100000,INDEX($Q$1005:$U$1005,1,MATCH(COLUMNS($Q$1006:Q1006),$Q$1006:$U$1006,0))&gt;=100000), " ",IF(INDEX($Q$2:$U$1001,MATCH(ROWS($J$2:J865),$J$2:$J$1001,0),MATCH(COLUMNS($Q$1006:Q1006),$Q$1006:$U$1006,0)), HYPERLINK("#",""), HYPERLINK(CONCATENATE("#Metadata!", ADDRESS(INDEX($L$2:$L$1001,MATCH(ROWS($J$2:J865),$J$2:$J$1001,0),0), INDEX($Q$1004:$U$1004,1,MATCH(COLUMNS($Q$1006:Q1006),$Q$1006:$U$1006,0)))),"Fix")))</f>
        <v xml:space="preserve"> </v>
      </c>
      <c r="C865" s="3" t="str">
        <f ca="1">IF(OR(INDEX($K$2:$K$1001,MATCH(ROWS($J$2:J865),$J$2:$J$1001,0),1)&gt;=100000,INDEX($Q$1005:$U$1005,1,MATCH(COLUMNS($Q$1006:R1006),$Q$1006:$U$1006,0))&gt;=100000), " ",IF(INDEX($Q$2:$U$1001,MATCH(ROWS($J$2:J865),$J$2:$J$1001,0),MATCH(COLUMNS($Q$1006:R1006),$Q$1006:$U$1006,0)), HYPERLINK("#",""), HYPERLINK(CONCATENATE("#Metadata!", ADDRESS(INDEX($L$2:$L$1001,MATCH(ROWS($J$2:J865),$J$2:$J$1001,0),0), INDEX($Q$1004:$U$1004,1,MATCH(COLUMNS($Q$1006:R1006),$Q$1006:$U$1006,0)))),"Fix")))</f>
        <v xml:space="preserve"> </v>
      </c>
      <c r="D865" s="3" t="str">
        <f ca="1">IF(OR(INDEX($K$2:$K$1001,MATCH(ROWS($J$2:J865),$J$2:$J$1001,0),1)&gt;=100000,INDEX($Q$1005:$U$1005,1,MATCH(COLUMNS($Q$1006:S1006),$Q$1006:$U$1006,0))&gt;=100000), " ",IF(INDEX($Q$2:$U$1001,MATCH(ROWS($J$2:J865),$J$2:$J$1001,0),MATCH(COLUMNS($Q$1006:S1006),$Q$1006:$U$1006,0)), HYPERLINK("#",""), HYPERLINK(CONCATENATE("#Metadata!", ADDRESS(INDEX($L$2:$L$1001,MATCH(ROWS($J$2:J865),$J$2:$J$1001,0),0), INDEX($Q$1004:$U$1004,1,MATCH(COLUMNS($Q$1006:S1006),$Q$1006:$U$1006,0)))),"Fix")))</f>
        <v xml:space="preserve"> </v>
      </c>
      <c r="E865" s="3" t="str">
        <f ca="1">IF(OR(INDEX($K$2:$K$1001,MATCH(ROWS($J$2:J865),$J$2:$J$1001,0),1)&gt;=100000,INDEX($Q$1005:$U$1005,1,MATCH(COLUMNS($Q$1006:T1006),$Q$1006:$U$1006,0))&gt;=100000), " ",IF(INDEX($Q$2:$U$1001,MATCH(ROWS($J$2:J865),$J$2:$J$1001,0),MATCH(COLUMNS($Q$1006:T1006),$Q$1006:$U$1006,0)), HYPERLINK("#",""), HYPERLINK(CONCATENATE("#Metadata!", ADDRESS(INDEX($L$2:$L$1001,MATCH(ROWS($J$2:J865),$J$2:$J$1001,0),0), INDEX($Q$1004:$U$1004,1,MATCH(COLUMNS($Q$1006:T1006),$Q$1006:$U$1006,0)))),"Fix")))</f>
        <v xml:space="preserve"> </v>
      </c>
      <c r="F865" s="3" t="str">
        <f ca="1">IF(OR(INDEX($K$2:$K$1001,MATCH(ROWS($J$2:J865),$J$2:$J$1001,0),1)&gt;=100000,INDEX($Q$1005:$U$1005,1,MATCH(COLUMNS($Q$1006:U1006),$Q$1006:$U$1006,0))&gt;=100000), " ",IF(INDEX($Q$2:$U$1001,MATCH(ROWS($J$2:J865),$J$2:$J$1001,0),MATCH(COLUMNS($Q$1006:U1006),$Q$1006:$U$1006,0)), HYPERLINK("#",""), HYPERLINK(CONCATENATE("#Metadata!", ADDRESS(INDEX($L$2:$L$1001,MATCH(ROWS($J$2:J865),$J$2:$J$1001,0),0), INDEX($Q$1004:$U$1004,1,MATCH(COLUMNS($Q$1006:U1006),$Q$1006:$U$1006,0)))),"Fix")))</f>
        <v xml:space="preserve"> </v>
      </c>
      <c r="J865">
        <f ca="1"/>
        <v>864</v>
      </c>
      <c r="K865">
        <v>100865</v>
      </c>
      <c r="L865">
        <v>865</v>
      </c>
      <c r="M865" t="b">
        <f t="shared" si="13"/>
        <v>1</v>
      </c>
      <c r="N865" t="b">
        <f>COUNTBLANK(Metadata!B865:F865)=COLUMNS(Metadata!B865:F865)</f>
        <v>1</v>
      </c>
      <c r="O865" t="str">
        <v/>
      </c>
      <c r="Q865" t="b">
        <f ca="1"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R865" t="b">
        <f>IF(Metadata!C865="",FALSE,TRUE)</f>
        <v>0</v>
      </c>
      <c r="S865" t="b">
        <f>OR(AND(IF(Metadata!D865="",FALSE,TRUE),EXACT(Metadata!D865,"missing: not collected")),AND(IF(Metadata!D865="",FALSE,TRUE),OR(EXACT(Metadata!D865,"t"),EXACT(Metadata!D865,"f"))))</f>
        <v>0</v>
      </c>
      <c r="T865" t="b">
        <f>AND(IF(Metadata!E865="",FALSE,TRUE),OR(EXACT(Metadata!E865,"a"),EXACT(Metadata!E865,"b")))</f>
        <v>0</v>
      </c>
      <c r="U865" t="b">
        <f>OR(AND(IF(Metadata!F865="",FALSE,TRUE),OR(EXACT(Metadata!F865,"missing: not collected"),EXACT(Metadata!F865,"missing: not provided"))),AND(IF(Metadata!F865="",FALSE,TRUE),OR(EXACT(Metadata!F865,"lo"),EXACT(Metadata!F865,"med"),EXACT(Metadata!F865,"hi"))))</f>
        <v>0</v>
      </c>
    </row>
    <row r="866" spans="1:21" x14ac:dyDescent="0.2">
      <c r="A866" s="4" t="str">
        <f ca="1">IF(B866=" "," ",HYPERLINK(CONCATENATE("#metadata!",ADDRESS(INDEX($L$2:$L$1001,MATCH(ROWS($J$2:J866),$J$2:$J$1001,0),0),1)),INDEX($O$2:$O$1001,MATCH(ROWS($J$2:J866),$J$2:$J$1001,0),0)))</f>
        <v xml:space="preserve"> </v>
      </c>
      <c r="B866" s="3" t="str">
        <f ca="1">IF(OR(INDEX($K$2:$K$1001,MATCH(ROWS($J$2:J866),$J$2:$J$1001,0),1)&gt;=100000,INDEX($Q$1005:$U$1005,1,MATCH(COLUMNS($Q$1006:Q1006),$Q$1006:$U$1006,0))&gt;=100000), " ",IF(INDEX($Q$2:$U$1001,MATCH(ROWS($J$2:J866),$J$2:$J$1001,0),MATCH(COLUMNS($Q$1006:Q1006),$Q$1006:$U$1006,0)), HYPERLINK("#",""), HYPERLINK(CONCATENATE("#Metadata!", ADDRESS(INDEX($L$2:$L$1001,MATCH(ROWS($J$2:J866),$J$2:$J$1001,0),0), INDEX($Q$1004:$U$1004,1,MATCH(COLUMNS($Q$1006:Q1006),$Q$1006:$U$1006,0)))),"Fix")))</f>
        <v xml:space="preserve"> </v>
      </c>
      <c r="C866" s="3" t="str">
        <f ca="1">IF(OR(INDEX($K$2:$K$1001,MATCH(ROWS($J$2:J866),$J$2:$J$1001,0),1)&gt;=100000,INDEX($Q$1005:$U$1005,1,MATCH(COLUMNS($Q$1006:R1006),$Q$1006:$U$1006,0))&gt;=100000), " ",IF(INDEX($Q$2:$U$1001,MATCH(ROWS($J$2:J866),$J$2:$J$1001,0),MATCH(COLUMNS($Q$1006:R1006),$Q$1006:$U$1006,0)), HYPERLINK("#",""), HYPERLINK(CONCATENATE("#Metadata!", ADDRESS(INDEX($L$2:$L$1001,MATCH(ROWS($J$2:J866),$J$2:$J$1001,0),0), INDEX($Q$1004:$U$1004,1,MATCH(COLUMNS($Q$1006:R1006),$Q$1006:$U$1006,0)))),"Fix")))</f>
        <v xml:space="preserve"> </v>
      </c>
      <c r="D866" s="3" t="str">
        <f ca="1">IF(OR(INDEX($K$2:$K$1001,MATCH(ROWS($J$2:J866),$J$2:$J$1001,0),1)&gt;=100000,INDEX($Q$1005:$U$1005,1,MATCH(COLUMNS($Q$1006:S1006),$Q$1006:$U$1006,0))&gt;=100000), " ",IF(INDEX($Q$2:$U$1001,MATCH(ROWS($J$2:J866),$J$2:$J$1001,0),MATCH(COLUMNS($Q$1006:S1006),$Q$1006:$U$1006,0)), HYPERLINK("#",""), HYPERLINK(CONCATENATE("#Metadata!", ADDRESS(INDEX($L$2:$L$1001,MATCH(ROWS($J$2:J866),$J$2:$J$1001,0),0), INDEX($Q$1004:$U$1004,1,MATCH(COLUMNS($Q$1006:S1006),$Q$1006:$U$1006,0)))),"Fix")))</f>
        <v xml:space="preserve"> </v>
      </c>
      <c r="E866" s="3" t="str">
        <f ca="1">IF(OR(INDEX($K$2:$K$1001,MATCH(ROWS($J$2:J866),$J$2:$J$1001,0),1)&gt;=100000,INDEX($Q$1005:$U$1005,1,MATCH(COLUMNS($Q$1006:T1006),$Q$1006:$U$1006,0))&gt;=100000), " ",IF(INDEX($Q$2:$U$1001,MATCH(ROWS($J$2:J866),$J$2:$J$1001,0),MATCH(COLUMNS($Q$1006:T1006),$Q$1006:$U$1006,0)), HYPERLINK("#",""), HYPERLINK(CONCATENATE("#Metadata!", ADDRESS(INDEX($L$2:$L$1001,MATCH(ROWS($J$2:J866),$J$2:$J$1001,0),0), INDEX($Q$1004:$U$1004,1,MATCH(COLUMNS($Q$1006:T1006),$Q$1006:$U$1006,0)))),"Fix")))</f>
        <v xml:space="preserve"> </v>
      </c>
      <c r="F866" s="3" t="str">
        <f ca="1">IF(OR(INDEX($K$2:$K$1001,MATCH(ROWS($J$2:J866),$J$2:$J$1001,0),1)&gt;=100000,INDEX($Q$1005:$U$1005,1,MATCH(COLUMNS($Q$1006:U1006),$Q$1006:$U$1006,0))&gt;=100000), " ",IF(INDEX($Q$2:$U$1001,MATCH(ROWS($J$2:J866),$J$2:$J$1001,0),MATCH(COLUMNS($Q$1006:U1006),$Q$1006:$U$1006,0)), HYPERLINK("#",""), HYPERLINK(CONCATENATE("#Metadata!", ADDRESS(INDEX($L$2:$L$1001,MATCH(ROWS($J$2:J866),$J$2:$J$1001,0),0), INDEX($Q$1004:$U$1004,1,MATCH(COLUMNS($Q$1006:U1006),$Q$1006:$U$1006,0)))),"Fix")))</f>
        <v xml:space="preserve"> </v>
      </c>
      <c r="J866">
        <f ca="1"/>
        <v>865</v>
      </c>
      <c r="K866">
        <v>100866</v>
      </c>
      <c r="L866">
        <v>866</v>
      </c>
      <c r="M866" t="b">
        <f t="shared" si="13"/>
        <v>1</v>
      </c>
      <c r="N866" t="b">
        <f>COUNTBLANK(Metadata!B866:F866)=COLUMNS(Metadata!B866:F866)</f>
        <v>1</v>
      </c>
      <c r="O866" t="str">
        <v/>
      </c>
      <c r="Q866" t="b">
        <f ca="1"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R866" t="b">
        <f>IF(Metadata!C866="",FALSE,TRUE)</f>
        <v>0</v>
      </c>
      <c r="S866" t="b">
        <f>OR(AND(IF(Metadata!D866="",FALSE,TRUE),EXACT(Metadata!D866,"missing: not collected")),AND(IF(Metadata!D866="",FALSE,TRUE),OR(EXACT(Metadata!D866,"t"),EXACT(Metadata!D866,"f"))))</f>
        <v>0</v>
      </c>
      <c r="T866" t="b">
        <f>AND(IF(Metadata!E866="",FALSE,TRUE),OR(EXACT(Metadata!E866,"a"),EXACT(Metadata!E866,"b")))</f>
        <v>0</v>
      </c>
      <c r="U866" t="b">
        <f>OR(AND(IF(Metadata!F866="",FALSE,TRUE),OR(EXACT(Metadata!F866,"missing: not collected"),EXACT(Metadata!F866,"missing: not provided"))),AND(IF(Metadata!F866="",FALSE,TRUE),OR(EXACT(Metadata!F866,"lo"),EXACT(Metadata!F866,"med"),EXACT(Metadata!F866,"hi"))))</f>
        <v>0</v>
      </c>
    </row>
    <row r="867" spans="1:21" x14ac:dyDescent="0.2">
      <c r="A867" s="4" t="str">
        <f ca="1">IF(B867=" "," ",HYPERLINK(CONCATENATE("#metadata!",ADDRESS(INDEX($L$2:$L$1001,MATCH(ROWS($J$2:J867),$J$2:$J$1001,0),0),1)),INDEX($O$2:$O$1001,MATCH(ROWS($J$2:J867),$J$2:$J$1001,0),0)))</f>
        <v xml:space="preserve"> </v>
      </c>
      <c r="B867" s="3" t="str">
        <f ca="1">IF(OR(INDEX($K$2:$K$1001,MATCH(ROWS($J$2:J867),$J$2:$J$1001,0),1)&gt;=100000,INDEX($Q$1005:$U$1005,1,MATCH(COLUMNS($Q$1006:Q1006),$Q$1006:$U$1006,0))&gt;=100000), " ",IF(INDEX($Q$2:$U$1001,MATCH(ROWS($J$2:J867),$J$2:$J$1001,0),MATCH(COLUMNS($Q$1006:Q1006),$Q$1006:$U$1006,0)), HYPERLINK("#",""), HYPERLINK(CONCATENATE("#Metadata!", ADDRESS(INDEX($L$2:$L$1001,MATCH(ROWS($J$2:J867),$J$2:$J$1001,0),0), INDEX($Q$1004:$U$1004,1,MATCH(COLUMNS($Q$1006:Q1006),$Q$1006:$U$1006,0)))),"Fix")))</f>
        <v xml:space="preserve"> </v>
      </c>
      <c r="C867" s="3" t="str">
        <f ca="1">IF(OR(INDEX($K$2:$K$1001,MATCH(ROWS($J$2:J867),$J$2:$J$1001,0),1)&gt;=100000,INDEX($Q$1005:$U$1005,1,MATCH(COLUMNS($Q$1006:R1006),$Q$1006:$U$1006,0))&gt;=100000), " ",IF(INDEX($Q$2:$U$1001,MATCH(ROWS($J$2:J867),$J$2:$J$1001,0),MATCH(COLUMNS($Q$1006:R1006),$Q$1006:$U$1006,0)), HYPERLINK("#",""), HYPERLINK(CONCATENATE("#Metadata!", ADDRESS(INDEX($L$2:$L$1001,MATCH(ROWS($J$2:J867),$J$2:$J$1001,0),0), INDEX($Q$1004:$U$1004,1,MATCH(COLUMNS($Q$1006:R1006),$Q$1006:$U$1006,0)))),"Fix")))</f>
        <v xml:space="preserve"> </v>
      </c>
      <c r="D867" s="3" t="str">
        <f ca="1">IF(OR(INDEX($K$2:$K$1001,MATCH(ROWS($J$2:J867),$J$2:$J$1001,0),1)&gt;=100000,INDEX($Q$1005:$U$1005,1,MATCH(COLUMNS($Q$1006:S1006),$Q$1006:$U$1006,0))&gt;=100000), " ",IF(INDEX($Q$2:$U$1001,MATCH(ROWS($J$2:J867),$J$2:$J$1001,0),MATCH(COLUMNS($Q$1006:S1006),$Q$1006:$U$1006,0)), HYPERLINK("#",""), HYPERLINK(CONCATENATE("#Metadata!", ADDRESS(INDEX($L$2:$L$1001,MATCH(ROWS($J$2:J867),$J$2:$J$1001,0),0), INDEX($Q$1004:$U$1004,1,MATCH(COLUMNS($Q$1006:S1006),$Q$1006:$U$1006,0)))),"Fix")))</f>
        <v xml:space="preserve"> </v>
      </c>
      <c r="E867" s="3" t="str">
        <f ca="1">IF(OR(INDEX($K$2:$K$1001,MATCH(ROWS($J$2:J867),$J$2:$J$1001,0),1)&gt;=100000,INDEX($Q$1005:$U$1005,1,MATCH(COLUMNS($Q$1006:T1006),$Q$1006:$U$1006,0))&gt;=100000), " ",IF(INDEX($Q$2:$U$1001,MATCH(ROWS($J$2:J867),$J$2:$J$1001,0),MATCH(COLUMNS($Q$1006:T1006),$Q$1006:$U$1006,0)), HYPERLINK("#",""), HYPERLINK(CONCATENATE("#Metadata!", ADDRESS(INDEX($L$2:$L$1001,MATCH(ROWS($J$2:J867),$J$2:$J$1001,0),0), INDEX($Q$1004:$U$1004,1,MATCH(COLUMNS($Q$1006:T1006),$Q$1006:$U$1006,0)))),"Fix")))</f>
        <v xml:space="preserve"> </v>
      </c>
      <c r="F867" s="3" t="str">
        <f ca="1">IF(OR(INDEX($K$2:$K$1001,MATCH(ROWS($J$2:J867),$J$2:$J$1001,0),1)&gt;=100000,INDEX($Q$1005:$U$1005,1,MATCH(COLUMNS($Q$1006:U1006),$Q$1006:$U$1006,0))&gt;=100000), " ",IF(INDEX($Q$2:$U$1001,MATCH(ROWS($J$2:J867),$J$2:$J$1001,0),MATCH(COLUMNS($Q$1006:U1006),$Q$1006:$U$1006,0)), HYPERLINK("#",""), HYPERLINK(CONCATENATE("#Metadata!", ADDRESS(INDEX($L$2:$L$1001,MATCH(ROWS($J$2:J867),$J$2:$J$1001,0),0), INDEX($Q$1004:$U$1004,1,MATCH(COLUMNS($Q$1006:U1006),$Q$1006:$U$1006,0)))),"Fix")))</f>
        <v xml:space="preserve"> </v>
      </c>
      <c r="J867">
        <f ca="1"/>
        <v>866</v>
      </c>
      <c r="K867">
        <v>100867</v>
      </c>
      <c r="L867">
        <v>867</v>
      </c>
      <c r="M867" t="b">
        <f t="shared" si="13"/>
        <v>1</v>
      </c>
      <c r="N867" t="b">
        <f>COUNTBLANK(Metadata!B867:F867)=COLUMNS(Metadata!B867:F867)</f>
        <v>1</v>
      </c>
      <c r="O867" t="str">
        <v/>
      </c>
      <c r="Q867" t="b">
        <f ca="1"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R867" t="b">
        <f>IF(Metadata!C867="",FALSE,TRUE)</f>
        <v>0</v>
      </c>
      <c r="S867" t="b">
        <f>OR(AND(IF(Metadata!D867="",FALSE,TRUE),EXACT(Metadata!D867,"missing: not collected")),AND(IF(Metadata!D867="",FALSE,TRUE),OR(EXACT(Metadata!D867,"t"),EXACT(Metadata!D867,"f"))))</f>
        <v>0</v>
      </c>
      <c r="T867" t="b">
        <f>AND(IF(Metadata!E867="",FALSE,TRUE),OR(EXACT(Metadata!E867,"a"),EXACT(Metadata!E867,"b")))</f>
        <v>0</v>
      </c>
      <c r="U867" t="b">
        <f>OR(AND(IF(Metadata!F867="",FALSE,TRUE),OR(EXACT(Metadata!F867,"missing: not collected"),EXACT(Metadata!F867,"missing: not provided"))),AND(IF(Metadata!F867="",FALSE,TRUE),OR(EXACT(Metadata!F867,"lo"),EXACT(Metadata!F867,"med"),EXACT(Metadata!F867,"hi"))))</f>
        <v>0</v>
      </c>
    </row>
    <row r="868" spans="1:21" x14ac:dyDescent="0.2">
      <c r="A868" s="4" t="str">
        <f ca="1">IF(B868=" "," ",HYPERLINK(CONCATENATE("#metadata!",ADDRESS(INDEX($L$2:$L$1001,MATCH(ROWS($J$2:J868),$J$2:$J$1001,0),0),1)),INDEX($O$2:$O$1001,MATCH(ROWS($J$2:J868),$J$2:$J$1001,0),0)))</f>
        <v xml:space="preserve"> </v>
      </c>
      <c r="B868" s="3" t="str">
        <f ca="1">IF(OR(INDEX($K$2:$K$1001,MATCH(ROWS($J$2:J868),$J$2:$J$1001,0),1)&gt;=100000,INDEX($Q$1005:$U$1005,1,MATCH(COLUMNS($Q$1006:Q1006),$Q$1006:$U$1006,0))&gt;=100000), " ",IF(INDEX($Q$2:$U$1001,MATCH(ROWS($J$2:J868),$J$2:$J$1001,0),MATCH(COLUMNS($Q$1006:Q1006),$Q$1006:$U$1006,0)), HYPERLINK("#",""), HYPERLINK(CONCATENATE("#Metadata!", ADDRESS(INDEX($L$2:$L$1001,MATCH(ROWS($J$2:J868),$J$2:$J$1001,0),0), INDEX($Q$1004:$U$1004,1,MATCH(COLUMNS($Q$1006:Q1006),$Q$1006:$U$1006,0)))),"Fix")))</f>
        <v xml:space="preserve"> </v>
      </c>
      <c r="C868" s="3" t="str">
        <f ca="1">IF(OR(INDEX($K$2:$K$1001,MATCH(ROWS($J$2:J868),$J$2:$J$1001,0),1)&gt;=100000,INDEX($Q$1005:$U$1005,1,MATCH(COLUMNS($Q$1006:R1006),$Q$1006:$U$1006,0))&gt;=100000), " ",IF(INDEX($Q$2:$U$1001,MATCH(ROWS($J$2:J868),$J$2:$J$1001,0),MATCH(COLUMNS($Q$1006:R1006),$Q$1006:$U$1006,0)), HYPERLINK("#",""), HYPERLINK(CONCATENATE("#Metadata!", ADDRESS(INDEX($L$2:$L$1001,MATCH(ROWS($J$2:J868),$J$2:$J$1001,0),0), INDEX($Q$1004:$U$1004,1,MATCH(COLUMNS($Q$1006:R1006),$Q$1006:$U$1006,0)))),"Fix")))</f>
        <v xml:space="preserve"> </v>
      </c>
      <c r="D868" s="3" t="str">
        <f ca="1">IF(OR(INDEX($K$2:$K$1001,MATCH(ROWS($J$2:J868),$J$2:$J$1001,0),1)&gt;=100000,INDEX($Q$1005:$U$1005,1,MATCH(COLUMNS($Q$1006:S1006),$Q$1006:$U$1006,0))&gt;=100000), " ",IF(INDEX($Q$2:$U$1001,MATCH(ROWS($J$2:J868),$J$2:$J$1001,0),MATCH(COLUMNS($Q$1006:S1006),$Q$1006:$U$1006,0)), HYPERLINK("#",""), HYPERLINK(CONCATENATE("#Metadata!", ADDRESS(INDEX($L$2:$L$1001,MATCH(ROWS($J$2:J868),$J$2:$J$1001,0),0), INDEX($Q$1004:$U$1004,1,MATCH(COLUMNS($Q$1006:S1006),$Q$1006:$U$1006,0)))),"Fix")))</f>
        <v xml:space="preserve"> </v>
      </c>
      <c r="E868" s="3" t="str">
        <f ca="1">IF(OR(INDEX($K$2:$K$1001,MATCH(ROWS($J$2:J868),$J$2:$J$1001,0),1)&gt;=100000,INDEX($Q$1005:$U$1005,1,MATCH(COLUMNS($Q$1006:T1006),$Q$1006:$U$1006,0))&gt;=100000), " ",IF(INDEX($Q$2:$U$1001,MATCH(ROWS($J$2:J868),$J$2:$J$1001,0),MATCH(COLUMNS($Q$1006:T1006),$Q$1006:$U$1006,0)), HYPERLINK("#",""), HYPERLINK(CONCATENATE("#Metadata!", ADDRESS(INDEX($L$2:$L$1001,MATCH(ROWS($J$2:J868),$J$2:$J$1001,0),0), INDEX($Q$1004:$U$1004,1,MATCH(COLUMNS($Q$1006:T1006),$Q$1006:$U$1006,0)))),"Fix")))</f>
        <v xml:space="preserve"> </v>
      </c>
      <c r="F868" s="3" t="str">
        <f ca="1">IF(OR(INDEX($K$2:$K$1001,MATCH(ROWS($J$2:J868),$J$2:$J$1001,0),1)&gt;=100000,INDEX($Q$1005:$U$1005,1,MATCH(COLUMNS($Q$1006:U1006),$Q$1006:$U$1006,0))&gt;=100000), " ",IF(INDEX($Q$2:$U$1001,MATCH(ROWS($J$2:J868),$J$2:$J$1001,0),MATCH(COLUMNS($Q$1006:U1006),$Q$1006:$U$1006,0)), HYPERLINK("#",""), HYPERLINK(CONCATENATE("#Metadata!", ADDRESS(INDEX($L$2:$L$1001,MATCH(ROWS($J$2:J868),$J$2:$J$1001,0),0), INDEX($Q$1004:$U$1004,1,MATCH(COLUMNS($Q$1006:U1006),$Q$1006:$U$1006,0)))),"Fix")))</f>
        <v xml:space="preserve"> </v>
      </c>
      <c r="J868">
        <f ca="1"/>
        <v>867</v>
      </c>
      <c r="K868">
        <v>100868</v>
      </c>
      <c r="L868">
        <v>868</v>
      </c>
      <c r="M868" t="b">
        <f t="shared" si="13"/>
        <v>1</v>
      </c>
      <c r="N868" t="b">
        <f>COUNTBLANK(Metadata!B868:F868)=COLUMNS(Metadata!B868:F868)</f>
        <v>1</v>
      </c>
      <c r="O868" t="str">
        <v/>
      </c>
      <c r="Q868" t="b">
        <f ca="1"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R868" t="b">
        <f>IF(Metadata!C868="",FALSE,TRUE)</f>
        <v>0</v>
      </c>
      <c r="S868" t="b">
        <f>OR(AND(IF(Metadata!D868="",FALSE,TRUE),EXACT(Metadata!D868,"missing: not collected")),AND(IF(Metadata!D868="",FALSE,TRUE),OR(EXACT(Metadata!D868,"t"),EXACT(Metadata!D868,"f"))))</f>
        <v>0</v>
      </c>
      <c r="T868" t="b">
        <f>AND(IF(Metadata!E868="",FALSE,TRUE),OR(EXACT(Metadata!E868,"a"),EXACT(Metadata!E868,"b")))</f>
        <v>0</v>
      </c>
      <c r="U868" t="b">
        <f>OR(AND(IF(Metadata!F868="",FALSE,TRUE),OR(EXACT(Metadata!F868,"missing: not collected"),EXACT(Metadata!F868,"missing: not provided"))),AND(IF(Metadata!F868="",FALSE,TRUE),OR(EXACT(Metadata!F868,"lo"),EXACT(Metadata!F868,"med"),EXACT(Metadata!F868,"hi"))))</f>
        <v>0</v>
      </c>
    </row>
    <row r="869" spans="1:21" x14ac:dyDescent="0.2">
      <c r="A869" s="4" t="str">
        <f ca="1">IF(B869=" "," ",HYPERLINK(CONCATENATE("#metadata!",ADDRESS(INDEX($L$2:$L$1001,MATCH(ROWS($J$2:J869),$J$2:$J$1001,0),0),1)),INDEX($O$2:$O$1001,MATCH(ROWS($J$2:J869),$J$2:$J$1001,0),0)))</f>
        <v xml:space="preserve"> </v>
      </c>
      <c r="B869" s="3" t="str">
        <f ca="1">IF(OR(INDEX($K$2:$K$1001,MATCH(ROWS($J$2:J869),$J$2:$J$1001,0),1)&gt;=100000,INDEX($Q$1005:$U$1005,1,MATCH(COLUMNS($Q$1006:Q1006),$Q$1006:$U$1006,0))&gt;=100000), " ",IF(INDEX($Q$2:$U$1001,MATCH(ROWS($J$2:J869),$J$2:$J$1001,0),MATCH(COLUMNS($Q$1006:Q1006),$Q$1006:$U$1006,0)), HYPERLINK("#",""), HYPERLINK(CONCATENATE("#Metadata!", ADDRESS(INDEX($L$2:$L$1001,MATCH(ROWS($J$2:J869),$J$2:$J$1001,0),0), INDEX($Q$1004:$U$1004,1,MATCH(COLUMNS($Q$1006:Q1006),$Q$1006:$U$1006,0)))),"Fix")))</f>
        <v xml:space="preserve"> </v>
      </c>
      <c r="C869" s="3" t="str">
        <f ca="1">IF(OR(INDEX($K$2:$K$1001,MATCH(ROWS($J$2:J869),$J$2:$J$1001,0),1)&gt;=100000,INDEX($Q$1005:$U$1005,1,MATCH(COLUMNS($Q$1006:R1006),$Q$1006:$U$1006,0))&gt;=100000), " ",IF(INDEX($Q$2:$U$1001,MATCH(ROWS($J$2:J869),$J$2:$J$1001,0),MATCH(COLUMNS($Q$1006:R1006),$Q$1006:$U$1006,0)), HYPERLINK("#",""), HYPERLINK(CONCATENATE("#Metadata!", ADDRESS(INDEX($L$2:$L$1001,MATCH(ROWS($J$2:J869),$J$2:$J$1001,0),0), INDEX($Q$1004:$U$1004,1,MATCH(COLUMNS($Q$1006:R1006),$Q$1006:$U$1006,0)))),"Fix")))</f>
        <v xml:space="preserve"> </v>
      </c>
      <c r="D869" s="3" t="str">
        <f ca="1">IF(OR(INDEX($K$2:$K$1001,MATCH(ROWS($J$2:J869),$J$2:$J$1001,0),1)&gt;=100000,INDEX($Q$1005:$U$1005,1,MATCH(COLUMNS($Q$1006:S1006),$Q$1006:$U$1006,0))&gt;=100000), " ",IF(INDEX($Q$2:$U$1001,MATCH(ROWS($J$2:J869),$J$2:$J$1001,0),MATCH(COLUMNS($Q$1006:S1006),$Q$1006:$U$1006,0)), HYPERLINK("#",""), HYPERLINK(CONCATENATE("#Metadata!", ADDRESS(INDEX($L$2:$L$1001,MATCH(ROWS($J$2:J869),$J$2:$J$1001,0),0), INDEX($Q$1004:$U$1004,1,MATCH(COLUMNS($Q$1006:S1006),$Q$1006:$U$1006,0)))),"Fix")))</f>
        <v xml:space="preserve"> </v>
      </c>
      <c r="E869" s="3" t="str">
        <f ca="1">IF(OR(INDEX($K$2:$K$1001,MATCH(ROWS($J$2:J869),$J$2:$J$1001,0),1)&gt;=100000,INDEX($Q$1005:$U$1005,1,MATCH(COLUMNS($Q$1006:T1006),$Q$1006:$U$1006,0))&gt;=100000), " ",IF(INDEX($Q$2:$U$1001,MATCH(ROWS($J$2:J869),$J$2:$J$1001,0),MATCH(COLUMNS($Q$1006:T1006),$Q$1006:$U$1006,0)), HYPERLINK("#",""), HYPERLINK(CONCATENATE("#Metadata!", ADDRESS(INDEX($L$2:$L$1001,MATCH(ROWS($J$2:J869),$J$2:$J$1001,0),0), INDEX($Q$1004:$U$1004,1,MATCH(COLUMNS($Q$1006:T1006),$Q$1006:$U$1006,0)))),"Fix")))</f>
        <v xml:space="preserve"> </v>
      </c>
      <c r="F869" s="3" t="str">
        <f ca="1">IF(OR(INDEX($K$2:$K$1001,MATCH(ROWS($J$2:J869),$J$2:$J$1001,0),1)&gt;=100000,INDEX($Q$1005:$U$1005,1,MATCH(COLUMNS($Q$1006:U1006),$Q$1006:$U$1006,0))&gt;=100000), " ",IF(INDEX($Q$2:$U$1001,MATCH(ROWS($J$2:J869),$J$2:$J$1001,0),MATCH(COLUMNS($Q$1006:U1006),$Q$1006:$U$1006,0)), HYPERLINK("#",""), HYPERLINK(CONCATENATE("#Metadata!", ADDRESS(INDEX($L$2:$L$1001,MATCH(ROWS($J$2:J869),$J$2:$J$1001,0),0), INDEX($Q$1004:$U$1004,1,MATCH(COLUMNS($Q$1006:U1006),$Q$1006:$U$1006,0)))),"Fix")))</f>
        <v xml:space="preserve"> </v>
      </c>
      <c r="J869">
        <f ca="1"/>
        <v>868</v>
      </c>
      <c r="K869">
        <v>100869</v>
      </c>
      <c r="L869">
        <v>869</v>
      </c>
      <c r="M869" t="b">
        <f t="shared" si="13"/>
        <v>1</v>
      </c>
      <c r="N869" t="b">
        <f>COUNTBLANK(Metadata!B869:F869)=COLUMNS(Metadata!B869:F869)</f>
        <v>1</v>
      </c>
      <c r="O869" t="str">
        <v/>
      </c>
      <c r="Q869" t="b">
        <f ca="1"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R869" t="b">
        <f>IF(Metadata!C869="",FALSE,TRUE)</f>
        <v>0</v>
      </c>
      <c r="S869" t="b">
        <f>OR(AND(IF(Metadata!D869="",FALSE,TRUE),EXACT(Metadata!D869,"missing: not collected")),AND(IF(Metadata!D869="",FALSE,TRUE),OR(EXACT(Metadata!D869,"t"),EXACT(Metadata!D869,"f"))))</f>
        <v>0</v>
      </c>
      <c r="T869" t="b">
        <f>AND(IF(Metadata!E869="",FALSE,TRUE),OR(EXACT(Metadata!E869,"a"),EXACT(Metadata!E869,"b")))</f>
        <v>0</v>
      </c>
      <c r="U869" t="b">
        <f>OR(AND(IF(Metadata!F869="",FALSE,TRUE),OR(EXACT(Metadata!F869,"missing: not collected"),EXACT(Metadata!F869,"missing: not provided"))),AND(IF(Metadata!F869="",FALSE,TRUE),OR(EXACT(Metadata!F869,"lo"),EXACT(Metadata!F869,"med"),EXACT(Metadata!F869,"hi"))))</f>
        <v>0</v>
      </c>
    </row>
    <row r="870" spans="1:21" x14ac:dyDescent="0.2">
      <c r="A870" s="4" t="str">
        <f ca="1">IF(B870=" "," ",HYPERLINK(CONCATENATE("#metadata!",ADDRESS(INDEX($L$2:$L$1001,MATCH(ROWS($J$2:J870),$J$2:$J$1001,0),0),1)),INDEX($O$2:$O$1001,MATCH(ROWS($J$2:J870),$J$2:$J$1001,0),0)))</f>
        <v xml:space="preserve"> </v>
      </c>
      <c r="B870" s="3" t="str">
        <f ca="1">IF(OR(INDEX($K$2:$K$1001,MATCH(ROWS($J$2:J870),$J$2:$J$1001,0),1)&gt;=100000,INDEX($Q$1005:$U$1005,1,MATCH(COLUMNS($Q$1006:Q1006),$Q$1006:$U$1006,0))&gt;=100000), " ",IF(INDEX($Q$2:$U$1001,MATCH(ROWS($J$2:J870),$J$2:$J$1001,0),MATCH(COLUMNS($Q$1006:Q1006),$Q$1006:$U$1006,0)), HYPERLINK("#",""), HYPERLINK(CONCATENATE("#Metadata!", ADDRESS(INDEX($L$2:$L$1001,MATCH(ROWS($J$2:J870),$J$2:$J$1001,0),0), INDEX($Q$1004:$U$1004,1,MATCH(COLUMNS($Q$1006:Q1006),$Q$1006:$U$1006,0)))),"Fix")))</f>
        <v xml:space="preserve"> </v>
      </c>
      <c r="C870" s="3" t="str">
        <f ca="1">IF(OR(INDEX($K$2:$K$1001,MATCH(ROWS($J$2:J870),$J$2:$J$1001,0),1)&gt;=100000,INDEX($Q$1005:$U$1005,1,MATCH(COLUMNS($Q$1006:R1006),$Q$1006:$U$1006,0))&gt;=100000), " ",IF(INDEX($Q$2:$U$1001,MATCH(ROWS($J$2:J870),$J$2:$J$1001,0),MATCH(COLUMNS($Q$1006:R1006),$Q$1006:$U$1006,0)), HYPERLINK("#",""), HYPERLINK(CONCATENATE("#Metadata!", ADDRESS(INDEX($L$2:$L$1001,MATCH(ROWS($J$2:J870),$J$2:$J$1001,0),0), INDEX($Q$1004:$U$1004,1,MATCH(COLUMNS($Q$1006:R1006),$Q$1006:$U$1006,0)))),"Fix")))</f>
        <v xml:space="preserve"> </v>
      </c>
      <c r="D870" s="3" t="str">
        <f ca="1">IF(OR(INDEX($K$2:$K$1001,MATCH(ROWS($J$2:J870),$J$2:$J$1001,0),1)&gt;=100000,INDEX($Q$1005:$U$1005,1,MATCH(COLUMNS($Q$1006:S1006),$Q$1006:$U$1006,0))&gt;=100000), " ",IF(INDEX($Q$2:$U$1001,MATCH(ROWS($J$2:J870),$J$2:$J$1001,0),MATCH(COLUMNS($Q$1006:S1006),$Q$1006:$U$1006,0)), HYPERLINK("#",""), HYPERLINK(CONCATENATE("#Metadata!", ADDRESS(INDEX($L$2:$L$1001,MATCH(ROWS($J$2:J870),$J$2:$J$1001,0),0), INDEX($Q$1004:$U$1004,1,MATCH(COLUMNS($Q$1006:S1006),$Q$1006:$U$1006,0)))),"Fix")))</f>
        <v xml:space="preserve"> </v>
      </c>
      <c r="E870" s="3" t="str">
        <f ca="1">IF(OR(INDEX($K$2:$K$1001,MATCH(ROWS($J$2:J870),$J$2:$J$1001,0),1)&gt;=100000,INDEX($Q$1005:$U$1005,1,MATCH(COLUMNS($Q$1006:T1006),$Q$1006:$U$1006,0))&gt;=100000), " ",IF(INDEX($Q$2:$U$1001,MATCH(ROWS($J$2:J870),$J$2:$J$1001,0),MATCH(COLUMNS($Q$1006:T1006),$Q$1006:$U$1006,0)), HYPERLINK("#",""), HYPERLINK(CONCATENATE("#Metadata!", ADDRESS(INDEX($L$2:$L$1001,MATCH(ROWS($J$2:J870),$J$2:$J$1001,0),0), INDEX($Q$1004:$U$1004,1,MATCH(COLUMNS($Q$1006:T1006),$Q$1006:$U$1006,0)))),"Fix")))</f>
        <v xml:space="preserve"> </v>
      </c>
      <c r="F870" s="3" t="str">
        <f ca="1">IF(OR(INDEX($K$2:$K$1001,MATCH(ROWS($J$2:J870),$J$2:$J$1001,0),1)&gt;=100000,INDEX($Q$1005:$U$1005,1,MATCH(COLUMNS($Q$1006:U1006),$Q$1006:$U$1006,0))&gt;=100000), " ",IF(INDEX($Q$2:$U$1001,MATCH(ROWS($J$2:J870),$J$2:$J$1001,0),MATCH(COLUMNS($Q$1006:U1006),$Q$1006:$U$1006,0)), HYPERLINK("#",""), HYPERLINK(CONCATENATE("#Metadata!", ADDRESS(INDEX($L$2:$L$1001,MATCH(ROWS($J$2:J870),$J$2:$J$1001,0),0), INDEX($Q$1004:$U$1004,1,MATCH(COLUMNS($Q$1006:U1006),$Q$1006:$U$1006,0)))),"Fix")))</f>
        <v xml:space="preserve"> </v>
      </c>
      <c r="J870">
        <f ca="1"/>
        <v>869</v>
      </c>
      <c r="K870">
        <v>100870</v>
      </c>
      <c r="L870">
        <v>870</v>
      </c>
      <c r="M870" t="b">
        <f t="shared" si="13"/>
        <v>1</v>
      </c>
      <c r="N870" t="b">
        <f>COUNTBLANK(Metadata!B870:F870)=COLUMNS(Metadata!B870:F870)</f>
        <v>1</v>
      </c>
      <c r="O870" t="str">
        <v/>
      </c>
      <c r="Q870" t="b">
        <f ca="1"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R870" t="b">
        <f>IF(Metadata!C870="",FALSE,TRUE)</f>
        <v>0</v>
      </c>
      <c r="S870" t="b">
        <f>OR(AND(IF(Metadata!D870="",FALSE,TRUE),EXACT(Metadata!D870,"missing: not collected")),AND(IF(Metadata!D870="",FALSE,TRUE),OR(EXACT(Metadata!D870,"t"),EXACT(Metadata!D870,"f"))))</f>
        <v>0</v>
      </c>
      <c r="T870" t="b">
        <f>AND(IF(Metadata!E870="",FALSE,TRUE),OR(EXACT(Metadata!E870,"a"),EXACT(Metadata!E870,"b")))</f>
        <v>0</v>
      </c>
      <c r="U870" t="b">
        <f>OR(AND(IF(Metadata!F870="",FALSE,TRUE),OR(EXACT(Metadata!F870,"missing: not collected"),EXACT(Metadata!F870,"missing: not provided"))),AND(IF(Metadata!F870="",FALSE,TRUE),OR(EXACT(Metadata!F870,"lo"),EXACT(Metadata!F870,"med"),EXACT(Metadata!F870,"hi"))))</f>
        <v>0</v>
      </c>
    </row>
    <row r="871" spans="1:21" x14ac:dyDescent="0.2">
      <c r="A871" s="4" t="str">
        <f ca="1">IF(B871=" "," ",HYPERLINK(CONCATENATE("#metadata!",ADDRESS(INDEX($L$2:$L$1001,MATCH(ROWS($J$2:J871),$J$2:$J$1001,0),0),1)),INDEX($O$2:$O$1001,MATCH(ROWS($J$2:J871),$J$2:$J$1001,0),0)))</f>
        <v xml:space="preserve"> </v>
      </c>
      <c r="B871" s="3" t="str">
        <f ca="1">IF(OR(INDEX($K$2:$K$1001,MATCH(ROWS($J$2:J871),$J$2:$J$1001,0),1)&gt;=100000,INDEX($Q$1005:$U$1005,1,MATCH(COLUMNS($Q$1006:Q1006),$Q$1006:$U$1006,0))&gt;=100000), " ",IF(INDEX($Q$2:$U$1001,MATCH(ROWS($J$2:J871),$J$2:$J$1001,0),MATCH(COLUMNS($Q$1006:Q1006),$Q$1006:$U$1006,0)), HYPERLINK("#",""), HYPERLINK(CONCATENATE("#Metadata!", ADDRESS(INDEX($L$2:$L$1001,MATCH(ROWS($J$2:J871),$J$2:$J$1001,0),0), INDEX($Q$1004:$U$1004,1,MATCH(COLUMNS($Q$1006:Q1006),$Q$1006:$U$1006,0)))),"Fix")))</f>
        <v xml:space="preserve"> </v>
      </c>
      <c r="C871" s="3" t="str">
        <f ca="1">IF(OR(INDEX($K$2:$K$1001,MATCH(ROWS($J$2:J871),$J$2:$J$1001,0),1)&gt;=100000,INDEX($Q$1005:$U$1005,1,MATCH(COLUMNS($Q$1006:R1006),$Q$1006:$U$1006,0))&gt;=100000), " ",IF(INDEX($Q$2:$U$1001,MATCH(ROWS($J$2:J871),$J$2:$J$1001,0),MATCH(COLUMNS($Q$1006:R1006),$Q$1006:$U$1006,0)), HYPERLINK("#",""), HYPERLINK(CONCATENATE("#Metadata!", ADDRESS(INDEX($L$2:$L$1001,MATCH(ROWS($J$2:J871),$J$2:$J$1001,0),0), INDEX($Q$1004:$U$1004,1,MATCH(COLUMNS($Q$1006:R1006),$Q$1006:$U$1006,0)))),"Fix")))</f>
        <v xml:space="preserve"> </v>
      </c>
      <c r="D871" s="3" t="str">
        <f ca="1">IF(OR(INDEX($K$2:$K$1001,MATCH(ROWS($J$2:J871),$J$2:$J$1001,0),1)&gt;=100000,INDEX($Q$1005:$U$1005,1,MATCH(COLUMNS($Q$1006:S1006),$Q$1006:$U$1006,0))&gt;=100000), " ",IF(INDEX($Q$2:$U$1001,MATCH(ROWS($J$2:J871),$J$2:$J$1001,0),MATCH(COLUMNS($Q$1006:S1006),$Q$1006:$U$1006,0)), HYPERLINK("#",""), HYPERLINK(CONCATENATE("#Metadata!", ADDRESS(INDEX($L$2:$L$1001,MATCH(ROWS($J$2:J871),$J$2:$J$1001,0),0), INDEX($Q$1004:$U$1004,1,MATCH(COLUMNS($Q$1006:S1006),$Q$1006:$U$1006,0)))),"Fix")))</f>
        <v xml:space="preserve"> </v>
      </c>
      <c r="E871" s="3" t="str">
        <f ca="1">IF(OR(INDEX($K$2:$K$1001,MATCH(ROWS($J$2:J871),$J$2:$J$1001,0),1)&gt;=100000,INDEX($Q$1005:$U$1005,1,MATCH(COLUMNS($Q$1006:T1006),$Q$1006:$U$1006,0))&gt;=100000), " ",IF(INDEX($Q$2:$U$1001,MATCH(ROWS($J$2:J871),$J$2:$J$1001,0),MATCH(COLUMNS($Q$1006:T1006),$Q$1006:$U$1006,0)), HYPERLINK("#",""), HYPERLINK(CONCATENATE("#Metadata!", ADDRESS(INDEX($L$2:$L$1001,MATCH(ROWS($J$2:J871),$J$2:$J$1001,0),0), INDEX($Q$1004:$U$1004,1,MATCH(COLUMNS($Q$1006:T1006),$Q$1006:$U$1006,0)))),"Fix")))</f>
        <v xml:space="preserve"> </v>
      </c>
      <c r="F871" s="3" t="str">
        <f ca="1">IF(OR(INDEX($K$2:$K$1001,MATCH(ROWS($J$2:J871),$J$2:$J$1001,0),1)&gt;=100000,INDEX($Q$1005:$U$1005,1,MATCH(COLUMNS($Q$1006:U1006),$Q$1006:$U$1006,0))&gt;=100000), " ",IF(INDEX($Q$2:$U$1001,MATCH(ROWS($J$2:J871),$J$2:$J$1001,0),MATCH(COLUMNS($Q$1006:U1006),$Q$1006:$U$1006,0)), HYPERLINK("#",""), HYPERLINK(CONCATENATE("#Metadata!", ADDRESS(INDEX($L$2:$L$1001,MATCH(ROWS($J$2:J871),$J$2:$J$1001,0),0), INDEX($Q$1004:$U$1004,1,MATCH(COLUMNS($Q$1006:U1006),$Q$1006:$U$1006,0)))),"Fix")))</f>
        <v xml:space="preserve"> </v>
      </c>
      <c r="J871">
        <f ca="1"/>
        <v>870</v>
      </c>
      <c r="K871">
        <v>100871</v>
      </c>
      <c r="L871">
        <v>871</v>
      </c>
      <c r="M871" t="b">
        <f t="shared" si="13"/>
        <v>1</v>
      </c>
      <c r="N871" t="b">
        <f>COUNTBLANK(Metadata!B871:F871)=COLUMNS(Metadata!B871:F871)</f>
        <v>1</v>
      </c>
      <c r="O871" t="str">
        <v/>
      </c>
      <c r="Q871" t="b">
        <f ca="1"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R871" t="b">
        <f>IF(Metadata!C871="",FALSE,TRUE)</f>
        <v>0</v>
      </c>
      <c r="S871" t="b">
        <f>OR(AND(IF(Metadata!D871="",FALSE,TRUE),EXACT(Metadata!D871,"missing: not collected")),AND(IF(Metadata!D871="",FALSE,TRUE),OR(EXACT(Metadata!D871,"t"),EXACT(Metadata!D871,"f"))))</f>
        <v>0</v>
      </c>
      <c r="T871" t="b">
        <f>AND(IF(Metadata!E871="",FALSE,TRUE),OR(EXACT(Metadata!E871,"a"),EXACT(Metadata!E871,"b")))</f>
        <v>0</v>
      </c>
      <c r="U871" t="b">
        <f>OR(AND(IF(Metadata!F871="",FALSE,TRUE),OR(EXACT(Metadata!F871,"missing: not collected"),EXACT(Metadata!F871,"missing: not provided"))),AND(IF(Metadata!F871="",FALSE,TRUE),OR(EXACT(Metadata!F871,"lo"),EXACT(Metadata!F871,"med"),EXACT(Metadata!F871,"hi"))))</f>
        <v>0</v>
      </c>
    </row>
    <row r="872" spans="1:21" x14ac:dyDescent="0.2">
      <c r="A872" s="4" t="str">
        <f ca="1">IF(B872=" "," ",HYPERLINK(CONCATENATE("#metadata!",ADDRESS(INDEX($L$2:$L$1001,MATCH(ROWS($J$2:J872),$J$2:$J$1001,0),0),1)),INDEX($O$2:$O$1001,MATCH(ROWS($J$2:J872),$J$2:$J$1001,0),0)))</f>
        <v xml:space="preserve"> </v>
      </c>
      <c r="B872" s="3" t="str">
        <f ca="1">IF(OR(INDEX($K$2:$K$1001,MATCH(ROWS($J$2:J872),$J$2:$J$1001,0),1)&gt;=100000,INDEX($Q$1005:$U$1005,1,MATCH(COLUMNS($Q$1006:Q1006),$Q$1006:$U$1006,0))&gt;=100000), " ",IF(INDEX($Q$2:$U$1001,MATCH(ROWS($J$2:J872),$J$2:$J$1001,0),MATCH(COLUMNS($Q$1006:Q1006),$Q$1006:$U$1006,0)), HYPERLINK("#",""), HYPERLINK(CONCATENATE("#Metadata!", ADDRESS(INDEX($L$2:$L$1001,MATCH(ROWS($J$2:J872),$J$2:$J$1001,0),0), INDEX($Q$1004:$U$1004,1,MATCH(COLUMNS($Q$1006:Q1006),$Q$1006:$U$1006,0)))),"Fix")))</f>
        <v xml:space="preserve"> </v>
      </c>
      <c r="C872" s="3" t="str">
        <f ca="1">IF(OR(INDEX($K$2:$K$1001,MATCH(ROWS($J$2:J872),$J$2:$J$1001,0),1)&gt;=100000,INDEX($Q$1005:$U$1005,1,MATCH(COLUMNS($Q$1006:R1006),$Q$1006:$U$1006,0))&gt;=100000), " ",IF(INDEX($Q$2:$U$1001,MATCH(ROWS($J$2:J872),$J$2:$J$1001,0),MATCH(COLUMNS($Q$1006:R1006),$Q$1006:$U$1006,0)), HYPERLINK("#",""), HYPERLINK(CONCATENATE("#Metadata!", ADDRESS(INDEX($L$2:$L$1001,MATCH(ROWS($J$2:J872),$J$2:$J$1001,0),0), INDEX($Q$1004:$U$1004,1,MATCH(COLUMNS($Q$1006:R1006),$Q$1006:$U$1006,0)))),"Fix")))</f>
        <v xml:space="preserve"> </v>
      </c>
      <c r="D872" s="3" t="str">
        <f ca="1">IF(OR(INDEX($K$2:$K$1001,MATCH(ROWS($J$2:J872),$J$2:$J$1001,0),1)&gt;=100000,INDEX($Q$1005:$U$1005,1,MATCH(COLUMNS($Q$1006:S1006),$Q$1006:$U$1006,0))&gt;=100000), " ",IF(INDEX($Q$2:$U$1001,MATCH(ROWS($J$2:J872),$J$2:$J$1001,0),MATCH(COLUMNS($Q$1006:S1006),$Q$1006:$U$1006,0)), HYPERLINK("#",""), HYPERLINK(CONCATENATE("#Metadata!", ADDRESS(INDEX($L$2:$L$1001,MATCH(ROWS($J$2:J872),$J$2:$J$1001,0),0), INDEX($Q$1004:$U$1004,1,MATCH(COLUMNS($Q$1006:S1006),$Q$1006:$U$1006,0)))),"Fix")))</f>
        <v xml:space="preserve"> </v>
      </c>
      <c r="E872" s="3" t="str">
        <f ca="1">IF(OR(INDEX($K$2:$K$1001,MATCH(ROWS($J$2:J872),$J$2:$J$1001,0),1)&gt;=100000,INDEX($Q$1005:$U$1005,1,MATCH(COLUMNS($Q$1006:T1006),$Q$1006:$U$1006,0))&gt;=100000), " ",IF(INDEX($Q$2:$U$1001,MATCH(ROWS($J$2:J872),$J$2:$J$1001,0),MATCH(COLUMNS($Q$1006:T1006),$Q$1006:$U$1006,0)), HYPERLINK("#",""), HYPERLINK(CONCATENATE("#Metadata!", ADDRESS(INDEX($L$2:$L$1001,MATCH(ROWS($J$2:J872),$J$2:$J$1001,0),0), INDEX($Q$1004:$U$1004,1,MATCH(COLUMNS($Q$1006:T1006),$Q$1006:$U$1006,0)))),"Fix")))</f>
        <v xml:space="preserve"> </v>
      </c>
      <c r="F872" s="3" t="str">
        <f ca="1">IF(OR(INDEX($K$2:$K$1001,MATCH(ROWS($J$2:J872),$J$2:$J$1001,0),1)&gt;=100000,INDEX($Q$1005:$U$1005,1,MATCH(COLUMNS($Q$1006:U1006),$Q$1006:$U$1006,0))&gt;=100000), " ",IF(INDEX($Q$2:$U$1001,MATCH(ROWS($J$2:J872),$J$2:$J$1001,0),MATCH(COLUMNS($Q$1006:U1006),$Q$1006:$U$1006,0)), HYPERLINK("#",""), HYPERLINK(CONCATENATE("#Metadata!", ADDRESS(INDEX($L$2:$L$1001,MATCH(ROWS($J$2:J872),$J$2:$J$1001,0),0), INDEX($Q$1004:$U$1004,1,MATCH(COLUMNS($Q$1006:U1006),$Q$1006:$U$1006,0)))),"Fix")))</f>
        <v xml:space="preserve"> </v>
      </c>
      <c r="J872">
        <f ca="1"/>
        <v>871</v>
      </c>
      <c r="K872">
        <v>100872</v>
      </c>
      <c r="L872">
        <v>872</v>
      </c>
      <c r="M872" t="b">
        <f t="shared" si="13"/>
        <v>1</v>
      </c>
      <c r="N872" t="b">
        <f>COUNTBLANK(Metadata!B872:F872)=COLUMNS(Metadata!B872:F872)</f>
        <v>1</v>
      </c>
      <c r="O872" t="str">
        <v/>
      </c>
      <c r="Q872" t="b">
        <f ca="1"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R872" t="b">
        <f>IF(Metadata!C872="",FALSE,TRUE)</f>
        <v>0</v>
      </c>
      <c r="S872" t="b">
        <f>OR(AND(IF(Metadata!D872="",FALSE,TRUE),EXACT(Metadata!D872,"missing: not collected")),AND(IF(Metadata!D872="",FALSE,TRUE),OR(EXACT(Metadata!D872,"t"),EXACT(Metadata!D872,"f"))))</f>
        <v>0</v>
      </c>
      <c r="T872" t="b">
        <f>AND(IF(Metadata!E872="",FALSE,TRUE),OR(EXACT(Metadata!E872,"a"),EXACT(Metadata!E872,"b")))</f>
        <v>0</v>
      </c>
      <c r="U872" t="b">
        <f>OR(AND(IF(Metadata!F872="",FALSE,TRUE),OR(EXACT(Metadata!F872,"missing: not collected"),EXACT(Metadata!F872,"missing: not provided"))),AND(IF(Metadata!F872="",FALSE,TRUE),OR(EXACT(Metadata!F872,"lo"),EXACT(Metadata!F872,"med"),EXACT(Metadata!F872,"hi"))))</f>
        <v>0</v>
      </c>
    </row>
    <row r="873" spans="1:21" x14ac:dyDescent="0.2">
      <c r="A873" s="4" t="str">
        <f ca="1">IF(B873=" "," ",HYPERLINK(CONCATENATE("#metadata!",ADDRESS(INDEX($L$2:$L$1001,MATCH(ROWS($J$2:J873),$J$2:$J$1001,0),0),1)),INDEX($O$2:$O$1001,MATCH(ROWS($J$2:J873),$J$2:$J$1001,0),0)))</f>
        <v xml:space="preserve"> </v>
      </c>
      <c r="B873" s="3" t="str">
        <f ca="1">IF(OR(INDEX($K$2:$K$1001,MATCH(ROWS($J$2:J873),$J$2:$J$1001,0),1)&gt;=100000,INDEX($Q$1005:$U$1005,1,MATCH(COLUMNS($Q$1006:Q1006),$Q$1006:$U$1006,0))&gt;=100000), " ",IF(INDEX($Q$2:$U$1001,MATCH(ROWS($J$2:J873),$J$2:$J$1001,0),MATCH(COLUMNS($Q$1006:Q1006),$Q$1006:$U$1006,0)), HYPERLINK("#",""), HYPERLINK(CONCATENATE("#Metadata!", ADDRESS(INDEX($L$2:$L$1001,MATCH(ROWS($J$2:J873),$J$2:$J$1001,0),0), INDEX($Q$1004:$U$1004,1,MATCH(COLUMNS($Q$1006:Q1006),$Q$1006:$U$1006,0)))),"Fix")))</f>
        <v xml:space="preserve"> </v>
      </c>
      <c r="C873" s="3" t="str">
        <f ca="1">IF(OR(INDEX($K$2:$K$1001,MATCH(ROWS($J$2:J873),$J$2:$J$1001,0),1)&gt;=100000,INDEX($Q$1005:$U$1005,1,MATCH(COLUMNS($Q$1006:R1006),$Q$1006:$U$1006,0))&gt;=100000), " ",IF(INDEX($Q$2:$U$1001,MATCH(ROWS($J$2:J873),$J$2:$J$1001,0),MATCH(COLUMNS($Q$1006:R1006),$Q$1006:$U$1006,0)), HYPERLINK("#",""), HYPERLINK(CONCATENATE("#Metadata!", ADDRESS(INDEX($L$2:$L$1001,MATCH(ROWS($J$2:J873),$J$2:$J$1001,0),0), INDEX($Q$1004:$U$1004,1,MATCH(COLUMNS($Q$1006:R1006),$Q$1006:$U$1006,0)))),"Fix")))</f>
        <v xml:space="preserve"> </v>
      </c>
      <c r="D873" s="3" t="str">
        <f ca="1">IF(OR(INDEX($K$2:$K$1001,MATCH(ROWS($J$2:J873),$J$2:$J$1001,0),1)&gt;=100000,INDEX($Q$1005:$U$1005,1,MATCH(COLUMNS($Q$1006:S1006),$Q$1006:$U$1006,0))&gt;=100000), " ",IF(INDEX($Q$2:$U$1001,MATCH(ROWS($J$2:J873),$J$2:$J$1001,0),MATCH(COLUMNS($Q$1006:S1006),$Q$1006:$U$1006,0)), HYPERLINK("#",""), HYPERLINK(CONCATENATE("#Metadata!", ADDRESS(INDEX($L$2:$L$1001,MATCH(ROWS($J$2:J873),$J$2:$J$1001,0),0), INDEX($Q$1004:$U$1004,1,MATCH(COLUMNS($Q$1006:S1006),$Q$1006:$U$1006,0)))),"Fix")))</f>
        <v xml:space="preserve"> </v>
      </c>
      <c r="E873" s="3" t="str">
        <f ca="1">IF(OR(INDEX($K$2:$K$1001,MATCH(ROWS($J$2:J873),$J$2:$J$1001,0),1)&gt;=100000,INDEX($Q$1005:$U$1005,1,MATCH(COLUMNS($Q$1006:T1006),$Q$1006:$U$1006,0))&gt;=100000), " ",IF(INDEX($Q$2:$U$1001,MATCH(ROWS($J$2:J873),$J$2:$J$1001,0),MATCH(COLUMNS($Q$1006:T1006),$Q$1006:$U$1006,0)), HYPERLINK("#",""), HYPERLINK(CONCATENATE("#Metadata!", ADDRESS(INDEX($L$2:$L$1001,MATCH(ROWS($J$2:J873),$J$2:$J$1001,0),0), INDEX($Q$1004:$U$1004,1,MATCH(COLUMNS($Q$1006:T1006),$Q$1006:$U$1006,0)))),"Fix")))</f>
        <v xml:space="preserve"> </v>
      </c>
      <c r="F873" s="3" t="str">
        <f ca="1">IF(OR(INDEX($K$2:$K$1001,MATCH(ROWS($J$2:J873),$J$2:$J$1001,0),1)&gt;=100000,INDEX($Q$1005:$U$1005,1,MATCH(COLUMNS($Q$1006:U1006),$Q$1006:$U$1006,0))&gt;=100000), " ",IF(INDEX($Q$2:$U$1001,MATCH(ROWS($J$2:J873),$J$2:$J$1001,0),MATCH(COLUMNS($Q$1006:U1006),$Q$1006:$U$1006,0)), HYPERLINK("#",""), HYPERLINK(CONCATENATE("#Metadata!", ADDRESS(INDEX($L$2:$L$1001,MATCH(ROWS($J$2:J873),$J$2:$J$1001,0),0), INDEX($Q$1004:$U$1004,1,MATCH(COLUMNS($Q$1006:U1006),$Q$1006:$U$1006,0)))),"Fix")))</f>
        <v xml:space="preserve"> </v>
      </c>
      <c r="J873">
        <f ca="1"/>
        <v>872</v>
      </c>
      <c r="K873">
        <v>100873</v>
      </c>
      <c r="L873">
        <v>873</v>
      </c>
      <c r="M873" t="b">
        <f t="shared" si="13"/>
        <v>1</v>
      </c>
      <c r="N873" t="b">
        <f>COUNTBLANK(Metadata!B873:F873)=COLUMNS(Metadata!B873:F873)</f>
        <v>1</v>
      </c>
      <c r="O873" t="str">
        <v/>
      </c>
      <c r="Q873" t="b">
        <f ca="1"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R873" t="b">
        <f>IF(Metadata!C873="",FALSE,TRUE)</f>
        <v>0</v>
      </c>
      <c r="S873" t="b">
        <f>OR(AND(IF(Metadata!D873="",FALSE,TRUE),EXACT(Metadata!D873,"missing: not collected")),AND(IF(Metadata!D873="",FALSE,TRUE),OR(EXACT(Metadata!D873,"t"),EXACT(Metadata!D873,"f"))))</f>
        <v>0</v>
      </c>
      <c r="T873" t="b">
        <f>AND(IF(Metadata!E873="",FALSE,TRUE),OR(EXACT(Metadata!E873,"a"),EXACT(Metadata!E873,"b")))</f>
        <v>0</v>
      </c>
      <c r="U873" t="b">
        <f>OR(AND(IF(Metadata!F873="",FALSE,TRUE),OR(EXACT(Metadata!F873,"missing: not collected"),EXACT(Metadata!F873,"missing: not provided"))),AND(IF(Metadata!F873="",FALSE,TRUE),OR(EXACT(Metadata!F873,"lo"),EXACT(Metadata!F873,"med"),EXACT(Metadata!F873,"hi"))))</f>
        <v>0</v>
      </c>
    </row>
    <row r="874" spans="1:21" x14ac:dyDescent="0.2">
      <c r="A874" s="4" t="str">
        <f ca="1">IF(B874=" "," ",HYPERLINK(CONCATENATE("#metadata!",ADDRESS(INDEX($L$2:$L$1001,MATCH(ROWS($J$2:J874),$J$2:$J$1001,0),0),1)),INDEX($O$2:$O$1001,MATCH(ROWS($J$2:J874),$J$2:$J$1001,0),0)))</f>
        <v xml:space="preserve"> </v>
      </c>
      <c r="B874" s="3" t="str">
        <f ca="1">IF(OR(INDEX($K$2:$K$1001,MATCH(ROWS($J$2:J874),$J$2:$J$1001,0),1)&gt;=100000,INDEX($Q$1005:$U$1005,1,MATCH(COLUMNS($Q$1006:Q1006),$Q$1006:$U$1006,0))&gt;=100000), " ",IF(INDEX($Q$2:$U$1001,MATCH(ROWS($J$2:J874),$J$2:$J$1001,0),MATCH(COLUMNS($Q$1006:Q1006),$Q$1006:$U$1006,0)), HYPERLINK("#",""), HYPERLINK(CONCATENATE("#Metadata!", ADDRESS(INDEX($L$2:$L$1001,MATCH(ROWS($J$2:J874),$J$2:$J$1001,0),0), INDEX($Q$1004:$U$1004,1,MATCH(COLUMNS($Q$1006:Q1006),$Q$1006:$U$1006,0)))),"Fix")))</f>
        <v xml:space="preserve"> </v>
      </c>
      <c r="C874" s="3" t="str">
        <f ca="1">IF(OR(INDEX($K$2:$K$1001,MATCH(ROWS($J$2:J874),$J$2:$J$1001,0),1)&gt;=100000,INDEX($Q$1005:$U$1005,1,MATCH(COLUMNS($Q$1006:R1006),$Q$1006:$U$1006,0))&gt;=100000), " ",IF(INDEX($Q$2:$U$1001,MATCH(ROWS($J$2:J874),$J$2:$J$1001,0),MATCH(COLUMNS($Q$1006:R1006),$Q$1006:$U$1006,0)), HYPERLINK("#",""), HYPERLINK(CONCATENATE("#Metadata!", ADDRESS(INDEX($L$2:$L$1001,MATCH(ROWS($J$2:J874),$J$2:$J$1001,0),0), INDEX($Q$1004:$U$1004,1,MATCH(COLUMNS($Q$1006:R1006),$Q$1006:$U$1006,0)))),"Fix")))</f>
        <v xml:space="preserve"> </v>
      </c>
      <c r="D874" s="3" t="str">
        <f ca="1">IF(OR(INDEX($K$2:$K$1001,MATCH(ROWS($J$2:J874),$J$2:$J$1001,0),1)&gt;=100000,INDEX($Q$1005:$U$1005,1,MATCH(COLUMNS($Q$1006:S1006),$Q$1006:$U$1006,0))&gt;=100000), " ",IF(INDEX($Q$2:$U$1001,MATCH(ROWS($J$2:J874),$J$2:$J$1001,0),MATCH(COLUMNS($Q$1006:S1006),$Q$1006:$U$1006,0)), HYPERLINK("#",""), HYPERLINK(CONCATENATE("#Metadata!", ADDRESS(INDEX($L$2:$L$1001,MATCH(ROWS($J$2:J874),$J$2:$J$1001,0),0), INDEX($Q$1004:$U$1004,1,MATCH(COLUMNS($Q$1006:S1006),$Q$1006:$U$1006,0)))),"Fix")))</f>
        <v xml:space="preserve"> </v>
      </c>
      <c r="E874" s="3" t="str">
        <f ca="1">IF(OR(INDEX($K$2:$K$1001,MATCH(ROWS($J$2:J874),$J$2:$J$1001,0),1)&gt;=100000,INDEX($Q$1005:$U$1005,1,MATCH(COLUMNS($Q$1006:T1006),$Q$1006:$U$1006,0))&gt;=100000), " ",IF(INDEX($Q$2:$U$1001,MATCH(ROWS($J$2:J874),$J$2:$J$1001,0),MATCH(COLUMNS($Q$1006:T1006),$Q$1006:$U$1006,0)), HYPERLINK("#",""), HYPERLINK(CONCATENATE("#Metadata!", ADDRESS(INDEX($L$2:$L$1001,MATCH(ROWS($J$2:J874),$J$2:$J$1001,0),0), INDEX($Q$1004:$U$1004,1,MATCH(COLUMNS($Q$1006:T1006),$Q$1006:$U$1006,0)))),"Fix")))</f>
        <v xml:space="preserve"> </v>
      </c>
      <c r="F874" s="3" t="str">
        <f ca="1">IF(OR(INDEX($K$2:$K$1001,MATCH(ROWS($J$2:J874),$J$2:$J$1001,0),1)&gt;=100000,INDEX($Q$1005:$U$1005,1,MATCH(COLUMNS($Q$1006:U1006),$Q$1006:$U$1006,0))&gt;=100000), " ",IF(INDEX($Q$2:$U$1001,MATCH(ROWS($J$2:J874),$J$2:$J$1001,0),MATCH(COLUMNS($Q$1006:U1006),$Q$1006:$U$1006,0)), HYPERLINK("#",""), HYPERLINK(CONCATENATE("#Metadata!", ADDRESS(INDEX($L$2:$L$1001,MATCH(ROWS($J$2:J874),$J$2:$J$1001,0),0), INDEX($Q$1004:$U$1004,1,MATCH(COLUMNS($Q$1006:U1006),$Q$1006:$U$1006,0)))),"Fix")))</f>
        <v xml:space="preserve"> </v>
      </c>
      <c r="J874">
        <f ca="1"/>
        <v>873</v>
      </c>
      <c r="K874">
        <v>100874</v>
      </c>
      <c r="L874">
        <v>874</v>
      </c>
      <c r="M874" t="b">
        <f t="shared" si="13"/>
        <v>1</v>
      </c>
      <c r="N874" t="b">
        <f>COUNTBLANK(Metadata!B874:F874)=COLUMNS(Metadata!B874:F874)</f>
        <v>1</v>
      </c>
      <c r="O874" t="str">
        <v/>
      </c>
      <c r="Q874" t="b">
        <f ca="1"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R874" t="b">
        <f>IF(Metadata!C874="",FALSE,TRUE)</f>
        <v>0</v>
      </c>
      <c r="S874" t="b">
        <f>OR(AND(IF(Metadata!D874="",FALSE,TRUE),EXACT(Metadata!D874,"missing: not collected")),AND(IF(Metadata!D874="",FALSE,TRUE),OR(EXACT(Metadata!D874,"t"),EXACT(Metadata!D874,"f"))))</f>
        <v>0</v>
      </c>
      <c r="T874" t="b">
        <f>AND(IF(Metadata!E874="",FALSE,TRUE),OR(EXACT(Metadata!E874,"a"),EXACT(Metadata!E874,"b")))</f>
        <v>0</v>
      </c>
      <c r="U874" t="b">
        <f>OR(AND(IF(Metadata!F874="",FALSE,TRUE),OR(EXACT(Metadata!F874,"missing: not collected"),EXACT(Metadata!F874,"missing: not provided"))),AND(IF(Metadata!F874="",FALSE,TRUE),OR(EXACT(Metadata!F874,"lo"),EXACT(Metadata!F874,"med"),EXACT(Metadata!F874,"hi"))))</f>
        <v>0</v>
      </c>
    </row>
    <row r="875" spans="1:21" x14ac:dyDescent="0.2">
      <c r="A875" s="4" t="str">
        <f ca="1">IF(B875=" "," ",HYPERLINK(CONCATENATE("#metadata!",ADDRESS(INDEX($L$2:$L$1001,MATCH(ROWS($J$2:J875),$J$2:$J$1001,0),0),1)),INDEX($O$2:$O$1001,MATCH(ROWS($J$2:J875),$J$2:$J$1001,0),0)))</f>
        <v xml:space="preserve"> </v>
      </c>
      <c r="B875" s="3" t="str">
        <f ca="1">IF(OR(INDEX($K$2:$K$1001,MATCH(ROWS($J$2:J875),$J$2:$J$1001,0),1)&gt;=100000,INDEX($Q$1005:$U$1005,1,MATCH(COLUMNS($Q$1006:Q1006),$Q$1006:$U$1006,0))&gt;=100000), " ",IF(INDEX($Q$2:$U$1001,MATCH(ROWS($J$2:J875),$J$2:$J$1001,0),MATCH(COLUMNS($Q$1006:Q1006),$Q$1006:$U$1006,0)), HYPERLINK("#",""), HYPERLINK(CONCATENATE("#Metadata!", ADDRESS(INDEX($L$2:$L$1001,MATCH(ROWS($J$2:J875),$J$2:$J$1001,0),0), INDEX($Q$1004:$U$1004,1,MATCH(COLUMNS($Q$1006:Q1006),$Q$1006:$U$1006,0)))),"Fix")))</f>
        <v xml:space="preserve"> </v>
      </c>
      <c r="C875" s="3" t="str">
        <f ca="1">IF(OR(INDEX($K$2:$K$1001,MATCH(ROWS($J$2:J875),$J$2:$J$1001,0),1)&gt;=100000,INDEX($Q$1005:$U$1005,1,MATCH(COLUMNS($Q$1006:R1006),$Q$1006:$U$1006,0))&gt;=100000), " ",IF(INDEX($Q$2:$U$1001,MATCH(ROWS($J$2:J875),$J$2:$J$1001,0),MATCH(COLUMNS($Q$1006:R1006),$Q$1006:$U$1006,0)), HYPERLINK("#",""), HYPERLINK(CONCATENATE("#Metadata!", ADDRESS(INDEX($L$2:$L$1001,MATCH(ROWS($J$2:J875),$J$2:$J$1001,0),0), INDEX($Q$1004:$U$1004,1,MATCH(COLUMNS($Q$1006:R1006),$Q$1006:$U$1006,0)))),"Fix")))</f>
        <v xml:space="preserve"> </v>
      </c>
      <c r="D875" s="3" t="str">
        <f ca="1">IF(OR(INDEX($K$2:$K$1001,MATCH(ROWS($J$2:J875),$J$2:$J$1001,0),1)&gt;=100000,INDEX($Q$1005:$U$1005,1,MATCH(COLUMNS($Q$1006:S1006),$Q$1006:$U$1006,0))&gt;=100000), " ",IF(INDEX($Q$2:$U$1001,MATCH(ROWS($J$2:J875),$J$2:$J$1001,0),MATCH(COLUMNS($Q$1006:S1006),$Q$1006:$U$1006,0)), HYPERLINK("#",""), HYPERLINK(CONCATENATE("#Metadata!", ADDRESS(INDEX($L$2:$L$1001,MATCH(ROWS($J$2:J875),$J$2:$J$1001,0),0), INDEX($Q$1004:$U$1004,1,MATCH(COLUMNS($Q$1006:S1006),$Q$1006:$U$1006,0)))),"Fix")))</f>
        <v xml:space="preserve"> </v>
      </c>
      <c r="E875" s="3" t="str">
        <f ca="1">IF(OR(INDEX($K$2:$K$1001,MATCH(ROWS($J$2:J875),$J$2:$J$1001,0),1)&gt;=100000,INDEX($Q$1005:$U$1005,1,MATCH(COLUMNS($Q$1006:T1006),$Q$1006:$U$1006,0))&gt;=100000), " ",IF(INDEX($Q$2:$U$1001,MATCH(ROWS($J$2:J875),$J$2:$J$1001,0),MATCH(COLUMNS($Q$1006:T1006),$Q$1006:$U$1006,0)), HYPERLINK("#",""), HYPERLINK(CONCATENATE("#Metadata!", ADDRESS(INDEX($L$2:$L$1001,MATCH(ROWS($J$2:J875),$J$2:$J$1001,0),0), INDEX($Q$1004:$U$1004,1,MATCH(COLUMNS($Q$1006:T1006),$Q$1006:$U$1006,0)))),"Fix")))</f>
        <v xml:space="preserve"> </v>
      </c>
      <c r="F875" s="3" t="str">
        <f ca="1">IF(OR(INDEX($K$2:$K$1001,MATCH(ROWS($J$2:J875),$J$2:$J$1001,0),1)&gt;=100000,INDEX($Q$1005:$U$1005,1,MATCH(COLUMNS($Q$1006:U1006),$Q$1006:$U$1006,0))&gt;=100000), " ",IF(INDEX($Q$2:$U$1001,MATCH(ROWS($J$2:J875),$J$2:$J$1001,0),MATCH(COLUMNS($Q$1006:U1006),$Q$1006:$U$1006,0)), HYPERLINK("#",""), HYPERLINK(CONCATENATE("#Metadata!", ADDRESS(INDEX($L$2:$L$1001,MATCH(ROWS($J$2:J875),$J$2:$J$1001,0),0), INDEX($Q$1004:$U$1004,1,MATCH(COLUMNS($Q$1006:U1006),$Q$1006:$U$1006,0)))),"Fix")))</f>
        <v xml:space="preserve"> </v>
      </c>
      <c r="J875">
        <f ca="1"/>
        <v>874</v>
      </c>
      <c r="K875">
        <v>100875</v>
      </c>
      <c r="L875">
        <v>875</v>
      </c>
      <c r="M875" t="b">
        <f t="shared" si="13"/>
        <v>1</v>
      </c>
      <c r="N875" t="b">
        <f>COUNTBLANK(Metadata!B875:F875)=COLUMNS(Metadata!B875:F875)</f>
        <v>1</v>
      </c>
      <c r="O875" t="str">
        <v/>
      </c>
      <c r="Q875" t="b">
        <f ca="1"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R875" t="b">
        <f>IF(Metadata!C875="",FALSE,TRUE)</f>
        <v>0</v>
      </c>
      <c r="S875" t="b">
        <f>OR(AND(IF(Metadata!D875="",FALSE,TRUE),EXACT(Metadata!D875,"missing: not collected")),AND(IF(Metadata!D875="",FALSE,TRUE),OR(EXACT(Metadata!D875,"t"),EXACT(Metadata!D875,"f"))))</f>
        <v>0</v>
      </c>
      <c r="T875" t="b">
        <f>AND(IF(Metadata!E875="",FALSE,TRUE),OR(EXACT(Metadata!E875,"a"),EXACT(Metadata!E875,"b")))</f>
        <v>0</v>
      </c>
      <c r="U875" t="b">
        <f>OR(AND(IF(Metadata!F875="",FALSE,TRUE),OR(EXACT(Metadata!F875,"missing: not collected"),EXACT(Metadata!F875,"missing: not provided"))),AND(IF(Metadata!F875="",FALSE,TRUE),OR(EXACT(Metadata!F875,"lo"),EXACT(Metadata!F875,"med"),EXACT(Metadata!F875,"hi"))))</f>
        <v>0</v>
      </c>
    </row>
    <row r="876" spans="1:21" x14ac:dyDescent="0.2">
      <c r="A876" s="4" t="str">
        <f ca="1">IF(B876=" "," ",HYPERLINK(CONCATENATE("#metadata!",ADDRESS(INDEX($L$2:$L$1001,MATCH(ROWS($J$2:J876),$J$2:$J$1001,0),0),1)),INDEX($O$2:$O$1001,MATCH(ROWS($J$2:J876),$J$2:$J$1001,0),0)))</f>
        <v xml:space="preserve"> </v>
      </c>
      <c r="B876" s="3" t="str">
        <f ca="1">IF(OR(INDEX($K$2:$K$1001,MATCH(ROWS($J$2:J876),$J$2:$J$1001,0),1)&gt;=100000,INDEX($Q$1005:$U$1005,1,MATCH(COLUMNS($Q$1006:Q1006),$Q$1006:$U$1006,0))&gt;=100000), " ",IF(INDEX($Q$2:$U$1001,MATCH(ROWS($J$2:J876),$J$2:$J$1001,0),MATCH(COLUMNS($Q$1006:Q1006),$Q$1006:$U$1006,0)), HYPERLINK("#",""), HYPERLINK(CONCATENATE("#Metadata!", ADDRESS(INDEX($L$2:$L$1001,MATCH(ROWS($J$2:J876),$J$2:$J$1001,0),0), INDEX($Q$1004:$U$1004,1,MATCH(COLUMNS($Q$1006:Q1006),$Q$1006:$U$1006,0)))),"Fix")))</f>
        <v xml:space="preserve"> </v>
      </c>
      <c r="C876" s="3" t="str">
        <f ca="1">IF(OR(INDEX($K$2:$K$1001,MATCH(ROWS($J$2:J876),$J$2:$J$1001,0),1)&gt;=100000,INDEX($Q$1005:$U$1005,1,MATCH(COLUMNS($Q$1006:R1006),$Q$1006:$U$1006,0))&gt;=100000), " ",IF(INDEX($Q$2:$U$1001,MATCH(ROWS($J$2:J876),$J$2:$J$1001,0),MATCH(COLUMNS($Q$1006:R1006),$Q$1006:$U$1006,0)), HYPERLINK("#",""), HYPERLINK(CONCATENATE("#Metadata!", ADDRESS(INDEX($L$2:$L$1001,MATCH(ROWS($J$2:J876),$J$2:$J$1001,0),0), INDEX($Q$1004:$U$1004,1,MATCH(COLUMNS($Q$1006:R1006),$Q$1006:$U$1006,0)))),"Fix")))</f>
        <v xml:space="preserve"> </v>
      </c>
      <c r="D876" s="3" t="str">
        <f ca="1">IF(OR(INDEX($K$2:$K$1001,MATCH(ROWS($J$2:J876),$J$2:$J$1001,0),1)&gt;=100000,INDEX($Q$1005:$U$1005,1,MATCH(COLUMNS($Q$1006:S1006),$Q$1006:$U$1006,0))&gt;=100000), " ",IF(INDEX($Q$2:$U$1001,MATCH(ROWS($J$2:J876),$J$2:$J$1001,0),MATCH(COLUMNS($Q$1006:S1006),$Q$1006:$U$1006,0)), HYPERLINK("#",""), HYPERLINK(CONCATENATE("#Metadata!", ADDRESS(INDEX($L$2:$L$1001,MATCH(ROWS($J$2:J876),$J$2:$J$1001,0),0), INDEX($Q$1004:$U$1004,1,MATCH(COLUMNS($Q$1006:S1006),$Q$1006:$U$1006,0)))),"Fix")))</f>
        <v xml:space="preserve"> </v>
      </c>
      <c r="E876" s="3" t="str">
        <f ca="1">IF(OR(INDEX($K$2:$K$1001,MATCH(ROWS($J$2:J876),$J$2:$J$1001,0),1)&gt;=100000,INDEX($Q$1005:$U$1005,1,MATCH(COLUMNS($Q$1006:T1006),$Q$1006:$U$1006,0))&gt;=100000), " ",IF(INDEX($Q$2:$U$1001,MATCH(ROWS($J$2:J876),$J$2:$J$1001,0),MATCH(COLUMNS($Q$1006:T1006),$Q$1006:$U$1006,0)), HYPERLINK("#",""), HYPERLINK(CONCATENATE("#Metadata!", ADDRESS(INDEX($L$2:$L$1001,MATCH(ROWS($J$2:J876),$J$2:$J$1001,0),0), INDEX($Q$1004:$U$1004,1,MATCH(COLUMNS($Q$1006:T1006),$Q$1006:$U$1006,0)))),"Fix")))</f>
        <v xml:space="preserve"> </v>
      </c>
      <c r="F876" s="3" t="str">
        <f ca="1">IF(OR(INDEX($K$2:$K$1001,MATCH(ROWS($J$2:J876),$J$2:$J$1001,0),1)&gt;=100000,INDEX($Q$1005:$U$1005,1,MATCH(COLUMNS($Q$1006:U1006),$Q$1006:$U$1006,0))&gt;=100000), " ",IF(INDEX($Q$2:$U$1001,MATCH(ROWS($J$2:J876),$J$2:$J$1001,0),MATCH(COLUMNS($Q$1006:U1006),$Q$1006:$U$1006,0)), HYPERLINK("#",""), HYPERLINK(CONCATENATE("#Metadata!", ADDRESS(INDEX($L$2:$L$1001,MATCH(ROWS($J$2:J876),$J$2:$J$1001,0),0), INDEX($Q$1004:$U$1004,1,MATCH(COLUMNS($Q$1006:U1006),$Q$1006:$U$1006,0)))),"Fix")))</f>
        <v xml:space="preserve"> </v>
      </c>
      <c r="J876">
        <f ca="1"/>
        <v>875</v>
      </c>
      <c r="K876">
        <v>100876</v>
      </c>
      <c r="L876">
        <v>876</v>
      </c>
      <c r="M876" t="b">
        <f t="shared" si="13"/>
        <v>1</v>
      </c>
      <c r="N876" t="b">
        <f>COUNTBLANK(Metadata!B876:F876)=COLUMNS(Metadata!B876:F876)</f>
        <v>1</v>
      </c>
      <c r="O876" t="str">
        <v/>
      </c>
      <c r="Q876" t="b">
        <f ca="1"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R876" t="b">
        <f>IF(Metadata!C876="",FALSE,TRUE)</f>
        <v>0</v>
      </c>
      <c r="S876" t="b">
        <f>OR(AND(IF(Metadata!D876="",FALSE,TRUE),EXACT(Metadata!D876,"missing: not collected")),AND(IF(Metadata!D876="",FALSE,TRUE),OR(EXACT(Metadata!D876,"t"),EXACT(Metadata!D876,"f"))))</f>
        <v>0</v>
      </c>
      <c r="T876" t="b">
        <f>AND(IF(Metadata!E876="",FALSE,TRUE),OR(EXACT(Metadata!E876,"a"),EXACT(Metadata!E876,"b")))</f>
        <v>0</v>
      </c>
      <c r="U876" t="b">
        <f>OR(AND(IF(Metadata!F876="",FALSE,TRUE),OR(EXACT(Metadata!F876,"missing: not collected"),EXACT(Metadata!F876,"missing: not provided"))),AND(IF(Metadata!F876="",FALSE,TRUE),OR(EXACT(Metadata!F876,"lo"),EXACT(Metadata!F876,"med"),EXACT(Metadata!F876,"hi"))))</f>
        <v>0</v>
      </c>
    </row>
    <row r="877" spans="1:21" x14ac:dyDescent="0.2">
      <c r="A877" s="4" t="str">
        <f ca="1">IF(B877=" "," ",HYPERLINK(CONCATENATE("#metadata!",ADDRESS(INDEX($L$2:$L$1001,MATCH(ROWS($J$2:J877),$J$2:$J$1001,0),0),1)),INDEX($O$2:$O$1001,MATCH(ROWS($J$2:J877),$J$2:$J$1001,0),0)))</f>
        <v xml:space="preserve"> </v>
      </c>
      <c r="B877" s="3" t="str">
        <f ca="1">IF(OR(INDEX($K$2:$K$1001,MATCH(ROWS($J$2:J877),$J$2:$J$1001,0),1)&gt;=100000,INDEX($Q$1005:$U$1005,1,MATCH(COLUMNS($Q$1006:Q1006),$Q$1006:$U$1006,0))&gt;=100000), " ",IF(INDEX($Q$2:$U$1001,MATCH(ROWS($J$2:J877),$J$2:$J$1001,0),MATCH(COLUMNS($Q$1006:Q1006),$Q$1006:$U$1006,0)), HYPERLINK("#",""), HYPERLINK(CONCATENATE("#Metadata!", ADDRESS(INDEX($L$2:$L$1001,MATCH(ROWS($J$2:J877),$J$2:$J$1001,0),0), INDEX($Q$1004:$U$1004,1,MATCH(COLUMNS($Q$1006:Q1006),$Q$1006:$U$1006,0)))),"Fix")))</f>
        <v xml:space="preserve"> </v>
      </c>
      <c r="C877" s="3" t="str">
        <f ca="1">IF(OR(INDEX($K$2:$K$1001,MATCH(ROWS($J$2:J877),$J$2:$J$1001,0),1)&gt;=100000,INDEX($Q$1005:$U$1005,1,MATCH(COLUMNS($Q$1006:R1006),$Q$1006:$U$1006,0))&gt;=100000), " ",IF(INDEX($Q$2:$U$1001,MATCH(ROWS($J$2:J877),$J$2:$J$1001,0),MATCH(COLUMNS($Q$1006:R1006),$Q$1006:$U$1006,0)), HYPERLINK("#",""), HYPERLINK(CONCATENATE("#Metadata!", ADDRESS(INDEX($L$2:$L$1001,MATCH(ROWS($J$2:J877),$J$2:$J$1001,0),0), INDEX($Q$1004:$U$1004,1,MATCH(COLUMNS($Q$1006:R1006),$Q$1006:$U$1006,0)))),"Fix")))</f>
        <v xml:space="preserve"> </v>
      </c>
      <c r="D877" s="3" t="str">
        <f ca="1">IF(OR(INDEX($K$2:$K$1001,MATCH(ROWS($J$2:J877),$J$2:$J$1001,0),1)&gt;=100000,INDEX($Q$1005:$U$1005,1,MATCH(COLUMNS($Q$1006:S1006),$Q$1006:$U$1006,0))&gt;=100000), " ",IF(INDEX($Q$2:$U$1001,MATCH(ROWS($J$2:J877),$J$2:$J$1001,0),MATCH(COLUMNS($Q$1006:S1006),$Q$1006:$U$1006,0)), HYPERLINK("#",""), HYPERLINK(CONCATENATE("#Metadata!", ADDRESS(INDEX($L$2:$L$1001,MATCH(ROWS($J$2:J877),$J$2:$J$1001,0),0), INDEX($Q$1004:$U$1004,1,MATCH(COLUMNS($Q$1006:S1006),$Q$1006:$U$1006,0)))),"Fix")))</f>
        <v xml:space="preserve"> </v>
      </c>
      <c r="E877" s="3" t="str">
        <f ca="1">IF(OR(INDEX($K$2:$K$1001,MATCH(ROWS($J$2:J877),$J$2:$J$1001,0),1)&gt;=100000,INDEX($Q$1005:$U$1005,1,MATCH(COLUMNS($Q$1006:T1006),$Q$1006:$U$1006,0))&gt;=100000), " ",IF(INDEX($Q$2:$U$1001,MATCH(ROWS($J$2:J877),$J$2:$J$1001,0),MATCH(COLUMNS($Q$1006:T1006),$Q$1006:$U$1006,0)), HYPERLINK("#",""), HYPERLINK(CONCATENATE("#Metadata!", ADDRESS(INDEX($L$2:$L$1001,MATCH(ROWS($J$2:J877),$J$2:$J$1001,0),0), INDEX($Q$1004:$U$1004,1,MATCH(COLUMNS($Q$1006:T1006),$Q$1006:$U$1006,0)))),"Fix")))</f>
        <v xml:space="preserve"> </v>
      </c>
      <c r="F877" s="3" t="str">
        <f ca="1">IF(OR(INDEX($K$2:$K$1001,MATCH(ROWS($J$2:J877),$J$2:$J$1001,0),1)&gt;=100000,INDEX($Q$1005:$U$1005,1,MATCH(COLUMNS($Q$1006:U1006),$Q$1006:$U$1006,0))&gt;=100000), " ",IF(INDEX($Q$2:$U$1001,MATCH(ROWS($J$2:J877),$J$2:$J$1001,0),MATCH(COLUMNS($Q$1006:U1006),$Q$1006:$U$1006,0)), HYPERLINK("#",""), HYPERLINK(CONCATENATE("#Metadata!", ADDRESS(INDEX($L$2:$L$1001,MATCH(ROWS($J$2:J877),$J$2:$J$1001,0),0), INDEX($Q$1004:$U$1004,1,MATCH(COLUMNS($Q$1006:U1006),$Q$1006:$U$1006,0)))),"Fix")))</f>
        <v xml:space="preserve"> </v>
      </c>
      <c r="J877">
        <f ca="1"/>
        <v>876</v>
      </c>
      <c r="K877">
        <v>100877</v>
      </c>
      <c r="L877">
        <v>877</v>
      </c>
      <c r="M877" t="b">
        <f t="shared" si="13"/>
        <v>1</v>
      </c>
      <c r="N877" t="b">
        <f>COUNTBLANK(Metadata!B877:F877)=COLUMNS(Metadata!B877:F877)</f>
        <v>1</v>
      </c>
      <c r="O877" t="str">
        <v/>
      </c>
      <c r="Q877" t="b">
        <f ca="1"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R877" t="b">
        <f>IF(Metadata!C877="",FALSE,TRUE)</f>
        <v>0</v>
      </c>
      <c r="S877" t="b">
        <f>OR(AND(IF(Metadata!D877="",FALSE,TRUE),EXACT(Metadata!D877,"missing: not collected")),AND(IF(Metadata!D877="",FALSE,TRUE),OR(EXACT(Metadata!D877,"t"),EXACT(Metadata!D877,"f"))))</f>
        <v>0</v>
      </c>
      <c r="T877" t="b">
        <f>AND(IF(Metadata!E877="",FALSE,TRUE),OR(EXACT(Metadata!E877,"a"),EXACT(Metadata!E877,"b")))</f>
        <v>0</v>
      </c>
      <c r="U877" t="b">
        <f>OR(AND(IF(Metadata!F877="",FALSE,TRUE),OR(EXACT(Metadata!F877,"missing: not collected"),EXACT(Metadata!F877,"missing: not provided"))),AND(IF(Metadata!F877="",FALSE,TRUE),OR(EXACT(Metadata!F877,"lo"),EXACT(Metadata!F877,"med"),EXACT(Metadata!F877,"hi"))))</f>
        <v>0</v>
      </c>
    </row>
    <row r="878" spans="1:21" x14ac:dyDescent="0.2">
      <c r="A878" s="4" t="str">
        <f ca="1">IF(B878=" "," ",HYPERLINK(CONCATENATE("#metadata!",ADDRESS(INDEX($L$2:$L$1001,MATCH(ROWS($J$2:J878),$J$2:$J$1001,0),0),1)),INDEX($O$2:$O$1001,MATCH(ROWS($J$2:J878),$J$2:$J$1001,0),0)))</f>
        <v xml:space="preserve"> </v>
      </c>
      <c r="B878" s="3" t="str">
        <f ca="1">IF(OR(INDEX($K$2:$K$1001,MATCH(ROWS($J$2:J878),$J$2:$J$1001,0),1)&gt;=100000,INDEX($Q$1005:$U$1005,1,MATCH(COLUMNS($Q$1006:Q1006),$Q$1006:$U$1006,0))&gt;=100000), " ",IF(INDEX($Q$2:$U$1001,MATCH(ROWS($J$2:J878),$J$2:$J$1001,0),MATCH(COLUMNS($Q$1006:Q1006),$Q$1006:$U$1006,0)), HYPERLINK("#",""), HYPERLINK(CONCATENATE("#Metadata!", ADDRESS(INDEX($L$2:$L$1001,MATCH(ROWS($J$2:J878),$J$2:$J$1001,0),0), INDEX($Q$1004:$U$1004,1,MATCH(COLUMNS($Q$1006:Q1006),$Q$1006:$U$1006,0)))),"Fix")))</f>
        <v xml:space="preserve"> </v>
      </c>
      <c r="C878" s="3" t="str">
        <f ca="1">IF(OR(INDEX($K$2:$K$1001,MATCH(ROWS($J$2:J878),$J$2:$J$1001,0),1)&gt;=100000,INDEX($Q$1005:$U$1005,1,MATCH(COLUMNS($Q$1006:R1006),$Q$1006:$U$1006,0))&gt;=100000), " ",IF(INDEX($Q$2:$U$1001,MATCH(ROWS($J$2:J878),$J$2:$J$1001,0),MATCH(COLUMNS($Q$1006:R1006),$Q$1006:$U$1006,0)), HYPERLINK("#",""), HYPERLINK(CONCATENATE("#Metadata!", ADDRESS(INDEX($L$2:$L$1001,MATCH(ROWS($J$2:J878),$J$2:$J$1001,0),0), INDEX($Q$1004:$U$1004,1,MATCH(COLUMNS($Q$1006:R1006),$Q$1006:$U$1006,0)))),"Fix")))</f>
        <v xml:space="preserve"> </v>
      </c>
      <c r="D878" s="3" t="str">
        <f ca="1">IF(OR(INDEX($K$2:$K$1001,MATCH(ROWS($J$2:J878),$J$2:$J$1001,0),1)&gt;=100000,INDEX($Q$1005:$U$1005,1,MATCH(COLUMNS($Q$1006:S1006),$Q$1006:$U$1006,0))&gt;=100000), " ",IF(INDEX($Q$2:$U$1001,MATCH(ROWS($J$2:J878),$J$2:$J$1001,0),MATCH(COLUMNS($Q$1006:S1006),$Q$1006:$U$1006,0)), HYPERLINK("#",""), HYPERLINK(CONCATENATE("#Metadata!", ADDRESS(INDEX($L$2:$L$1001,MATCH(ROWS($J$2:J878),$J$2:$J$1001,0),0), INDEX($Q$1004:$U$1004,1,MATCH(COLUMNS($Q$1006:S1006),$Q$1006:$U$1006,0)))),"Fix")))</f>
        <v xml:space="preserve"> </v>
      </c>
      <c r="E878" s="3" t="str">
        <f ca="1">IF(OR(INDEX($K$2:$K$1001,MATCH(ROWS($J$2:J878),$J$2:$J$1001,0),1)&gt;=100000,INDEX($Q$1005:$U$1005,1,MATCH(COLUMNS($Q$1006:T1006),$Q$1006:$U$1006,0))&gt;=100000), " ",IF(INDEX($Q$2:$U$1001,MATCH(ROWS($J$2:J878),$J$2:$J$1001,0),MATCH(COLUMNS($Q$1006:T1006),$Q$1006:$U$1006,0)), HYPERLINK("#",""), HYPERLINK(CONCATENATE("#Metadata!", ADDRESS(INDEX($L$2:$L$1001,MATCH(ROWS($J$2:J878),$J$2:$J$1001,0),0), INDEX($Q$1004:$U$1004,1,MATCH(COLUMNS($Q$1006:T1006),$Q$1006:$U$1006,0)))),"Fix")))</f>
        <v xml:space="preserve"> </v>
      </c>
      <c r="F878" s="3" t="str">
        <f ca="1">IF(OR(INDEX($K$2:$K$1001,MATCH(ROWS($J$2:J878),$J$2:$J$1001,0),1)&gt;=100000,INDEX($Q$1005:$U$1005,1,MATCH(COLUMNS($Q$1006:U1006),$Q$1006:$U$1006,0))&gt;=100000), " ",IF(INDEX($Q$2:$U$1001,MATCH(ROWS($J$2:J878),$J$2:$J$1001,0),MATCH(COLUMNS($Q$1006:U1006),$Q$1006:$U$1006,0)), HYPERLINK("#",""), HYPERLINK(CONCATENATE("#Metadata!", ADDRESS(INDEX($L$2:$L$1001,MATCH(ROWS($J$2:J878),$J$2:$J$1001,0),0), INDEX($Q$1004:$U$1004,1,MATCH(COLUMNS($Q$1006:U1006),$Q$1006:$U$1006,0)))),"Fix")))</f>
        <v xml:space="preserve"> </v>
      </c>
      <c r="J878">
        <f ca="1"/>
        <v>877</v>
      </c>
      <c r="K878">
        <v>100878</v>
      </c>
      <c r="L878">
        <v>878</v>
      </c>
      <c r="M878" t="b">
        <f t="shared" si="13"/>
        <v>1</v>
      </c>
      <c r="N878" t="b">
        <f>COUNTBLANK(Metadata!B878:F878)=COLUMNS(Metadata!B878:F878)</f>
        <v>1</v>
      </c>
      <c r="O878" t="str">
        <v/>
      </c>
      <c r="Q878" t="b">
        <f ca="1"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R878" t="b">
        <f>IF(Metadata!C878="",FALSE,TRUE)</f>
        <v>0</v>
      </c>
      <c r="S878" t="b">
        <f>OR(AND(IF(Metadata!D878="",FALSE,TRUE),EXACT(Metadata!D878,"missing: not collected")),AND(IF(Metadata!D878="",FALSE,TRUE),OR(EXACT(Metadata!D878,"t"),EXACT(Metadata!D878,"f"))))</f>
        <v>0</v>
      </c>
      <c r="T878" t="b">
        <f>AND(IF(Metadata!E878="",FALSE,TRUE),OR(EXACT(Metadata!E878,"a"),EXACT(Metadata!E878,"b")))</f>
        <v>0</v>
      </c>
      <c r="U878" t="b">
        <f>OR(AND(IF(Metadata!F878="",FALSE,TRUE),OR(EXACT(Metadata!F878,"missing: not collected"),EXACT(Metadata!F878,"missing: not provided"))),AND(IF(Metadata!F878="",FALSE,TRUE),OR(EXACT(Metadata!F878,"lo"),EXACT(Metadata!F878,"med"),EXACT(Metadata!F878,"hi"))))</f>
        <v>0</v>
      </c>
    </row>
    <row r="879" spans="1:21" x14ac:dyDescent="0.2">
      <c r="A879" s="4" t="str">
        <f ca="1">IF(B879=" "," ",HYPERLINK(CONCATENATE("#metadata!",ADDRESS(INDEX($L$2:$L$1001,MATCH(ROWS($J$2:J879),$J$2:$J$1001,0),0),1)),INDEX($O$2:$O$1001,MATCH(ROWS($J$2:J879),$J$2:$J$1001,0),0)))</f>
        <v xml:space="preserve"> </v>
      </c>
      <c r="B879" s="3" t="str">
        <f ca="1">IF(OR(INDEX($K$2:$K$1001,MATCH(ROWS($J$2:J879),$J$2:$J$1001,0),1)&gt;=100000,INDEX($Q$1005:$U$1005,1,MATCH(COLUMNS($Q$1006:Q1006),$Q$1006:$U$1006,0))&gt;=100000), " ",IF(INDEX($Q$2:$U$1001,MATCH(ROWS($J$2:J879),$J$2:$J$1001,0),MATCH(COLUMNS($Q$1006:Q1006),$Q$1006:$U$1006,0)), HYPERLINK("#",""), HYPERLINK(CONCATENATE("#Metadata!", ADDRESS(INDEX($L$2:$L$1001,MATCH(ROWS($J$2:J879),$J$2:$J$1001,0),0), INDEX($Q$1004:$U$1004,1,MATCH(COLUMNS($Q$1006:Q1006),$Q$1006:$U$1006,0)))),"Fix")))</f>
        <v xml:space="preserve"> </v>
      </c>
      <c r="C879" s="3" t="str">
        <f ca="1">IF(OR(INDEX($K$2:$K$1001,MATCH(ROWS($J$2:J879),$J$2:$J$1001,0),1)&gt;=100000,INDEX($Q$1005:$U$1005,1,MATCH(COLUMNS($Q$1006:R1006),$Q$1006:$U$1006,0))&gt;=100000), " ",IF(INDEX($Q$2:$U$1001,MATCH(ROWS($J$2:J879),$J$2:$J$1001,0),MATCH(COLUMNS($Q$1006:R1006),$Q$1006:$U$1006,0)), HYPERLINK("#",""), HYPERLINK(CONCATENATE("#Metadata!", ADDRESS(INDEX($L$2:$L$1001,MATCH(ROWS($J$2:J879),$J$2:$J$1001,0),0), INDEX($Q$1004:$U$1004,1,MATCH(COLUMNS($Q$1006:R1006),$Q$1006:$U$1006,0)))),"Fix")))</f>
        <v xml:space="preserve"> </v>
      </c>
      <c r="D879" s="3" t="str">
        <f ca="1">IF(OR(INDEX($K$2:$K$1001,MATCH(ROWS($J$2:J879),$J$2:$J$1001,0),1)&gt;=100000,INDEX($Q$1005:$U$1005,1,MATCH(COLUMNS($Q$1006:S1006),$Q$1006:$U$1006,0))&gt;=100000), " ",IF(INDEX($Q$2:$U$1001,MATCH(ROWS($J$2:J879),$J$2:$J$1001,0),MATCH(COLUMNS($Q$1006:S1006),$Q$1006:$U$1006,0)), HYPERLINK("#",""), HYPERLINK(CONCATENATE("#Metadata!", ADDRESS(INDEX($L$2:$L$1001,MATCH(ROWS($J$2:J879),$J$2:$J$1001,0),0), INDEX($Q$1004:$U$1004,1,MATCH(COLUMNS($Q$1006:S1006),$Q$1006:$U$1006,0)))),"Fix")))</f>
        <v xml:space="preserve"> </v>
      </c>
      <c r="E879" s="3" t="str">
        <f ca="1">IF(OR(INDEX($K$2:$K$1001,MATCH(ROWS($J$2:J879),$J$2:$J$1001,0),1)&gt;=100000,INDEX($Q$1005:$U$1005,1,MATCH(COLUMNS($Q$1006:T1006),$Q$1006:$U$1006,0))&gt;=100000), " ",IF(INDEX($Q$2:$U$1001,MATCH(ROWS($J$2:J879),$J$2:$J$1001,0),MATCH(COLUMNS($Q$1006:T1006),$Q$1006:$U$1006,0)), HYPERLINK("#",""), HYPERLINK(CONCATENATE("#Metadata!", ADDRESS(INDEX($L$2:$L$1001,MATCH(ROWS($J$2:J879),$J$2:$J$1001,0),0), INDEX($Q$1004:$U$1004,1,MATCH(COLUMNS($Q$1006:T1006),$Q$1006:$U$1006,0)))),"Fix")))</f>
        <v xml:space="preserve"> </v>
      </c>
      <c r="F879" s="3" t="str">
        <f ca="1">IF(OR(INDEX($K$2:$K$1001,MATCH(ROWS($J$2:J879),$J$2:$J$1001,0),1)&gt;=100000,INDEX($Q$1005:$U$1005,1,MATCH(COLUMNS($Q$1006:U1006),$Q$1006:$U$1006,0))&gt;=100000), " ",IF(INDEX($Q$2:$U$1001,MATCH(ROWS($J$2:J879),$J$2:$J$1001,0),MATCH(COLUMNS($Q$1006:U1006),$Q$1006:$U$1006,0)), HYPERLINK("#",""), HYPERLINK(CONCATENATE("#Metadata!", ADDRESS(INDEX($L$2:$L$1001,MATCH(ROWS($J$2:J879),$J$2:$J$1001,0),0), INDEX($Q$1004:$U$1004,1,MATCH(COLUMNS($Q$1006:U1006),$Q$1006:$U$1006,0)))),"Fix")))</f>
        <v xml:space="preserve"> </v>
      </c>
      <c r="J879">
        <f ca="1"/>
        <v>878</v>
      </c>
      <c r="K879">
        <v>100879</v>
      </c>
      <c r="L879">
        <v>879</v>
      </c>
      <c r="M879" t="b">
        <f t="shared" si="13"/>
        <v>1</v>
      </c>
      <c r="N879" t="b">
        <f>COUNTBLANK(Metadata!B879:F879)=COLUMNS(Metadata!B879:F879)</f>
        <v>1</v>
      </c>
      <c r="O879" t="str">
        <v/>
      </c>
      <c r="Q879" t="b">
        <f ca="1"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R879" t="b">
        <f>IF(Metadata!C879="",FALSE,TRUE)</f>
        <v>0</v>
      </c>
      <c r="S879" t="b">
        <f>OR(AND(IF(Metadata!D879="",FALSE,TRUE),EXACT(Metadata!D879,"missing: not collected")),AND(IF(Metadata!D879="",FALSE,TRUE),OR(EXACT(Metadata!D879,"t"),EXACT(Metadata!D879,"f"))))</f>
        <v>0</v>
      </c>
      <c r="T879" t="b">
        <f>AND(IF(Metadata!E879="",FALSE,TRUE),OR(EXACT(Metadata!E879,"a"),EXACT(Metadata!E879,"b")))</f>
        <v>0</v>
      </c>
      <c r="U879" t="b">
        <f>OR(AND(IF(Metadata!F879="",FALSE,TRUE),OR(EXACT(Metadata!F879,"missing: not collected"),EXACT(Metadata!F879,"missing: not provided"))),AND(IF(Metadata!F879="",FALSE,TRUE),OR(EXACT(Metadata!F879,"lo"),EXACT(Metadata!F879,"med"),EXACT(Metadata!F879,"hi"))))</f>
        <v>0</v>
      </c>
    </row>
    <row r="880" spans="1:21" x14ac:dyDescent="0.2">
      <c r="A880" s="4" t="str">
        <f ca="1">IF(B880=" "," ",HYPERLINK(CONCATENATE("#metadata!",ADDRESS(INDEX($L$2:$L$1001,MATCH(ROWS($J$2:J880),$J$2:$J$1001,0),0),1)),INDEX($O$2:$O$1001,MATCH(ROWS($J$2:J880),$J$2:$J$1001,0),0)))</f>
        <v xml:space="preserve"> </v>
      </c>
      <c r="B880" s="3" t="str">
        <f ca="1">IF(OR(INDEX($K$2:$K$1001,MATCH(ROWS($J$2:J880),$J$2:$J$1001,0),1)&gt;=100000,INDEX($Q$1005:$U$1005,1,MATCH(COLUMNS($Q$1006:Q1006),$Q$1006:$U$1006,0))&gt;=100000), " ",IF(INDEX($Q$2:$U$1001,MATCH(ROWS($J$2:J880),$J$2:$J$1001,0),MATCH(COLUMNS($Q$1006:Q1006),$Q$1006:$U$1006,0)), HYPERLINK("#",""), HYPERLINK(CONCATENATE("#Metadata!", ADDRESS(INDEX($L$2:$L$1001,MATCH(ROWS($J$2:J880),$J$2:$J$1001,0),0), INDEX($Q$1004:$U$1004,1,MATCH(COLUMNS($Q$1006:Q1006),$Q$1006:$U$1006,0)))),"Fix")))</f>
        <v xml:space="preserve"> </v>
      </c>
      <c r="C880" s="3" t="str">
        <f ca="1">IF(OR(INDEX($K$2:$K$1001,MATCH(ROWS($J$2:J880),$J$2:$J$1001,0),1)&gt;=100000,INDEX($Q$1005:$U$1005,1,MATCH(COLUMNS($Q$1006:R1006),$Q$1006:$U$1006,0))&gt;=100000), " ",IF(INDEX($Q$2:$U$1001,MATCH(ROWS($J$2:J880),$J$2:$J$1001,0),MATCH(COLUMNS($Q$1006:R1006),$Q$1006:$U$1006,0)), HYPERLINK("#",""), HYPERLINK(CONCATENATE("#Metadata!", ADDRESS(INDEX($L$2:$L$1001,MATCH(ROWS($J$2:J880),$J$2:$J$1001,0),0), INDEX($Q$1004:$U$1004,1,MATCH(COLUMNS($Q$1006:R1006),$Q$1006:$U$1006,0)))),"Fix")))</f>
        <v xml:space="preserve"> </v>
      </c>
      <c r="D880" s="3" t="str">
        <f ca="1">IF(OR(INDEX($K$2:$K$1001,MATCH(ROWS($J$2:J880),$J$2:$J$1001,0),1)&gt;=100000,INDEX($Q$1005:$U$1005,1,MATCH(COLUMNS($Q$1006:S1006),$Q$1006:$U$1006,0))&gt;=100000), " ",IF(INDEX($Q$2:$U$1001,MATCH(ROWS($J$2:J880),$J$2:$J$1001,0),MATCH(COLUMNS($Q$1006:S1006),$Q$1006:$U$1006,0)), HYPERLINK("#",""), HYPERLINK(CONCATENATE("#Metadata!", ADDRESS(INDEX($L$2:$L$1001,MATCH(ROWS($J$2:J880),$J$2:$J$1001,0),0), INDEX($Q$1004:$U$1004,1,MATCH(COLUMNS($Q$1006:S1006),$Q$1006:$U$1006,0)))),"Fix")))</f>
        <v xml:space="preserve"> </v>
      </c>
      <c r="E880" s="3" t="str">
        <f ca="1">IF(OR(INDEX($K$2:$K$1001,MATCH(ROWS($J$2:J880),$J$2:$J$1001,0),1)&gt;=100000,INDEX($Q$1005:$U$1005,1,MATCH(COLUMNS($Q$1006:T1006),$Q$1006:$U$1006,0))&gt;=100000), " ",IF(INDEX($Q$2:$U$1001,MATCH(ROWS($J$2:J880),$J$2:$J$1001,0),MATCH(COLUMNS($Q$1006:T1006),$Q$1006:$U$1006,0)), HYPERLINK("#",""), HYPERLINK(CONCATENATE("#Metadata!", ADDRESS(INDEX($L$2:$L$1001,MATCH(ROWS($J$2:J880),$J$2:$J$1001,0),0), INDEX($Q$1004:$U$1004,1,MATCH(COLUMNS($Q$1006:T1006),$Q$1006:$U$1006,0)))),"Fix")))</f>
        <v xml:space="preserve"> </v>
      </c>
      <c r="F880" s="3" t="str">
        <f ca="1">IF(OR(INDEX($K$2:$K$1001,MATCH(ROWS($J$2:J880),$J$2:$J$1001,0),1)&gt;=100000,INDEX($Q$1005:$U$1005,1,MATCH(COLUMNS($Q$1006:U1006),$Q$1006:$U$1006,0))&gt;=100000), " ",IF(INDEX($Q$2:$U$1001,MATCH(ROWS($J$2:J880),$J$2:$J$1001,0),MATCH(COLUMNS($Q$1006:U1006),$Q$1006:$U$1006,0)), HYPERLINK("#",""), HYPERLINK(CONCATENATE("#Metadata!", ADDRESS(INDEX($L$2:$L$1001,MATCH(ROWS($J$2:J880),$J$2:$J$1001,0),0), INDEX($Q$1004:$U$1004,1,MATCH(COLUMNS($Q$1006:U1006),$Q$1006:$U$1006,0)))),"Fix")))</f>
        <v xml:space="preserve"> </v>
      </c>
      <c r="J880">
        <f ca="1"/>
        <v>879</v>
      </c>
      <c r="K880">
        <v>100880</v>
      </c>
      <c r="L880">
        <v>880</v>
      </c>
      <c r="M880" t="b">
        <f t="shared" si="13"/>
        <v>1</v>
      </c>
      <c r="N880" t="b">
        <f>COUNTBLANK(Metadata!B880:F880)=COLUMNS(Metadata!B880:F880)</f>
        <v>1</v>
      </c>
      <c r="O880" t="str">
        <v/>
      </c>
      <c r="Q880" t="b">
        <f ca="1"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R880" t="b">
        <f>IF(Metadata!C880="",FALSE,TRUE)</f>
        <v>0</v>
      </c>
      <c r="S880" t="b">
        <f>OR(AND(IF(Metadata!D880="",FALSE,TRUE),EXACT(Metadata!D880,"missing: not collected")),AND(IF(Metadata!D880="",FALSE,TRUE),OR(EXACT(Metadata!D880,"t"),EXACT(Metadata!D880,"f"))))</f>
        <v>0</v>
      </c>
      <c r="T880" t="b">
        <f>AND(IF(Metadata!E880="",FALSE,TRUE),OR(EXACT(Metadata!E880,"a"),EXACT(Metadata!E880,"b")))</f>
        <v>0</v>
      </c>
      <c r="U880" t="b">
        <f>OR(AND(IF(Metadata!F880="",FALSE,TRUE),OR(EXACT(Metadata!F880,"missing: not collected"),EXACT(Metadata!F880,"missing: not provided"))),AND(IF(Metadata!F880="",FALSE,TRUE),OR(EXACT(Metadata!F880,"lo"),EXACT(Metadata!F880,"med"),EXACT(Metadata!F880,"hi"))))</f>
        <v>0</v>
      </c>
    </row>
    <row r="881" spans="1:21" x14ac:dyDescent="0.2">
      <c r="A881" s="4" t="str">
        <f ca="1">IF(B881=" "," ",HYPERLINK(CONCATENATE("#metadata!",ADDRESS(INDEX($L$2:$L$1001,MATCH(ROWS($J$2:J881),$J$2:$J$1001,0),0),1)),INDEX($O$2:$O$1001,MATCH(ROWS($J$2:J881),$J$2:$J$1001,0),0)))</f>
        <v xml:space="preserve"> </v>
      </c>
      <c r="B881" s="3" t="str">
        <f ca="1">IF(OR(INDEX($K$2:$K$1001,MATCH(ROWS($J$2:J881),$J$2:$J$1001,0),1)&gt;=100000,INDEX($Q$1005:$U$1005,1,MATCH(COLUMNS($Q$1006:Q1006),$Q$1006:$U$1006,0))&gt;=100000), " ",IF(INDEX($Q$2:$U$1001,MATCH(ROWS($J$2:J881),$J$2:$J$1001,0),MATCH(COLUMNS($Q$1006:Q1006),$Q$1006:$U$1006,0)), HYPERLINK("#",""), HYPERLINK(CONCATENATE("#Metadata!", ADDRESS(INDEX($L$2:$L$1001,MATCH(ROWS($J$2:J881),$J$2:$J$1001,0),0), INDEX($Q$1004:$U$1004,1,MATCH(COLUMNS($Q$1006:Q1006),$Q$1006:$U$1006,0)))),"Fix")))</f>
        <v xml:space="preserve"> </v>
      </c>
      <c r="C881" s="3" t="str">
        <f ca="1">IF(OR(INDEX($K$2:$K$1001,MATCH(ROWS($J$2:J881),$J$2:$J$1001,0),1)&gt;=100000,INDEX($Q$1005:$U$1005,1,MATCH(COLUMNS($Q$1006:R1006),$Q$1006:$U$1006,0))&gt;=100000), " ",IF(INDEX($Q$2:$U$1001,MATCH(ROWS($J$2:J881),$J$2:$J$1001,0),MATCH(COLUMNS($Q$1006:R1006),$Q$1006:$U$1006,0)), HYPERLINK("#",""), HYPERLINK(CONCATENATE("#Metadata!", ADDRESS(INDEX($L$2:$L$1001,MATCH(ROWS($J$2:J881),$J$2:$J$1001,0),0), INDEX($Q$1004:$U$1004,1,MATCH(COLUMNS($Q$1006:R1006),$Q$1006:$U$1006,0)))),"Fix")))</f>
        <v xml:space="preserve"> </v>
      </c>
      <c r="D881" s="3" t="str">
        <f ca="1">IF(OR(INDEX($K$2:$K$1001,MATCH(ROWS($J$2:J881),$J$2:$J$1001,0),1)&gt;=100000,INDEX($Q$1005:$U$1005,1,MATCH(COLUMNS($Q$1006:S1006),$Q$1006:$U$1006,0))&gt;=100000), " ",IF(INDEX($Q$2:$U$1001,MATCH(ROWS($J$2:J881),$J$2:$J$1001,0),MATCH(COLUMNS($Q$1006:S1006),$Q$1006:$U$1006,0)), HYPERLINK("#",""), HYPERLINK(CONCATENATE("#Metadata!", ADDRESS(INDEX($L$2:$L$1001,MATCH(ROWS($J$2:J881),$J$2:$J$1001,0),0), INDEX($Q$1004:$U$1004,1,MATCH(COLUMNS($Q$1006:S1006),$Q$1006:$U$1006,0)))),"Fix")))</f>
        <v xml:space="preserve"> </v>
      </c>
      <c r="E881" s="3" t="str">
        <f ca="1">IF(OR(INDEX($K$2:$K$1001,MATCH(ROWS($J$2:J881),$J$2:$J$1001,0),1)&gt;=100000,INDEX($Q$1005:$U$1005,1,MATCH(COLUMNS($Q$1006:T1006),$Q$1006:$U$1006,0))&gt;=100000), " ",IF(INDEX($Q$2:$U$1001,MATCH(ROWS($J$2:J881),$J$2:$J$1001,0),MATCH(COLUMNS($Q$1006:T1006),$Q$1006:$U$1006,0)), HYPERLINK("#",""), HYPERLINK(CONCATENATE("#Metadata!", ADDRESS(INDEX($L$2:$L$1001,MATCH(ROWS($J$2:J881),$J$2:$J$1001,0),0), INDEX($Q$1004:$U$1004,1,MATCH(COLUMNS($Q$1006:T1006),$Q$1006:$U$1006,0)))),"Fix")))</f>
        <v xml:space="preserve"> </v>
      </c>
      <c r="F881" s="3" t="str">
        <f ca="1">IF(OR(INDEX($K$2:$K$1001,MATCH(ROWS($J$2:J881),$J$2:$J$1001,0),1)&gt;=100000,INDEX($Q$1005:$U$1005,1,MATCH(COLUMNS($Q$1006:U1006),$Q$1006:$U$1006,0))&gt;=100000), " ",IF(INDEX($Q$2:$U$1001,MATCH(ROWS($J$2:J881),$J$2:$J$1001,0),MATCH(COLUMNS($Q$1006:U1006),$Q$1006:$U$1006,0)), HYPERLINK("#",""), HYPERLINK(CONCATENATE("#Metadata!", ADDRESS(INDEX($L$2:$L$1001,MATCH(ROWS($J$2:J881),$J$2:$J$1001,0),0), INDEX($Q$1004:$U$1004,1,MATCH(COLUMNS($Q$1006:U1006),$Q$1006:$U$1006,0)))),"Fix")))</f>
        <v xml:space="preserve"> </v>
      </c>
      <c r="J881">
        <f ca="1"/>
        <v>880</v>
      </c>
      <c r="K881">
        <v>100881</v>
      </c>
      <c r="L881">
        <v>881</v>
      </c>
      <c r="M881" t="b">
        <f t="shared" si="13"/>
        <v>1</v>
      </c>
      <c r="N881" t="b">
        <f>COUNTBLANK(Metadata!B881:F881)=COLUMNS(Metadata!B881:F881)</f>
        <v>1</v>
      </c>
      <c r="O881" t="str">
        <v/>
      </c>
      <c r="Q881" t="b">
        <f ca="1"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R881" t="b">
        <f>IF(Metadata!C881="",FALSE,TRUE)</f>
        <v>0</v>
      </c>
      <c r="S881" t="b">
        <f>OR(AND(IF(Metadata!D881="",FALSE,TRUE),EXACT(Metadata!D881,"missing: not collected")),AND(IF(Metadata!D881="",FALSE,TRUE),OR(EXACT(Metadata!D881,"t"),EXACT(Metadata!D881,"f"))))</f>
        <v>0</v>
      </c>
      <c r="T881" t="b">
        <f>AND(IF(Metadata!E881="",FALSE,TRUE),OR(EXACT(Metadata!E881,"a"),EXACT(Metadata!E881,"b")))</f>
        <v>0</v>
      </c>
      <c r="U881" t="b">
        <f>OR(AND(IF(Metadata!F881="",FALSE,TRUE),OR(EXACT(Metadata!F881,"missing: not collected"),EXACT(Metadata!F881,"missing: not provided"))),AND(IF(Metadata!F881="",FALSE,TRUE),OR(EXACT(Metadata!F881,"lo"),EXACT(Metadata!F881,"med"),EXACT(Metadata!F881,"hi"))))</f>
        <v>0</v>
      </c>
    </row>
    <row r="882" spans="1:21" x14ac:dyDescent="0.2">
      <c r="A882" s="4" t="str">
        <f ca="1">IF(B882=" "," ",HYPERLINK(CONCATENATE("#metadata!",ADDRESS(INDEX($L$2:$L$1001,MATCH(ROWS($J$2:J882),$J$2:$J$1001,0),0),1)),INDEX($O$2:$O$1001,MATCH(ROWS($J$2:J882),$J$2:$J$1001,0),0)))</f>
        <v xml:space="preserve"> </v>
      </c>
      <c r="B882" s="3" t="str">
        <f ca="1">IF(OR(INDEX($K$2:$K$1001,MATCH(ROWS($J$2:J882),$J$2:$J$1001,0),1)&gt;=100000,INDEX($Q$1005:$U$1005,1,MATCH(COLUMNS($Q$1006:Q1006),$Q$1006:$U$1006,0))&gt;=100000), " ",IF(INDEX($Q$2:$U$1001,MATCH(ROWS($J$2:J882),$J$2:$J$1001,0),MATCH(COLUMNS($Q$1006:Q1006),$Q$1006:$U$1006,0)), HYPERLINK("#",""), HYPERLINK(CONCATENATE("#Metadata!", ADDRESS(INDEX($L$2:$L$1001,MATCH(ROWS($J$2:J882),$J$2:$J$1001,0),0), INDEX($Q$1004:$U$1004,1,MATCH(COLUMNS($Q$1006:Q1006),$Q$1006:$U$1006,0)))),"Fix")))</f>
        <v xml:space="preserve"> </v>
      </c>
      <c r="C882" s="3" t="str">
        <f ca="1">IF(OR(INDEX($K$2:$K$1001,MATCH(ROWS($J$2:J882),$J$2:$J$1001,0),1)&gt;=100000,INDEX($Q$1005:$U$1005,1,MATCH(COLUMNS($Q$1006:R1006),$Q$1006:$U$1006,0))&gt;=100000), " ",IF(INDEX($Q$2:$U$1001,MATCH(ROWS($J$2:J882),$J$2:$J$1001,0),MATCH(COLUMNS($Q$1006:R1006),$Q$1006:$U$1006,0)), HYPERLINK("#",""), HYPERLINK(CONCATENATE("#Metadata!", ADDRESS(INDEX($L$2:$L$1001,MATCH(ROWS($J$2:J882),$J$2:$J$1001,0),0), INDEX($Q$1004:$U$1004,1,MATCH(COLUMNS($Q$1006:R1006),$Q$1006:$U$1006,0)))),"Fix")))</f>
        <v xml:space="preserve"> </v>
      </c>
      <c r="D882" s="3" t="str">
        <f ca="1">IF(OR(INDEX($K$2:$K$1001,MATCH(ROWS($J$2:J882),$J$2:$J$1001,0),1)&gt;=100000,INDEX($Q$1005:$U$1005,1,MATCH(COLUMNS($Q$1006:S1006),$Q$1006:$U$1006,0))&gt;=100000), " ",IF(INDEX($Q$2:$U$1001,MATCH(ROWS($J$2:J882),$J$2:$J$1001,0),MATCH(COLUMNS($Q$1006:S1006),$Q$1006:$U$1006,0)), HYPERLINK("#",""), HYPERLINK(CONCATENATE("#Metadata!", ADDRESS(INDEX($L$2:$L$1001,MATCH(ROWS($J$2:J882),$J$2:$J$1001,0),0), INDEX($Q$1004:$U$1004,1,MATCH(COLUMNS($Q$1006:S1006),$Q$1006:$U$1006,0)))),"Fix")))</f>
        <v xml:space="preserve"> </v>
      </c>
      <c r="E882" s="3" t="str">
        <f ca="1">IF(OR(INDEX($K$2:$K$1001,MATCH(ROWS($J$2:J882),$J$2:$J$1001,0),1)&gt;=100000,INDEX($Q$1005:$U$1005,1,MATCH(COLUMNS($Q$1006:T1006),$Q$1006:$U$1006,0))&gt;=100000), " ",IF(INDEX($Q$2:$U$1001,MATCH(ROWS($J$2:J882),$J$2:$J$1001,0),MATCH(COLUMNS($Q$1006:T1006),$Q$1006:$U$1006,0)), HYPERLINK("#",""), HYPERLINK(CONCATENATE("#Metadata!", ADDRESS(INDEX($L$2:$L$1001,MATCH(ROWS($J$2:J882),$J$2:$J$1001,0),0), INDEX($Q$1004:$U$1004,1,MATCH(COLUMNS($Q$1006:T1006),$Q$1006:$U$1006,0)))),"Fix")))</f>
        <v xml:space="preserve"> </v>
      </c>
      <c r="F882" s="3" t="str">
        <f ca="1">IF(OR(INDEX($K$2:$K$1001,MATCH(ROWS($J$2:J882),$J$2:$J$1001,0),1)&gt;=100000,INDEX($Q$1005:$U$1005,1,MATCH(COLUMNS($Q$1006:U1006),$Q$1006:$U$1006,0))&gt;=100000), " ",IF(INDEX($Q$2:$U$1001,MATCH(ROWS($J$2:J882),$J$2:$J$1001,0),MATCH(COLUMNS($Q$1006:U1006),$Q$1006:$U$1006,0)), HYPERLINK("#",""), HYPERLINK(CONCATENATE("#Metadata!", ADDRESS(INDEX($L$2:$L$1001,MATCH(ROWS($J$2:J882),$J$2:$J$1001,0),0), INDEX($Q$1004:$U$1004,1,MATCH(COLUMNS($Q$1006:U1006),$Q$1006:$U$1006,0)))),"Fix")))</f>
        <v xml:space="preserve"> </v>
      </c>
      <c r="J882">
        <f ca="1"/>
        <v>881</v>
      </c>
      <c r="K882">
        <v>100882</v>
      </c>
      <c r="L882">
        <v>882</v>
      </c>
      <c r="M882" t="b">
        <f t="shared" si="13"/>
        <v>1</v>
      </c>
      <c r="N882" t="b">
        <f>COUNTBLANK(Metadata!B882:F882)=COLUMNS(Metadata!B882:F882)</f>
        <v>1</v>
      </c>
      <c r="O882" t="str">
        <v/>
      </c>
      <c r="Q882" t="b">
        <f ca="1"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R882" t="b">
        <f>IF(Metadata!C882="",FALSE,TRUE)</f>
        <v>0</v>
      </c>
      <c r="S882" t="b">
        <f>OR(AND(IF(Metadata!D882="",FALSE,TRUE),EXACT(Metadata!D882,"missing: not collected")),AND(IF(Metadata!D882="",FALSE,TRUE),OR(EXACT(Metadata!D882,"t"),EXACT(Metadata!D882,"f"))))</f>
        <v>0</v>
      </c>
      <c r="T882" t="b">
        <f>AND(IF(Metadata!E882="",FALSE,TRUE),OR(EXACT(Metadata!E882,"a"),EXACT(Metadata!E882,"b")))</f>
        <v>0</v>
      </c>
      <c r="U882" t="b">
        <f>OR(AND(IF(Metadata!F882="",FALSE,TRUE),OR(EXACT(Metadata!F882,"missing: not collected"),EXACT(Metadata!F882,"missing: not provided"))),AND(IF(Metadata!F882="",FALSE,TRUE),OR(EXACT(Metadata!F882,"lo"),EXACT(Metadata!F882,"med"),EXACT(Metadata!F882,"hi"))))</f>
        <v>0</v>
      </c>
    </row>
    <row r="883" spans="1:21" x14ac:dyDescent="0.2">
      <c r="A883" s="4" t="str">
        <f ca="1">IF(B883=" "," ",HYPERLINK(CONCATENATE("#metadata!",ADDRESS(INDEX($L$2:$L$1001,MATCH(ROWS($J$2:J883),$J$2:$J$1001,0),0),1)),INDEX($O$2:$O$1001,MATCH(ROWS($J$2:J883),$J$2:$J$1001,0),0)))</f>
        <v xml:space="preserve"> </v>
      </c>
      <c r="B883" s="3" t="str">
        <f ca="1">IF(OR(INDEX($K$2:$K$1001,MATCH(ROWS($J$2:J883),$J$2:$J$1001,0),1)&gt;=100000,INDEX($Q$1005:$U$1005,1,MATCH(COLUMNS($Q$1006:Q1006),$Q$1006:$U$1006,0))&gt;=100000), " ",IF(INDEX($Q$2:$U$1001,MATCH(ROWS($J$2:J883),$J$2:$J$1001,0),MATCH(COLUMNS($Q$1006:Q1006),$Q$1006:$U$1006,0)), HYPERLINK("#",""), HYPERLINK(CONCATENATE("#Metadata!", ADDRESS(INDEX($L$2:$L$1001,MATCH(ROWS($J$2:J883),$J$2:$J$1001,0),0), INDEX($Q$1004:$U$1004,1,MATCH(COLUMNS($Q$1006:Q1006),$Q$1006:$U$1006,0)))),"Fix")))</f>
        <v xml:space="preserve"> </v>
      </c>
      <c r="C883" s="3" t="str">
        <f ca="1">IF(OR(INDEX($K$2:$K$1001,MATCH(ROWS($J$2:J883),$J$2:$J$1001,0),1)&gt;=100000,INDEX($Q$1005:$U$1005,1,MATCH(COLUMNS($Q$1006:R1006),$Q$1006:$U$1006,0))&gt;=100000), " ",IF(INDEX($Q$2:$U$1001,MATCH(ROWS($J$2:J883),$J$2:$J$1001,0),MATCH(COLUMNS($Q$1006:R1006),$Q$1006:$U$1006,0)), HYPERLINK("#",""), HYPERLINK(CONCATENATE("#Metadata!", ADDRESS(INDEX($L$2:$L$1001,MATCH(ROWS($J$2:J883),$J$2:$J$1001,0),0), INDEX($Q$1004:$U$1004,1,MATCH(COLUMNS($Q$1006:R1006),$Q$1006:$U$1006,0)))),"Fix")))</f>
        <v xml:space="preserve"> </v>
      </c>
      <c r="D883" s="3" t="str">
        <f ca="1">IF(OR(INDEX($K$2:$K$1001,MATCH(ROWS($J$2:J883),$J$2:$J$1001,0),1)&gt;=100000,INDEX($Q$1005:$U$1005,1,MATCH(COLUMNS($Q$1006:S1006),$Q$1006:$U$1006,0))&gt;=100000), " ",IF(INDEX($Q$2:$U$1001,MATCH(ROWS($J$2:J883),$J$2:$J$1001,0),MATCH(COLUMNS($Q$1006:S1006),$Q$1006:$U$1006,0)), HYPERLINK("#",""), HYPERLINK(CONCATENATE("#Metadata!", ADDRESS(INDEX($L$2:$L$1001,MATCH(ROWS($J$2:J883),$J$2:$J$1001,0),0), INDEX($Q$1004:$U$1004,1,MATCH(COLUMNS($Q$1006:S1006),$Q$1006:$U$1006,0)))),"Fix")))</f>
        <v xml:space="preserve"> </v>
      </c>
      <c r="E883" s="3" t="str">
        <f ca="1">IF(OR(INDEX($K$2:$K$1001,MATCH(ROWS($J$2:J883),$J$2:$J$1001,0),1)&gt;=100000,INDEX($Q$1005:$U$1005,1,MATCH(COLUMNS($Q$1006:T1006),$Q$1006:$U$1006,0))&gt;=100000), " ",IF(INDEX($Q$2:$U$1001,MATCH(ROWS($J$2:J883),$J$2:$J$1001,0),MATCH(COLUMNS($Q$1006:T1006),$Q$1006:$U$1006,0)), HYPERLINK("#",""), HYPERLINK(CONCATENATE("#Metadata!", ADDRESS(INDEX($L$2:$L$1001,MATCH(ROWS($J$2:J883),$J$2:$J$1001,0),0), INDEX($Q$1004:$U$1004,1,MATCH(COLUMNS($Q$1006:T1006),$Q$1006:$U$1006,0)))),"Fix")))</f>
        <v xml:space="preserve"> </v>
      </c>
      <c r="F883" s="3" t="str">
        <f ca="1">IF(OR(INDEX($K$2:$K$1001,MATCH(ROWS($J$2:J883),$J$2:$J$1001,0),1)&gt;=100000,INDEX($Q$1005:$U$1005,1,MATCH(COLUMNS($Q$1006:U1006),$Q$1006:$U$1006,0))&gt;=100000), " ",IF(INDEX($Q$2:$U$1001,MATCH(ROWS($J$2:J883),$J$2:$J$1001,0),MATCH(COLUMNS($Q$1006:U1006),$Q$1006:$U$1006,0)), HYPERLINK("#",""), HYPERLINK(CONCATENATE("#Metadata!", ADDRESS(INDEX($L$2:$L$1001,MATCH(ROWS($J$2:J883),$J$2:$J$1001,0),0), INDEX($Q$1004:$U$1004,1,MATCH(COLUMNS($Q$1006:U1006),$Q$1006:$U$1006,0)))),"Fix")))</f>
        <v xml:space="preserve"> </v>
      </c>
      <c r="J883">
        <f ca="1"/>
        <v>882</v>
      </c>
      <c r="K883">
        <v>100883</v>
      </c>
      <c r="L883">
        <v>883</v>
      </c>
      <c r="M883" t="b">
        <f t="shared" si="13"/>
        <v>1</v>
      </c>
      <c r="N883" t="b">
        <f>COUNTBLANK(Metadata!B883:F883)=COLUMNS(Metadata!B883:F883)</f>
        <v>1</v>
      </c>
      <c r="O883" t="str">
        <v/>
      </c>
      <c r="Q883" t="b">
        <f ca="1"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R883" t="b">
        <f>IF(Metadata!C883="",FALSE,TRUE)</f>
        <v>0</v>
      </c>
      <c r="S883" t="b">
        <f>OR(AND(IF(Metadata!D883="",FALSE,TRUE),EXACT(Metadata!D883,"missing: not collected")),AND(IF(Metadata!D883="",FALSE,TRUE),OR(EXACT(Metadata!D883,"t"),EXACT(Metadata!D883,"f"))))</f>
        <v>0</v>
      </c>
      <c r="T883" t="b">
        <f>AND(IF(Metadata!E883="",FALSE,TRUE),OR(EXACT(Metadata!E883,"a"),EXACT(Metadata!E883,"b")))</f>
        <v>0</v>
      </c>
      <c r="U883" t="b">
        <f>OR(AND(IF(Metadata!F883="",FALSE,TRUE),OR(EXACT(Metadata!F883,"missing: not collected"),EXACT(Metadata!F883,"missing: not provided"))),AND(IF(Metadata!F883="",FALSE,TRUE),OR(EXACT(Metadata!F883,"lo"),EXACT(Metadata!F883,"med"),EXACT(Metadata!F883,"hi"))))</f>
        <v>0</v>
      </c>
    </row>
    <row r="884" spans="1:21" x14ac:dyDescent="0.2">
      <c r="A884" s="4" t="str">
        <f ca="1">IF(B884=" "," ",HYPERLINK(CONCATENATE("#metadata!",ADDRESS(INDEX($L$2:$L$1001,MATCH(ROWS($J$2:J884),$J$2:$J$1001,0),0),1)),INDEX($O$2:$O$1001,MATCH(ROWS($J$2:J884),$J$2:$J$1001,0),0)))</f>
        <v xml:space="preserve"> </v>
      </c>
      <c r="B884" s="3" t="str">
        <f ca="1">IF(OR(INDEX($K$2:$K$1001,MATCH(ROWS($J$2:J884),$J$2:$J$1001,0),1)&gt;=100000,INDEX($Q$1005:$U$1005,1,MATCH(COLUMNS($Q$1006:Q1006),$Q$1006:$U$1006,0))&gt;=100000), " ",IF(INDEX($Q$2:$U$1001,MATCH(ROWS($J$2:J884),$J$2:$J$1001,0),MATCH(COLUMNS($Q$1006:Q1006),$Q$1006:$U$1006,0)), HYPERLINK("#",""), HYPERLINK(CONCATENATE("#Metadata!", ADDRESS(INDEX($L$2:$L$1001,MATCH(ROWS($J$2:J884),$J$2:$J$1001,0),0), INDEX($Q$1004:$U$1004,1,MATCH(COLUMNS($Q$1006:Q1006),$Q$1006:$U$1006,0)))),"Fix")))</f>
        <v xml:space="preserve"> </v>
      </c>
      <c r="C884" s="3" t="str">
        <f ca="1">IF(OR(INDEX($K$2:$K$1001,MATCH(ROWS($J$2:J884),$J$2:$J$1001,0),1)&gt;=100000,INDEX($Q$1005:$U$1005,1,MATCH(COLUMNS($Q$1006:R1006),$Q$1006:$U$1006,0))&gt;=100000), " ",IF(INDEX($Q$2:$U$1001,MATCH(ROWS($J$2:J884),$J$2:$J$1001,0),MATCH(COLUMNS($Q$1006:R1006),$Q$1006:$U$1006,0)), HYPERLINK("#",""), HYPERLINK(CONCATENATE("#Metadata!", ADDRESS(INDEX($L$2:$L$1001,MATCH(ROWS($J$2:J884),$J$2:$J$1001,0),0), INDEX($Q$1004:$U$1004,1,MATCH(COLUMNS($Q$1006:R1006),$Q$1006:$U$1006,0)))),"Fix")))</f>
        <v xml:space="preserve"> </v>
      </c>
      <c r="D884" s="3" t="str">
        <f ca="1">IF(OR(INDEX($K$2:$K$1001,MATCH(ROWS($J$2:J884),$J$2:$J$1001,0),1)&gt;=100000,INDEX($Q$1005:$U$1005,1,MATCH(COLUMNS($Q$1006:S1006),$Q$1006:$U$1006,0))&gt;=100000), " ",IF(INDEX($Q$2:$U$1001,MATCH(ROWS($J$2:J884),$J$2:$J$1001,0),MATCH(COLUMNS($Q$1006:S1006),$Q$1006:$U$1006,0)), HYPERLINK("#",""), HYPERLINK(CONCATENATE("#Metadata!", ADDRESS(INDEX($L$2:$L$1001,MATCH(ROWS($J$2:J884),$J$2:$J$1001,0),0), INDEX($Q$1004:$U$1004,1,MATCH(COLUMNS($Q$1006:S1006),$Q$1006:$U$1006,0)))),"Fix")))</f>
        <v xml:space="preserve"> </v>
      </c>
      <c r="E884" s="3" t="str">
        <f ca="1">IF(OR(INDEX($K$2:$K$1001,MATCH(ROWS($J$2:J884),$J$2:$J$1001,0),1)&gt;=100000,INDEX($Q$1005:$U$1005,1,MATCH(COLUMNS($Q$1006:T1006),$Q$1006:$U$1006,0))&gt;=100000), " ",IF(INDEX($Q$2:$U$1001,MATCH(ROWS($J$2:J884),$J$2:$J$1001,0),MATCH(COLUMNS($Q$1006:T1006),$Q$1006:$U$1006,0)), HYPERLINK("#",""), HYPERLINK(CONCATENATE("#Metadata!", ADDRESS(INDEX($L$2:$L$1001,MATCH(ROWS($J$2:J884),$J$2:$J$1001,0),0), INDEX($Q$1004:$U$1004,1,MATCH(COLUMNS($Q$1006:T1006),$Q$1006:$U$1006,0)))),"Fix")))</f>
        <v xml:space="preserve"> </v>
      </c>
      <c r="F884" s="3" t="str">
        <f ca="1">IF(OR(INDEX($K$2:$K$1001,MATCH(ROWS($J$2:J884),$J$2:$J$1001,0),1)&gt;=100000,INDEX($Q$1005:$U$1005,1,MATCH(COLUMNS($Q$1006:U1006),$Q$1006:$U$1006,0))&gt;=100000), " ",IF(INDEX($Q$2:$U$1001,MATCH(ROWS($J$2:J884),$J$2:$J$1001,0),MATCH(COLUMNS($Q$1006:U1006),$Q$1006:$U$1006,0)), HYPERLINK("#",""), HYPERLINK(CONCATENATE("#Metadata!", ADDRESS(INDEX($L$2:$L$1001,MATCH(ROWS($J$2:J884),$J$2:$J$1001,0),0), INDEX($Q$1004:$U$1004,1,MATCH(COLUMNS($Q$1006:U1006),$Q$1006:$U$1006,0)))),"Fix")))</f>
        <v xml:space="preserve"> </v>
      </c>
      <c r="J884">
        <f ca="1"/>
        <v>883</v>
      </c>
      <c r="K884">
        <v>100884</v>
      </c>
      <c r="L884">
        <v>884</v>
      </c>
      <c r="M884" t="b">
        <f t="shared" si="13"/>
        <v>1</v>
      </c>
      <c r="N884" t="b">
        <f>COUNTBLANK(Metadata!B884:F884)=COLUMNS(Metadata!B884:F884)</f>
        <v>1</v>
      </c>
      <c r="O884" t="str">
        <v/>
      </c>
      <c r="Q884" t="b">
        <f ca="1"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R884" t="b">
        <f>IF(Metadata!C884="",FALSE,TRUE)</f>
        <v>0</v>
      </c>
      <c r="S884" t="b">
        <f>OR(AND(IF(Metadata!D884="",FALSE,TRUE),EXACT(Metadata!D884,"missing: not collected")),AND(IF(Metadata!D884="",FALSE,TRUE),OR(EXACT(Metadata!D884,"t"),EXACT(Metadata!D884,"f"))))</f>
        <v>0</v>
      </c>
      <c r="T884" t="b">
        <f>AND(IF(Metadata!E884="",FALSE,TRUE),OR(EXACT(Metadata!E884,"a"),EXACT(Metadata!E884,"b")))</f>
        <v>0</v>
      </c>
      <c r="U884" t="b">
        <f>OR(AND(IF(Metadata!F884="",FALSE,TRUE),OR(EXACT(Metadata!F884,"missing: not collected"),EXACT(Metadata!F884,"missing: not provided"))),AND(IF(Metadata!F884="",FALSE,TRUE),OR(EXACT(Metadata!F884,"lo"),EXACT(Metadata!F884,"med"),EXACT(Metadata!F884,"hi"))))</f>
        <v>0</v>
      </c>
    </row>
    <row r="885" spans="1:21" x14ac:dyDescent="0.2">
      <c r="A885" s="4" t="str">
        <f ca="1">IF(B885=" "," ",HYPERLINK(CONCATENATE("#metadata!",ADDRESS(INDEX($L$2:$L$1001,MATCH(ROWS($J$2:J885),$J$2:$J$1001,0),0),1)),INDEX($O$2:$O$1001,MATCH(ROWS($J$2:J885),$J$2:$J$1001,0),0)))</f>
        <v xml:space="preserve"> </v>
      </c>
      <c r="B885" s="3" t="str">
        <f ca="1">IF(OR(INDEX($K$2:$K$1001,MATCH(ROWS($J$2:J885),$J$2:$J$1001,0),1)&gt;=100000,INDEX($Q$1005:$U$1005,1,MATCH(COLUMNS($Q$1006:Q1006),$Q$1006:$U$1006,0))&gt;=100000), " ",IF(INDEX($Q$2:$U$1001,MATCH(ROWS($J$2:J885),$J$2:$J$1001,0),MATCH(COLUMNS($Q$1006:Q1006),$Q$1006:$U$1006,0)), HYPERLINK("#",""), HYPERLINK(CONCATENATE("#Metadata!", ADDRESS(INDEX($L$2:$L$1001,MATCH(ROWS($J$2:J885),$J$2:$J$1001,0),0), INDEX($Q$1004:$U$1004,1,MATCH(COLUMNS($Q$1006:Q1006),$Q$1006:$U$1006,0)))),"Fix")))</f>
        <v xml:space="preserve"> </v>
      </c>
      <c r="C885" s="3" t="str">
        <f ca="1">IF(OR(INDEX($K$2:$K$1001,MATCH(ROWS($J$2:J885),$J$2:$J$1001,0),1)&gt;=100000,INDEX($Q$1005:$U$1005,1,MATCH(COLUMNS($Q$1006:R1006),$Q$1006:$U$1006,0))&gt;=100000), " ",IF(INDEX($Q$2:$U$1001,MATCH(ROWS($J$2:J885),$J$2:$J$1001,0),MATCH(COLUMNS($Q$1006:R1006),$Q$1006:$U$1006,0)), HYPERLINK("#",""), HYPERLINK(CONCATENATE("#Metadata!", ADDRESS(INDEX($L$2:$L$1001,MATCH(ROWS($J$2:J885),$J$2:$J$1001,0),0), INDEX($Q$1004:$U$1004,1,MATCH(COLUMNS($Q$1006:R1006),$Q$1006:$U$1006,0)))),"Fix")))</f>
        <v xml:space="preserve"> </v>
      </c>
      <c r="D885" s="3" t="str">
        <f ca="1">IF(OR(INDEX($K$2:$K$1001,MATCH(ROWS($J$2:J885),$J$2:$J$1001,0),1)&gt;=100000,INDEX($Q$1005:$U$1005,1,MATCH(COLUMNS($Q$1006:S1006),$Q$1006:$U$1006,0))&gt;=100000), " ",IF(INDEX($Q$2:$U$1001,MATCH(ROWS($J$2:J885),$J$2:$J$1001,0),MATCH(COLUMNS($Q$1006:S1006),$Q$1006:$U$1006,0)), HYPERLINK("#",""), HYPERLINK(CONCATENATE("#Metadata!", ADDRESS(INDEX($L$2:$L$1001,MATCH(ROWS($J$2:J885),$J$2:$J$1001,0),0), INDEX($Q$1004:$U$1004,1,MATCH(COLUMNS($Q$1006:S1006),$Q$1006:$U$1006,0)))),"Fix")))</f>
        <v xml:space="preserve"> </v>
      </c>
      <c r="E885" s="3" t="str">
        <f ca="1">IF(OR(INDEX($K$2:$K$1001,MATCH(ROWS($J$2:J885),$J$2:$J$1001,0),1)&gt;=100000,INDEX($Q$1005:$U$1005,1,MATCH(COLUMNS($Q$1006:T1006),$Q$1006:$U$1006,0))&gt;=100000), " ",IF(INDEX($Q$2:$U$1001,MATCH(ROWS($J$2:J885),$J$2:$J$1001,0),MATCH(COLUMNS($Q$1006:T1006),$Q$1006:$U$1006,0)), HYPERLINK("#",""), HYPERLINK(CONCATENATE("#Metadata!", ADDRESS(INDEX($L$2:$L$1001,MATCH(ROWS($J$2:J885),$J$2:$J$1001,0),0), INDEX($Q$1004:$U$1004,1,MATCH(COLUMNS($Q$1006:T1006),$Q$1006:$U$1006,0)))),"Fix")))</f>
        <v xml:space="preserve"> </v>
      </c>
      <c r="F885" s="3" t="str">
        <f ca="1">IF(OR(INDEX($K$2:$K$1001,MATCH(ROWS($J$2:J885),$J$2:$J$1001,0),1)&gt;=100000,INDEX($Q$1005:$U$1005,1,MATCH(COLUMNS($Q$1006:U1006),$Q$1006:$U$1006,0))&gt;=100000), " ",IF(INDEX($Q$2:$U$1001,MATCH(ROWS($J$2:J885),$J$2:$J$1001,0),MATCH(COLUMNS($Q$1006:U1006),$Q$1006:$U$1006,0)), HYPERLINK("#",""), HYPERLINK(CONCATENATE("#Metadata!", ADDRESS(INDEX($L$2:$L$1001,MATCH(ROWS($J$2:J885),$J$2:$J$1001,0),0), INDEX($Q$1004:$U$1004,1,MATCH(COLUMNS($Q$1006:U1006),$Q$1006:$U$1006,0)))),"Fix")))</f>
        <v xml:space="preserve"> </v>
      </c>
      <c r="J885">
        <f ca="1"/>
        <v>884</v>
      </c>
      <c r="K885">
        <v>100885</v>
      </c>
      <c r="L885">
        <v>885</v>
      </c>
      <c r="M885" t="b">
        <f t="shared" si="13"/>
        <v>1</v>
      </c>
      <c r="N885" t="b">
        <f>COUNTBLANK(Metadata!B885:F885)=COLUMNS(Metadata!B885:F885)</f>
        <v>1</v>
      </c>
      <c r="O885" t="str">
        <v/>
      </c>
      <c r="Q885" t="b">
        <f ca="1"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R885" t="b">
        <f>IF(Metadata!C885="",FALSE,TRUE)</f>
        <v>0</v>
      </c>
      <c r="S885" t="b">
        <f>OR(AND(IF(Metadata!D885="",FALSE,TRUE),EXACT(Metadata!D885,"missing: not collected")),AND(IF(Metadata!D885="",FALSE,TRUE),OR(EXACT(Metadata!D885,"t"),EXACT(Metadata!D885,"f"))))</f>
        <v>0</v>
      </c>
      <c r="T885" t="b">
        <f>AND(IF(Metadata!E885="",FALSE,TRUE),OR(EXACT(Metadata!E885,"a"),EXACT(Metadata!E885,"b")))</f>
        <v>0</v>
      </c>
      <c r="U885" t="b">
        <f>OR(AND(IF(Metadata!F885="",FALSE,TRUE),OR(EXACT(Metadata!F885,"missing: not collected"),EXACT(Metadata!F885,"missing: not provided"))),AND(IF(Metadata!F885="",FALSE,TRUE),OR(EXACT(Metadata!F885,"lo"),EXACT(Metadata!F885,"med"),EXACT(Metadata!F885,"hi"))))</f>
        <v>0</v>
      </c>
    </row>
    <row r="886" spans="1:21" x14ac:dyDescent="0.2">
      <c r="A886" s="4" t="str">
        <f ca="1">IF(B886=" "," ",HYPERLINK(CONCATENATE("#metadata!",ADDRESS(INDEX($L$2:$L$1001,MATCH(ROWS($J$2:J886),$J$2:$J$1001,0),0),1)),INDEX($O$2:$O$1001,MATCH(ROWS($J$2:J886),$J$2:$J$1001,0),0)))</f>
        <v xml:space="preserve"> </v>
      </c>
      <c r="B886" s="3" t="str">
        <f ca="1">IF(OR(INDEX($K$2:$K$1001,MATCH(ROWS($J$2:J886),$J$2:$J$1001,0),1)&gt;=100000,INDEX($Q$1005:$U$1005,1,MATCH(COLUMNS($Q$1006:Q1006),$Q$1006:$U$1006,0))&gt;=100000), " ",IF(INDEX($Q$2:$U$1001,MATCH(ROWS($J$2:J886),$J$2:$J$1001,0),MATCH(COLUMNS($Q$1006:Q1006),$Q$1006:$U$1006,0)), HYPERLINK("#",""), HYPERLINK(CONCATENATE("#Metadata!", ADDRESS(INDEX($L$2:$L$1001,MATCH(ROWS($J$2:J886),$J$2:$J$1001,0),0), INDEX($Q$1004:$U$1004,1,MATCH(COLUMNS($Q$1006:Q1006),$Q$1006:$U$1006,0)))),"Fix")))</f>
        <v xml:space="preserve"> </v>
      </c>
      <c r="C886" s="3" t="str">
        <f ca="1">IF(OR(INDEX($K$2:$K$1001,MATCH(ROWS($J$2:J886),$J$2:$J$1001,0),1)&gt;=100000,INDEX($Q$1005:$U$1005,1,MATCH(COLUMNS($Q$1006:R1006),$Q$1006:$U$1006,0))&gt;=100000), " ",IF(INDEX($Q$2:$U$1001,MATCH(ROWS($J$2:J886),$J$2:$J$1001,0),MATCH(COLUMNS($Q$1006:R1006),$Q$1006:$U$1006,0)), HYPERLINK("#",""), HYPERLINK(CONCATENATE("#Metadata!", ADDRESS(INDEX($L$2:$L$1001,MATCH(ROWS($J$2:J886),$J$2:$J$1001,0),0), INDEX($Q$1004:$U$1004,1,MATCH(COLUMNS($Q$1006:R1006),$Q$1006:$U$1006,0)))),"Fix")))</f>
        <v xml:space="preserve"> </v>
      </c>
      <c r="D886" s="3" t="str">
        <f ca="1">IF(OR(INDEX($K$2:$K$1001,MATCH(ROWS($J$2:J886),$J$2:$J$1001,0),1)&gt;=100000,INDEX($Q$1005:$U$1005,1,MATCH(COLUMNS($Q$1006:S1006),$Q$1006:$U$1006,0))&gt;=100000), " ",IF(INDEX($Q$2:$U$1001,MATCH(ROWS($J$2:J886),$J$2:$J$1001,0),MATCH(COLUMNS($Q$1006:S1006),$Q$1006:$U$1006,0)), HYPERLINK("#",""), HYPERLINK(CONCATENATE("#Metadata!", ADDRESS(INDEX($L$2:$L$1001,MATCH(ROWS($J$2:J886),$J$2:$J$1001,0),0), INDEX($Q$1004:$U$1004,1,MATCH(COLUMNS($Q$1006:S1006),$Q$1006:$U$1006,0)))),"Fix")))</f>
        <v xml:space="preserve"> </v>
      </c>
      <c r="E886" s="3" t="str">
        <f ca="1">IF(OR(INDEX($K$2:$K$1001,MATCH(ROWS($J$2:J886),$J$2:$J$1001,0),1)&gt;=100000,INDEX($Q$1005:$U$1005,1,MATCH(COLUMNS($Q$1006:T1006),$Q$1006:$U$1006,0))&gt;=100000), " ",IF(INDEX($Q$2:$U$1001,MATCH(ROWS($J$2:J886),$J$2:$J$1001,0),MATCH(COLUMNS($Q$1006:T1006),$Q$1006:$U$1006,0)), HYPERLINK("#",""), HYPERLINK(CONCATENATE("#Metadata!", ADDRESS(INDEX($L$2:$L$1001,MATCH(ROWS($J$2:J886),$J$2:$J$1001,0),0), INDEX($Q$1004:$U$1004,1,MATCH(COLUMNS($Q$1006:T1006),$Q$1006:$U$1006,0)))),"Fix")))</f>
        <v xml:space="preserve"> </v>
      </c>
      <c r="F886" s="3" t="str">
        <f ca="1">IF(OR(INDEX($K$2:$K$1001,MATCH(ROWS($J$2:J886),$J$2:$J$1001,0),1)&gt;=100000,INDEX($Q$1005:$U$1005,1,MATCH(COLUMNS($Q$1006:U1006),$Q$1006:$U$1006,0))&gt;=100000), " ",IF(INDEX($Q$2:$U$1001,MATCH(ROWS($J$2:J886),$J$2:$J$1001,0),MATCH(COLUMNS($Q$1006:U1006),$Q$1006:$U$1006,0)), HYPERLINK("#",""), HYPERLINK(CONCATENATE("#Metadata!", ADDRESS(INDEX($L$2:$L$1001,MATCH(ROWS($J$2:J886),$J$2:$J$1001,0),0), INDEX($Q$1004:$U$1004,1,MATCH(COLUMNS($Q$1006:U1006),$Q$1006:$U$1006,0)))),"Fix")))</f>
        <v xml:space="preserve"> </v>
      </c>
      <c r="J886">
        <f ca="1"/>
        <v>885</v>
      </c>
      <c r="K886">
        <v>100886</v>
      </c>
      <c r="L886">
        <v>886</v>
      </c>
      <c r="M886" t="b">
        <f t="shared" si="13"/>
        <v>1</v>
      </c>
      <c r="N886" t="b">
        <f>COUNTBLANK(Metadata!B886:F886)=COLUMNS(Metadata!B886:F886)</f>
        <v>1</v>
      </c>
      <c r="O886" t="str">
        <v/>
      </c>
      <c r="Q886" t="b">
        <f ca="1"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R886" t="b">
        <f>IF(Metadata!C886="",FALSE,TRUE)</f>
        <v>0</v>
      </c>
      <c r="S886" t="b">
        <f>OR(AND(IF(Metadata!D886="",FALSE,TRUE),EXACT(Metadata!D886,"missing: not collected")),AND(IF(Metadata!D886="",FALSE,TRUE),OR(EXACT(Metadata!D886,"t"),EXACT(Metadata!D886,"f"))))</f>
        <v>0</v>
      </c>
      <c r="T886" t="b">
        <f>AND(IF(Metadata!E886="",FALSE,TRUE),OR(EXACT(Metadata!E886,"a"),EXACT(Metadata!E886,"b")))</f>
        <v>0</v>
      </c>
      <c r="U886" t="b">
        <f>OR(AND(IF(Metadata!F886="",FALSE,TRUE),OR(EXACT(Metadata!F886,"missing: not collected"),EXACT(Metadata!F886,"missing: not provided"))),AND(IF(Metadata!F886="",FALSE,TRUE),OR(EXACT(Metadata!F886,"lo"),EXACT(Metadata!F886,"med"),EXACT(Metadata!F886,"hi"))))</f>
        <v>0</v>
      </c>
    </row>
    <row r="887" spans="1:21" x14ac:dyDescent="0.2">
      <c r="A887" s="4" t="str">
        <f ca="1">IF(B887=" "," ",HYPERLINK(CONCATENATE("#metadata!",ADDRESS(INDEX($L$2:$L$1001,MATCH(ROWS($J$2:J887),$J$2:$J$1001,0),0),1)),INDEX($O$2:$O$1001,MATCH(ROWS($J$2:J887),$J$2:$J$1001,0),0)))</f>
        <v xml:space="preserve"> </v>
      </c>
      <c r="B887" s="3" t="str">
        <f ca="1">IF(OR(INDEX($K$2:$K$1001,MATCH(ROWS($J$2:J887),$J$2:$J$1001,0),1)&gt;=100000,INDEX($Q$1005:$U$1005,1,MATCH(COLUMNS($Q$1006:Q1006),$Q$1006:$U$1006,0))&gt;=100000), " ",IF(INDEX($Q$2:$U$1001,MATCH(ROWS($J$2:J887),$J$2:$J$1001,0),MATCH(COLUMNS($Q$1006:Q1006),$Q$1006:$U$1006,0)), HYPERLINK("#",""), HYPERLINK(CONCATENATE("#Metadata!", ADDRESS(INDEX($L$2:$L$1001,MATCH(ROWS($J$2:J887),$J$2:$J$1001,0),0), INDEX($Q$1004:$U$1004,1,MATCH(COLUMNS($Q$1006:Q1006),$Q$1006:$U$1006,0)))),"Fix")))</f>
        <v xml:space="preserve"> </v>
      </c>
      <c r="C887" s="3" t="str">
        <f ca="1">IF(OR(INDEX($K$2:$K$1001,MATCH(ROWS($J$2:J887),$J$2:$J$1001,0),1)&gt;=100000,INDEX($Q$1005:$U$1005,1,MATCH(COLUMNS($Q$1006:R1006),$Q$1006:$U$1006,0))&gt;=100000), " ",IF(INDEX($Q$2:$U$1001,MATCH(ROWS($J$2:J887),$J$2:$J$1001,0),MATCH(COLUMNS($Q$1006:R1006),$Q$1006:$U$1006,0)), HYPERLINK("#",""), HYPERLINK(CONCATENATE("#Metadata!", ADDRESS(INDEX($L$2:$L$1001,MATCH(ROWS($J$2:J887),$J$2:$J$1001,0),0), INDEX($Q$1004:$U$1004,1,MATCH(COLUMNS($Q$1006:R1006),$Q$1006:$U$1006,0)))),"Fix")))</f>
        <v xml:space="preserve"> </v>
      </c>
      <c r="D887" s="3" t="str">
        <f ca="1">IF(OR(INDEX($K$2:$K$1001,MATCH(ROWS($J$2:J887),$J$2:$J$1001,0),1)&gt;=100000,INDEX($Q$1005:$U$1005,1,MATCH(COLUMNS($Q$1006:S1006),$Q$1006:$U$1006,0))&gt;=100000), " ",IF(INDEX($Q$2:$U$1001,MATCH(ROWS($J$2:J887),$J$2:$J$1001,0),MATCH(COLUMNS($Q$1006:S1006),$Q$1006:$U$1006,0)), HYPERLINK("#",""), HYPERLINK(CONCATENATE("#Metadata!", ADDRESS(INDEX($L$2:$L$1001,MATCH(ROWS($J$2:J887),$J$2:$J$1001,0),0), INDEX($Q$1004:$U$1004,1,MATCH(COLUMNS($Q$1006:S1006),$Q$1006:$U$1006,0)))),"Fix")))</f>
        <v xml:space="preserve"> </v>
      </c>
      <c r="E887" s="3" t="str">
        <f ca="1">IF(OR(INDEX($K$2:$K$1001,MATCH(ROWS($J$2:J887),$J$2:$J$1001,0),1)&gt;=100000,INDEX($Q$1005:$U$1005,1,MATCH(COLUMNS($Q$1006:T1006),$Q$1006:$U$1006,0))&gt;=100000), " ",IF(INDEX($Q$2:$U$1001,MATCH(ROWS($J$2:J887),$J$2:$J$1001,0),MATCH(COLUMNS($Q$1006:T1006),$Q$1006:$U$1006,0)), HYPERLINK("#",""), HYPERLINK(CONCATENATE("#Metadata!", ADDRESS(INDEX($L$2:$L$1001,MATCH(ROWS($J$2:J887),$J$2:$J$1001,0),0), INDEX($Q$1004:$U$1004,1,MATCH(COLUMNS($Q$1006:T1006),$Q$1006:$U$1006,0)))),"Fix")))</f>
        <v xml:space="preserve"> </v>
      </c>
      <c r="F887" s="3" t="str">
        <f ca="1">IF(OR(INDEX($K$2:$K$1001,MATCH(ROWS($J$2:J887),$J$2:$J$1001,0),1)&gt;=100000,INDEX($Q$1005:$U$1005,1,MATCH(COLUMNS($Q$1006:U1006),$Q$1006:$U$1006,0))&gt;=100000), " ",IF(INDEX($Q$2:$U$1001,MATCH(ROWS($J$2:J887),$J$2:$J$1001,0),MATCH(COLUMNS($Q$1006:U1006),$Q$1006:$U$1006,0)), HYPERLINK("#",""), HYPERLINK(CONCATENATE("#Metadata!", ADDRESS(INDEX($L$2:$L$1001,MATCH(ROWS($J$2:J887),$J$2:$J$1001,0),0), INDEX($Q$1004:$U$1004,1,MATCH(COLUMNS($Q$1006:U1006),$Q$1006:$U$1006,0)))),"Fix")))</f>
        <v xml:space="preserve"> </v>
      </c>
      <c r="J887">
        <f ca="1"/>
        <v>886</v>
      </c>
      <c r="K887">
        <v>100887</v>
      </c>
      <c r="L887">
        <v>887</v>
      </c>
      <c r="M887" t="b">
        <f t="shared" si="13"/>
        <v>1</v>
      </c>
      <c r="N887" t="b">
        <f>COUNTBLANK(Metadata!B887:F887)=COLUMNS(Metadata!B887:F887)</f>
        <v>1</v>
      </c>
      <c r="O887" t="str">
        <v/>
      </c>
      <c r="Q887" t="b">
        <f ca="1"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R887" t="b">
        <f>IF(Metadata!C887="",FALSE,TRUE)</f>
        <v>0</v>
      </c>
      <c r="S887" t="b">
        <f>OR(AND(IF(Metadata!D887="",FALSE,TRUE),EXACT(Metadata!D887,"missing: not collected")),AND(IF(Metadata!D887="",FALSE,TRUE),OR(EXACT(Metadata!D887,"t"),EXACT(Metadata!D887,"f"))))</f>
        <v>0</v>
      </c>
      <c r="T887" t="b">
        <f>AND(IF(Metadata!E887="",FALSE,TRUE),OR(EXACT(Metadata!E887,"a"),EXACT(Metadata!E887,"b")))</f>
        <v>0</v>
      </c>
      <c r="U887" t="b">
        <f>OR(AND(IF(Metadata!F887="",FALSE,TRUE),OR(EXACT(Metadata!F887,"missing: not collected"),EXACT(Metadata!F887,"missing: not provided"))),AND(IF(Metadata!F887="",FALSE,TRUE),OR(EXACT(Metadata!F887,"lo"),EXACT(Metadata!F887,"med"),EXACT(Metadata!F887,"hi"))))</f>
        <v>0</v>
      </c>
    </row>
    <row r="888" spans="1:21" x14ac:dyDescent="0.2">
      <c r="A888" s="4" t="str">
        <f ca="1">IF(B888=" "," ",HYPERLINK(CONCATENATE("#metadata!",ADDRESS(INDEX($L$2:$L$1001,MATCH(ROWS($J$2:J888),$J$2:$J$1001,0),0),1)),INDEX($O$2:$O$1001,MATCH(ROWS($J$2:J888),$J$2:$J$1001,0),0)))</f>
        <v xml:space="preserve"> </v>
      </c>
      <c r="B888" s="3" t="str">
        <f ca="1">IF(OR(INDEX($K$2:$K$1001,MATCH(ROWS($J$2:J888),$J$2:$J$1001,0),1)&gt;=100000,INDEX($Q$1005:$U$1005,1,MATCH(COLUMNS($Q$1006:Q1006),$Q$1006:$U$1006,0))&gt;=100000), " ",IF(INDEX($Q$2:$U$1001,MATCH(ROWS($J$2:J888),$J$2:$J$1001,0),MATCH(COLUMNS($Q$1006:Q1006),$Q$1006:$U$1006,0)), HYPERLINK("#",""), HYPERLINK(CONCATENATE("#Metadata!", ADDRESS(INDEX($L$2:$L$1001,MATCH(ROWS($J$2:J888),$J$2:$J$1001,0),0), INDEX($Q$1004:$U$1004,1,MATCH(COLUMNS($Q$1006:Q1006),$Q$1006:$U$1006,0)))),"Fix")))</f>
        <v xml:space="preserve"> </v>
      </c>
      <c r="C888" s="3" t="str">
        <f ca="1">IF(OR(INDEX($K$2:$K$1001,MATCH(ROWS($J$2:J888),$J$2:$J$1001,0),1)&gt;=100000,INDEX($Q$1005:$U$1005,1,MATCH(COLUMNS($Q$1006:R1006),$Q$1006:$U$1006,0))&gt;=100000), " ",IF(INDEX($Q$2:$U$1001,MATCH(ROWS($J$2:J888),$J$2:$J$1001,0),MATCH(COLUMNS($Q$1006:R1006),$Q$1006:$U$1006,0)), HYPERLINK("#",""), HYPERLINK(CONCATENATE("#Metadata!", ADDRESS(INDEX($L$2:$L$1001,MATCH(ROWS($J$2:J888),$J$2:$J$1001,0),0), INDEX($Q$1004:$U$1004,1,MATCH(COLUMNS($Q$1006:R1006),$Q$1006:$U$1006,0)))),"Fix")))</f>
        <v xml:space="preserve"> </v>
      </c>
      <c r="D888" s="3" t="str">
        <f ca="1">IF(OR(INDEX($K$2:$K$1001,MATCH(ROWS($J$2:J888),$J$2:$J$1001,0),1)&gt;=100000,INDEX($Q$1005:$U$1005,1,MATCH(COLUMNS($Q$1006:S1006),$Q$1006:$U$1006,0))&gt;=100000), " ",IF(INDEX($Q$2:$U$1001,MATCH(ROWS($J$2:J888),$J$2:$J$1001,0),MATCH(COLUMNS($Q$1006:S1006),$Q$1006:$U$1006,0)), HYPERLINK("#",""), HYPERLINK(CONCATENATE("#Metadata!", ADDRESS(INDEX($L$2:$L$1001,MATCH(ROWS($J$2:J888),$J$2:$J$1001,0),0), INDEX($Q$1004:$U$1004,1,MATCH(COLUMNS($Q$1006:S1006),$Q$1006:$U$1006,0)))),"Fix")))</f>
        <v xml:space="preserve"> </v>
      </c>
      <c r="E888" s="3" t="str">
        <f ca="1">IF(OR(INDEX($K$2:$K$1001,MATCH(ROWS($J$2:J888),$J$2:$J$1001,0),1)&gt;=100000,INDEX($Q$1005:$U$1005,1,MATCH(COLUMNS($Q$1006:T1006),$Q$1006:$U$1006,0))&gt;=100000), " ",IF(INDEX($Q$2:$U$1001,MATCH(ROWS($J$2:J888),$J$2:$J$1001,0),MATCH(COLUMNS($Q$1006:T1006),$Q$1006:$U$1006,0)), HYPERLINK("#",""), HYPERLINK(CONCATENATE("#Metadata!", ADDRESS(INDEX($L$2:$L$1001,MATCH(ROWS($J$2:J888),$J$2:$J$1001,0),0), INDEX($Q$1004:$U$1004,1,MATCH(COLUMNS($Q$1006:T1006),$Q$1006:$U$1006,0)))),"Fix")))</f>
        <v xml:space="preserve"> </v>
      </c>
      <c r="F888" s="3" t="str">
        <f ca="1">IF(OR(INDEX($K$2:$K$1001,MATCH(ROWS($J$2:J888),$J$2:$J$1001,0),1)&gt;=100000,INDEX($Q$1005:$U$1005,1,MATCH(COLUMNS($Q$1006:U1006),$Q$1006:$U$1006,0))&gt;=100000), " ",IF(INDEX($Q$2:$U$1001,MATCH(ROWS($J$2:J888),$J$2:$J$1001,0),MATCH(COLUMNS($Q$1006:U1006),$Q$1006:$U$1006,0)), HYPERLINK("#",""), HYPERLINK(CONCATENATE("#Metadata!", ADDRESS(INDEX($L$2:$L$1001,MATCH(ROWS($J$2:J888),$J$2:$J$1001,0),0), INDEX($Q$1004:$U$1004,1,MATCH(COLUMNS($Q$1006:U1006),$Q$1006:$U$1006,0)))),"Fix")))</f>
        <v xml:space="preserve"> </v>
      </c>
      <c r="J888">
        <f ca="1"/>
        <v>887</v>
      </c>
      <c r="K888">
        <v>100888</v>
      </c>
      <c r="L888">
        <v>888</v>
      </c>
      <c r="M888" t="b">
        <f t="shared" si="13"/>
        <v>1</v>
      </c>
      <c r="N888" t="b">
        <f>COUNTBLANK(Metadata!B888:F888)=COLUMNS(Metadata!B888:F888)</f>
        <v>1</v>
      </c>
      <c r="O888" t="str">
        <v/>
      </c>
      <c r="Q888" t="b">
        <f ca="1"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R888" t="b">
        <f>IF(Metadata!C888="",FALSE,TRUE)</f>
        <v>0</v>
      </c>
      <c r="S888" t="b">
        <f>OR(AND(IF(Metadata!D888="",FALSE,TRUE),EXACT(Metadata!D888,"missing: not collected")),AND(IF(Metadata!D888="",FALSE,TRUE),OR(EXACT(Metadata!D888,"t"),EXACT(Metadata!D888,"f"))))</f>
        <v>0</v>
      </c>
      <c r="T888" t="b">
        <f>AND(IF(Metadata!E888="",FALSE,TRUE),OR(EXACT(Metadata!E888,"a"),EXACT(Metadata!E888,"b")))</f>
        <v>0</v>
      </c>
      <c r="U888" t="b">
        <f>OR(AND(IF(Metadata!F888="",FALSE,TRUE),OR(EXACT(Metadata!F888,"missing: not collected"),EXACT(Metadata!F888,"missing: not provided"))),AND(IF(Metadata!F888="",FALSE,TRUE),OR(EXACT(Metadata!F888,"lo"),EXACT(Metadata!F888,"med"),EXACT(Metadata!F888,"hi"))))</f>
        <v>0</v>
      </c>
    </row>
    <row r="889" spans="1:21" x14ac:dyDescent="0.2">
      <c r="A889" s="4" t="str">
        <f ca="1">IF(B889=" "," ",HYPERLINK(CONCATENATE("#metadata!",ADDRESS(INDEX($L$2:$L$1001,MATCH(ROWS($J$2:J889),$J$2:$J$1001,0),0),1)),INDEX($O$2:$O$1001,MATCH(ROWS($J$2:J889),$J$2:$J$1001,0),0)))</f>
        <v xml:space="preserve"> </v>
      </c>
      <c r="B889" s="3" t="str">
        <f ca="1">IF(OR(INDEX($K$2:$K$1001,MATCH(ROWS($J$2:J889),$J$2:$J$1001,0),1)&gt;=100000,INDEX($Q$1005:$U$1005,1,MATCH(COLUMNS($Q$1006:Q1006),$Q$1006:$U$1006,0))&gt;=100000), " ",IF(INDEX($Q$2:$U$1001,MATCH(ROWS($J$2:J889),$J$2:$J$1001,0),MATCH(COLUMNS($Q$1006:Q1006),$Q$1006:$U$1006,0)), HYPERLINK("#",""), HYPERLINK(CONCATENATE("#Metadata!", ADDRESS(INDEX($L$2:$L$1001,MATCH(ROWS($J$2:J889),$J$2:$J$1001,0),0), INDEX($Q$1004:$U$1004,1,MATCH(COLUMNS($Q$1006:Q1006),$Q$1006:$U$1006,0)))),"Fix")))</f>
        <v xml:space="preserve"> </v>
      </c>
      <c r="C889" s="3" t="str">
        <f ca="1">IF(OR(INDEX($K$2:$K$1001,MATCH(ROWS($J$2:J889),$J$2:$J$1001,0),1)&gt;=100000,INDEX($Q$1005:$U$1005,1,MATCH(COLUMNS($Q$1006:R1006),$Q$1006:$U$1006,0))&gt;=100000), " ",IF(INDEX($Q$2:$U$1001,MATCH(ROWS($J$2:J889),$J$2:$J$1001,0),MATCH(COLUMNS($Q$1006:R1006),$Q$1006:$U$1006,0)), HYPERLINK("#",""), HYPERLINK(CONCATENATE("#Metadata!", ADDRESS(INDEX($L$2:$L$1001,MATCH(ROWS($J$2:J889),$J$2:$J$1001,0),0), INDEX($Q$1004:$U$1004,1,MATCH(COLUMNS($Q$1006:R1006),$Q$1006:$U$1006,0)))),"Fix")))</f>
        <v xml:space="preserve"> </v>
      </c>
      <c r="D889" s="3" t="str">
        <f ca="1">IF(OR(INDEX($K$2:$K$1001,MATCH(ROWS($J$2:J889),$J$2:$J$1001,0),1)&gt;=100000,INDEX($Q$1005:$U$1005,1,MATCH(COLUMNS($Q$1006:S1006),$Q$1006:$U$1006,0))&gt;=100000), " ",IF(INDEX($Q$2:$U$1001,MATCH(ROWS($J$2:J889),$J$2:$J$1001,0),MATCH(COLUMNS($Q$1006:S1006),$Q$1006:$U$1006,0)), HYPERLINK("#",""), HYPERLINK(CONCATENATE("#Metadata!", ADDRESS(INDEX($L$2:$L$1001,MATCH(ROWS($J$2:J889),$J$2:$J$1001,0),0), INDEX($Q$1004:$U$1004,1,MATCH(COLUMNS($Q$1006:S1006),$Q$1006:$U$1006,0)))),"Fix")))</f>
        <v xml:space="preserve"> </v>
      </c>
      <c r="E889" s="3" t="str">
        <f ca="1">IF(OR(INDEX($K$2:$K$1001,MATCH(ROWS($J$2:J889),$J$2:$J$1001,0),1)&gt;=100000,INDEX($Q$1005:$U$1005,1,MATCH(COLUMNS($Q$1006:T1006),$Q$1006:$U$1006,0))&gt;=100000), " ",IF(INDEX($Q$2:$U$1001,MATCH(ROWS($J$2:J889),$J$2:$J$1001,0),MATCH(COLUMNS($Q$1006:T1006),$Q$1006:$U$1006,0)), HYPERLINK("#",""), HYPERLINK(CONCATENATE("#Metadata!", ADDRESS(INDEX($L$2:$L$1001,MATCH(ROWS($J$2:J889),$J$2:$J$1001,0),0), INDEX($Q$1004:$U$1004,1,MATCH(COLUMNS($Q$1006:T1006),$Q$1006:$U$1006,0)))),"Fix")))</f>
        <v xml:space="preserve"> </v>
      </c>
      <c r="F889" s="3" t="str">
        <f ca="1">IF(OR(INDEX($K$2:$K$1001,MATCH(ROWS($J$2:J889),$J$2:$J$1001,0),1)&gt;=100000,INDEX($Q$1005:$U$1005,1,MATCH(COLUMNS($Q$1006:U1006),$Q$1006:$U$1006,0))&gt;=100000), " ",IF(INDEX($Q$2:$U$1001,MATCH(ROWS($J$2:J889),$J$2:$J$1001,0),MATCH(COLUMNS($Q$1006:U1006),$Q$1006:$U$1006,0)), HYPERLINK("#",""), HYPERLINK(CONCATENATE("#Metadata!", ADDRESS(INDEX($L$2:$L$1001,MATCH(ROWS($J$2:J889),$J$2:$J$1001,0),0), INDEX($Q$1004:$U$1004,1,MATCH(COLUMNS($Q$1006:U1006),$Q$1006:$U$1006,0)))),"Fix")))</f>
        <v xml:space="preserve"> </v>
      </c>
      <c r="J889">
        <f ca="1"/>
        <v>888</v>
      </c>
      <c r="K889">
        <v>100889</v>
      </c>
      <c r="L889">
        <v>889</v>
      </c>
      <c r="M889" t="b">
        <f t="shared" si="13"/>
        <v>1</v>
      </c>
      <c r="N889" t="b">
        <f>COUNTBLANK(Metadata!B889:F889)=COLUMNS(Metadata!B889:F889)</f>
        <v>1</v>
      </c>
      <c r="O889" t="str">
        <v/>
      </c>
      <c r="Q889" t="b">
        <f ca="1"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R889" t="b">
        <f>IF(Metadata!C889="",FALSE,TRUE)</f>
        <v>0</v>
      </c>
      <c r="S889" t="b">
        <f>OR(AND(IF(Metadata!D889="",FALSE,TRUE),EXACT(Metadata!D889,"missing: not collected")),AND(IF(Metadata!D889="",FALSE,TRUE),OR(EXACT(Metadata!D889,"t"),EXACT(Metadata!D889,"f"))))</f>
        <v>0</v>
      </c>
      <c r="T889" t="b">
        <f>AND(IF(Metadata!E889="",FALSE,TRUE),OR(EXACT(Metadata!E889,"a"),EXACT(Metadata!E889,"b")))</f>
        <v>0</v>
      </c>
      <c r="U889" t="b">
        <f>OR(AND(IF(Metadata!F889="",FALSE,TRUE),OR(EXACT(Metadata!F889,"missing: not collected"),EXACT(Metadata!F889,"missing: not provided"))),AND(IF(Metadata!F889="",FALSE,TRUE),OR(EXACT(Metadata!F889,"lo"),EXACT(Metadata!F889,"med"),EXACT(Metadata!F889,"hi"))))</f>
        <v>0</v>
      </c>
    </row>
    <row r="890" spans="1:21" x14ac:dyDescent="0.2">
      <c r="A890" s="4" t="str">
        <f ca="1">IF(B890=" "," ",HYPERLINK(CONCATENATE("#metadata!",ADDRESS(INDEX($L$2:$L$1001,MATCH(ROWS($J$2:J890),$J$2:$J$1001,0),0),1)),INDEX($O$2:$O$1001,MATCH(ROWS($J$2:J890),$J$2:$J$1001,0),0)))</f>
        <v xml:space="preserve"> </v>
      </c>
      <c r="B890" s="3" t="str">
        <f ca="1">IF(OR(INDEX($K$2:$K$1001,MATCH(ROWS($J$2:J890),$J$2:$J$1001,0),1)&gt;=100000,INDEX($Q$1005:$U$1005,1,MATCH(COLUMNS($Q$1006:Q1006),$Q$1006:$U$1006,0))&gt;=100000), " ",IF(INDEX($Q$2:$U$1001,MATCH(ROWS($J$2:J890),$J$2:$J$1001,0),MATCH(COLUMNS($Q$1006:Q1006),$Q$1006:$U$1006,0)), HYPERLINK("#",""), HYPERLINK(CONCATENATE("#Metadata!", ADDRESS(INDEX($L$2:$L$1001,MATCH(ROWS($J$2:J890),$J$2:$J$1001,0),0), INDEX($Q$1004:$U$1004,1,MATCH(COLUMNS($Q$1006:Q1006),$Q$1006:$U$1006,0)))),"Fix")))</f>
        <v xml:space="preserve"> </v>
      </c>
      <c r="C890" s="3" t="str">
        <f ca="1">IF(OR(INDEX($K$2:$K$1001,MATCH(ROWS($J$2:J890),$J$2:$J$1001,0),1)&gt;=100000,INDEX($Q$1005:$U$1005,1,MATCH(COLUMNS($Q$1006:R1006),$Q$1006:$U$1006,0))&gt;=100000), " ",IF(INDEX($Q$2:$U$1001,MATCH(ROWS($J$2:J890),$J$2:$J$1001,0),MATCH(COLUMNS($Q$1006:R1006),$Q$1006:$U$1006,0)), HYPERLINK("#",""), HYPERLINK(CONCATENATE("#Metadata!", ADDRESS(INDEX($L$2:$L$1001,MATCH(ROWS($J$2:J890),$J$2:$J$1001,0),0), INDEX($Q$1004:$U$1004,1,MATCH(COLUMNS($Q$1006:R1006),$Q$1006:$U$1006,0)))),"Fix")))</f>
        <v xml:space="preserve"> </v>
      </c>
      <c r="D890" s="3" t="str">
        <f ca="1">IF(OR(INDEX($K$2:$K$1001,MATCH(ROWS($J$2:J890),$J$2:$J$1001,0),1)&gt;=100000,INDEX($Q$1005:$U$1005,1,MATCH(COLUMNS($Q$1006:S1006),$Q$1006:$U$1006,0))&gt;=100000), " ",IF(INDEX($Q$2:$U$1001,MATCH(ROWS($J$2:J890),$J$2:$J$1001,0),MATCH(COLUMNS($Q$1006:S1006),$Q$1006:$U$1006,0)), HYPERLINK("#",""), HYPERLINK(CONCATENATE("#Metadata!", ADDRESS(INDEX($L$2:$L$1001,MATCH(ROWS($J$2:J890),$J$2:$J$1001,0),0), INDEX($Q$1004:$U$1004,1,MATCH(COLUMNS($Q$1006:S1006),$Q$1006:$U$1006,0)))),"Fix")))</f>
        <v xml:space="preserve"> </v>
      </c>
      <c r="E890" s="3" t="str">
        <f ca="1">IF(OR(INDEX($K$2:$K$1001,MATCH(ROWS($J$2:J890),$J$2:$J$1001,0),1)&gt;=100000,INDEX($Q$1005:$U$1005,1,MATCH(COLUMNS($Q$1006:T1006),$Q$1006:$U$1006,0))&gt;=100000), " ",IF(INDEX($Q$2:$U$1001,MATCH(ROWS($J$2:J890),$J$2:$J$1001,0),MATCH(COLUMNS($Q$1006:T1006),$Q$1006:$U$1006,0)), HYPERLINK("#",""), HYPERLINK(CONCATENATE("#Metadata!", ADDRESS(INDEX($L$2:$L$1001,MATCH(ROWS($J$2:J890),$J$2:$J$1001,0),0), INDEX($Q$1004:$U$1004,1,MATCH(COLUMNS($Q$1006:T1006),$Q$1006:$U$1006,0)))),"Fix")))</f>
        <v xml:space="preserve"> </v>
      </c>
      <c r="F890" s="3" t="str">
        <f ca="1">IF(OR(INDEX($K$2:$K$1001,MATCH(ROWS($J$2:J890),$J$2:$J$1001,0),1)&gt;=100000,INDEX($Q$1005:$U$1005,1,MATCH(COLUMNS($Q$1006:U1006),$Q$1006:$U$1006,0))&gt;=100000), " ",IF(INDEX($Q$2:$U$1001,MATCH(ROWS($J$2:J890),$J$2:$J$1001,0),MATCH(COLUMNS($Q$1006:U1006),$Q$1006:$U$1006,0)), HYPERLINK("#",""), HYPERLINK(CONCATENATE("#Metadata!", ADDRESS(INDEX($L$2:$L$1001,MATCH(ROWS($J$2:J890),$J$2:$J$1001,0),0), INDEX($Q$1004:$U$1004,1,MATCH(COLUMNS($Q$1006:U1006),$Q$1006:$U$1006,0)))),"Fix")))</f>
        <v xml:space="preserve"> </v>
      </c>
      <c r="J890">
        <f ca="1"/>
        <v>889</v>
      </c>
      <c r="K890">
        <v>100890</v>
      </c>
      <c r="L890">
        <v>890</v>
      </c>
      <c r="M890" t="b">
        <f t="shared" si="13"/>
        <v>1</v>
      </c>
      <c r="N890" t="b">
        <f>COUNTBLANK(Metadata!B890:F890)=COLUMNS(Metadata!B890:F890)</f>
        <v>1</v>
      </c>
      <c r="O890" t="str">
        <v/>
      </c>
      <c r="Q890" t="b">
        <f ca="1"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R890" t="b">
        <f>IF(Metadata!C890="",FALSE,TRUE)</f>
        <v>0</v>
      </c>
      <c r="S890" t="b">
        <f>OR(AND(IF(Metadata!D890="",FALSE,TRUE),EXACT(Metadata!D890,"missing: not collected")),AND(IF(Metadata!D890="",FALSE,TRUE),OR(EXACT(Metadata!D890,"t"),EXACT(Metadata!D890,"f"))))</f>
        <v>0</v>
      </c>
      <c r="T890" t="b">
        <f>AND(IF(Metadata!E890="",FALSE,TRUE),OR(EXACT(Metadata!E890,"a"),EXACT(Metadata!E890,"b")))</f>
        <v>0</v>
      </c>
      <c r="U890" t="b">
        <f>OR(AND(IF(Metadata!F890="",FALSE,TRUE),OR(EXACT(Metadata!F890,"missing: not collected"),EXACT(Metadata!F890,"missing: not provided"))),AND(IF(Metadata!F890="",FALSE,TRUE),OR(EXACT(Metadata!F890,"lo"),EXACT(Metadata!F890,"med"),EXACT(Metadata!F890,"hi"))))</f>
        <v>0</v>
      </c>
    </row>
    <row r="891" spans="1:21" x14ac:dyDescent="0.2">
      <c r="A891" s="4" t="str">
        <f ca="1">IF(B891=" "," ",HYPERLINK(CONCATENATE("#metadata!",ADDRESS(INDEX($L$2:$L$1001,MATCH(ROWS($J$2:J891),$J$2:$J$1001,0),0),1)),INDEX($O$2:$O$1001,MATCH(ROWS($J$2:J891),$J$2:$J$1001,0),0)))</f>
        <v xml:space="preserve"> </v>
      </c>
      <c r="B891" s="3" t="str">
        <f ca="1">IF(OR(INDEX($K$2:$K$1001,MATCH(ROWS($J$2:J891),$J$2:$J$1001,0),1)&gt;=100000,INDEX($Q$1005:$U$1005,1,MATCH(COLUMNS($Q$1006:Q1006),$Q$1006:$U$1006,0))&gt;=100000), " ",IF(INDEX($Q$2:$U$1001,MATCH(ROWS($J$2:J891),$J$2:$J$1001,0),MATCH(COLUMNS($Q$1006:Q1006),$Q$1006:$U$1006,0)), HYPERLINK("#",""), HYPERLINK(CONCATENATE("#Metadata!", ADDRESS(INDEX($L$2:$L$1001,MATCH(ROWS($J$2:J891),$J$2:$J$1001,0),0), INDEX($Q$1004:$U$1004,1,MATCH(COLUMNS($Q$1006:Q1006),$Q$1006:$U$1006,0)))),"Fix")))</f>
        <v xml:space="preserve"> </v>
      </c>
      <c r="C891" s="3" t="str">
        <f ca="1">IF(OR(INDEX($K$2:$K$1001,MATCH(ROWS($J$2:J891),$J$2:$J$1001,0),1)&gt;=100000,INDEX($Q$1005:$U$1005,1,MATCH(COLUMNS($Q$1006:R1006),$Q$1006:$U$1006,0))&gt;=100000), " ",IF(INDEX($Q$2:$U$1001,MATCH(ROWS($J$2:J891),$J$2:$J$1001,0),MATCH(COLUMNS($Q$1006:R1006),$Q$1006:$U$1006,0)), HYPERLINK("#",""), HYPERLINK(CONCATENATE("#Metadata!", ADDRESS(INDEX($L$2:$L$1001,MATCH(ROWS($J$2:J891),$J$2:$J$1001,0),0), INDEX($Q$1004:$U$1004,1,MATCH(COLUMNS($Q$1006:R1006),$Q$1006:$U$1006,0)))),"Fix")))</f>
        <v xml:space="preserve"> </v>
      </c>
      <c r="D891" s="3" t="str">
        <f ca="1">IF(OR(INDEX($K$2:$K$1001,MATCH(ROWS($J$2:J891),$J$2:$J$1001,0),1)&gt;=100000,INDEX($Q$1005:$U$1005,1,MATCH(COLUMNS($Q$1006:S1006),$Q$1006:$U$1006,0))&gt;=100000), " ",IF(INDEX($Q$2:$U$1001,MATCH(ROWS($J$2:J891),$J$2:$J$1001,0),MATCH(COLUMNS($Q$1006:S1006),$Q$1006:$U$1006,0)), HYPERLINK("#",""), HYPERLINK(CONCATENATE("#Metadata!", ADDRESS(INDEX($L$2:$L$1001,MATCH(ROWS($J$2:J891),$J$2:$J$1001,0),0), INDEX($Q$1004:$U$1004,1,MATCH(COLUMNS($Q$1006:S1006),$Q$1006:$U$1006,0)))),"Fix")))</f>
        <v xml:space="preserve"> </v>
      </c>
      <c r="E891" s="3" t="str">
        <f ca="1">IF(OR(INDEX($K$2:$K$1001,MATCH(ROWS($J$2:J891),$J$2:$J$1001,0),1)&gt;=100000,INDEX($Q$1005:$U$1005,1,MATCH(COLUMNS($Q$1006:T1006),$Q$1006:$U$1006,0))&gt;=100000), " ",IF(INDEX($Q$2:$U$1001,MATCH(ROWS($J$2:J891),$J$2:$J$1001,0),MATCH(COLUMNS($Q$1006:T1006),$Q$1006:$U$1006,0)), HYPERLINK("#",""), HYPERLINK(CONCATENATE("#Metadata!", ADDRESS(INDEX($L$2:$L$1001,MATCH(ROWS($J$2:J891),$J$2:$J$1001,0),0), INDEX($Q$1004:$U$1004,1,MATCH(COLUMNS($Q$1006:T1006),$Q$1006:$U$1006,0)))),"Fix")))</f>
        <v xml:space="preserve"> </v>
      </c>
      <c r="F891" s="3" t="str">
        <f ca="1">IF(OR(INDEX($K$2:$K$1001,MATCH(ROWS($J$2:J891),$J$2:$J$1001,0),1)&gt;=100000,INDEX($Q$1005:$U$1005,1,MATCH(COLUMNS($Q$1006:U1006),$Q$1006:$U$1006,0))&gt;=100000), " ",IF(INDEX($Q$2:$U$1001,MATCH(ROWS($J$2:J891),$J$2:$J$1001,0),MATCH(COLUMNS($Q$1006:U1006),$Q$1006:$U$1006,0)), HYPERLINK("#",""), HYPERLINK(CONCATENATE("#Metadata!", ADDRESS(INDEX($L$2:$L$1001,MATCH(ROWS($J$2:J891),$J$2:$J$1001,0),0), INDEX($Q$1004:$U$1004,1,MATCH(COLUMNS($Q$1006:U1006),$Q$1006:$U$1006,0)))),"Fix")))</f>
        <v xml:space="preserve"> </v>
      </c>
      <c r="J891">
        <f ca="1"/>
        <v>890</v>
      </c>
      <c r="K891">
        <v>100891</v>
      </c>
      <c r="L891">
        <v>891</v>
      </c>
      <c r="M891" t="b">
        <f t="shared" si="13"/>
        <v>1</v>
      </c>
      <c r="N891" t="b">
        <f>COUNTBLANK(Metadata!B891:F891)=COLUMNS(Metadata!B891:F891)</f>
        <v>1</v>
      </c>
      <c r="O891" t="str">
        <v/>
      </c>
      <c r="Q891" t="b">
        <f ca="1"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R891" t="b">
        <f>IF(Metadata!C891="",FALSE,TRUE)</f>
        <v>0</v>
      </c>
      <c r="S891" t="b">
        <f>OR(AND(IF(Metadata!D891="",FALSE,TRUE),EXACT(Metadata!D891,"missing: not collected")),AND(IF(Metadata!D891="",FALSE,TRUE),OR(EXACT(Metadata!D891,"t"),EXACT(Metadata!D891,"f"))))</f>
        <v>0</v>
      </c>
      <c r="T891" t="b">
        <f>AND(IF(Metadata!E891="",FALSE,TRUE),OR(EXACT(Metadata!E891,"a"),EXACT(Metadata!E891,"b")))</f>
        <v>0</v>
      </c>
      <c r="U891" t="b">
        <f>OR(AND(IF(Metadata!F891="",FALSE,TRUE),OR(EXACT(Metadata!F891,"missing: not collected"),EXACT(Metadata!F891,"missing: not provided"))),AND(IF(Metadata!F891="",FALSE,TRUE),OR(EXACT(Metadata!F891,"lo"),EXACT(Metadata!F891,"med"),EXACT(Metadata!F891,"hi"))))</f>
        <v>0</v>
      </c>
    </row>
    <row r="892" spans="1:21" x14ac:dyDescent="0.2">
      <c r="A892" s="4" t="str">
        <f ca="1">IF(B892=" "," ",HYPERLINK(CONCATENATE("#metadata!",ADDRESS(INDEX($L$2:$L$1001,MATCH(ROWS($J$2:J892),$J$2:$J$1001,0),0),1)),INDEX($O$2:$O$1001,MATCH(ROWS($J$2:J892),$J$2:$J$1001,0),0)))</f>
        <v xml:space="preserve"> </v>
      </c>
      <c r="B892" s="3" t="str">
        <f ca="1">IF(OR(INDEX($K$2:$K$1001,MATCH(ROWS($J$2:J892),$J$2:$J$1001,0),1)&gt;=100000,INDEX($Q$1005:$U$1005,1,MATCH(COLUMNS($Q$1006:Q1006),$Q$1006:$U$1006,0))&gt;=100000), " ",IF(INDEX($Q$2:$U$1001,MATCH(ROWS($J$2:J892),$J$2:$J$1001,0),MATCH(COLUMNS($Q$1006:Q1006),$Q$1006:$U$1006,0)), HYPERLINK("#",""), HYPERLINK(CONCATENATE("#Metadata!", ADDRESS(INDEX($L$2:$L$1001,MATCH(ROWS($J$2:J892),$J$2:$J$1001,0),0), INDEX($Q$1004:$U$1004,1,MATCH(COLUMNS($Q$1006:Q1006),$Q$1006:$U$1006,0)))),"Fix")))</f>
        <v xml:space="preserve"> </v>
      </c>
      <c r="C892" s="3" t="str">
        <f ca="1">IF(OR(INDEX($K$2:$K$1001,MATCH(ROWS($J$2:J892),$J$2:$J$1001,0),1)&gt;=100000,INDEX($Q$1005:$U$1005,1,MATCH(COLUMNS($Q$1006:R1006),$Q$1006:$U$1006,0))&gt;=100000), " ",IF(INDEX($Q$2:$U$1001,MATCH(ROWS($J$2:J892),$J$2:$J$1001,0),MATCH(COLUMNS($Q$1006:R1006),$Q$1006:$U$1006,0)), HYPERLINK("#",""), HYPERLINK(CONCATENATE("#Metadata!", ADDRESS(INDEX($L$2:$L$1001,MATCH(ROWS($J$2:J892),$J$2:$J$1001,0),0), INDEX($Q$1004:$U$1004,1,MATCH(COLUMNS($Q$1006:R1006),$Q$1006:$U$1006,0)))),"Fix")))</f>
        <v xml:space="preserve"> </v>
      </c>
      <c r="D892" s="3" t="str">
        <f ca="1">IF(OR(INDEX($K$2:$K$1001,MATCH(ROWS($J$2:J892),$J$2:$J$1001,0),1)&gt;=100000,INDEX($Q$1005:$U$1005,1,MATCH(COLUMNS($Q$1006:S1006),$Q$1006:$U$1006,0))&gt;=100000), " ",IF(INDEX($Q$2:$U$1001,MATCH(ROWS($J$2:J892),$J$2:$J$1001,0),MATCH(COLUMNS($Q$1006:S1006),$Q$1006:$U$1006,0)), HYPERLINK("#",""), HYPERLINK(CONCATENATE("#Metadata!", ADDRESS(INDEX($L$2:$L$1001,MATCH(ROWS($J$2:J892),$J$2:$J$1001,0),0), INDEX($Q$1004:$U$1004,1,MATCH(COLUMNS($Q$1006:S1006),$Q$1006:$U$1006,0)))),"Fix")))</f>
        <v xml:space="preserve"> </v>
      </c>
      <c r="E892" s="3" t="str">
        <f ca="1">IF(OR(INDEX($K$2:$K$1001,MATCH(ROWS($J$2:J892),$J$2:$J$1001,0),1)&gt;=100000,INDEX($Q$1005:$U$1005,1,MATCH(COLUMNS($Q$1006:T1006),$Q$1006:$U$1006,0))&gt;=100000), " ",IF(INDEX($Q$2:$U$1001,MATCH(ROWS($J$2:J892),$J$2:$J$1001,0),MATCH(COLUMNS($Q$1006:T1006),$Q$1006:$U$1006,0)), HYPERLINK("#",""), HYPERLINK(CONCATENATE("#Metadata!", ADDRESS(INDEX($L$2:$L$1001,MATCH(ROWS($J$2:J892),$J$2:$J$1001,0),0), INDEX($Q$1004:$U$1004,1,MATCH(COLUMNS($Q$1006:T1006),$Q$1006:$U$1006,0)))),"Fix")))</f>
        <v xml:space="preserve"> </v>
      </c>
      <c r="F892" s="3" t="str">
        <f ca="1">IF(OR(INDEX($K$2:$K$1001,MATCH(ROWS($J$2:J892),$J$2:$J$1001,0),1)&gt;=100000,INDEX($Q$1005:$U$1005,1,MATCH(COLUMNS($Q$1006:U1006),$Q$1006:$U$1006,0))&gt;=100000), " ",IF(INDEX($Q$2:$U$1001,MATCH(ROWS($J$2:J892),$J$2:$J$1001,0),MATCH(COLUMNS($Q$1006:U1006),$Q$1006:$U$1006,0)), HYPERLINK("#",""), HYPERLINK(CONCATENATE("#Metadata!", ADDRESS(INDEX($L$2:$L$1001,MATCH(ROWS($J$2:J892),$J$2:$J$1001,0),0), INDEX($Q$1004:$U$1004,1,MATCH(COLUMNS($Q$1006:U1006),$Q$1006:$U$1006,0)))),"Fix")))</f>
        <v xml:space="preserve"> </v>
      </c>
      <c r="J892">
        <f ca="1"/>
        <v>891</v>
      </c>
      <c r="K892">
        <v>100892</v>
      </c>
      <c r="L892">
        <v>892</v>
      </c>
      <c r="M892" t="b">
        <f t="shared" si="13"/>
        <v>1</v>
      </c>
      <c r="N892" t="b">
        <f>COUNTBLANK(Metadata!B892:F892)=COLUMNS(Metadata!B892:F892)</f>
        <v>1</v>
      </c>
      <c r="O892" t="str">
        <v/>
      </c>
      <c r="Q892" t="b">
        <f ca="1"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R892" t="b">
        <f>IF(Metadata!C892="",FALSE,TRUE)</f>
        <v>0</v>
      </c>
      <c r="S892" t="b">
        <f>OR(AND(IF(Metadata!D892="",FALSE,TRUE),EXACT(Metadata!D892,"missing: not collected")),AND(IF(Metadata!D892="",FALSE,TRUE),OR(EXACT(Metadata!D892,"t"),EXACT(Metadata!D892,"f"))))</f>
        <v>0</v>
      </c>
      <c r="T892" t="b">
        <f>AND(IF(Metadata!E892="",FALSE,TRUE),OR(EXACT(Metadata!E892,"a"),EXACT(Metadata!E892,"b")))</f>
        <v>0</v>
      </c>
      <c r="U892" t="b">
        <f>OR(AND(IF(Metadata!F892="",FALSE,TRUE),OR(EXACT(Metadata!F892,"missing: not collected"),EXACT(Metadata!F892,"missing: not provided"))),AND(IF(Metadata!F892="",FALSE,TRUE),OR(EXACT(Metadata!F892,"lo"),EXACT(Metadata!F892,"med"),EXACT(Metadata!F892,"hi"))))</f>
        <v>0</v>
      </c>
    </row>
    <row r="893" spans="1:21" x14ac:dyDescent="0.2">
      <c r="A893" s="4" t="str">
        <f ca="1">IF(B893=" "," ",HYPERLINK(CONCATENATE("#metadata!",ADDRESS(INDEX($L$2:$L$1001,MATCH(ROWS($J$2:J893),$J$2:$J$1001,0),0),1)),INDEX($O$2:$O$1001,MATCH(ROWS($J$2:J893),$J$2:$J$1001,0),0)))</f>
        <v xml:space="preserve"> </v>
      </c>
      <c r="B893" s="3" t="str">
        <f ca="1">IF(OR(INDEX($K$2:$K$1001,MATCH(ROWS($J$2:J893),$J$2:$J$1001,0),1)&gt;=100000,INDEX($Q$1005:$U$1005,1,MATCH(COLUMNS($Q$1006:Q1006),$Q$1006:$U$1006,0))&gt;=100000), " ",IF(INDEX($Q$2:$U$1001,MATCH(ROWS($J$2:J893),$J$2:$J$1001,0),MATCH(COLUMNS($Q$1006:Q1006),$Q$1006:$U$1006,0)), HYPERLINK("#",""), HYPERLINK(CONCATENATE("#Metadata!", ADDRESS(INDEX($L$2:$L$1001,MATCH(ROWS($J$2:J893),$J$2:$J$1001,0),0), INDEX($Q$1004:$U$1004,1,MATCH(COLUMNS($Q$1006:Q1006),$Q$1006:$U$1006,0)))),"Fix")))</f>
        <v xml:space="preserve"> </v>
      </c>
      <c r="C893" s="3" t="str">
        <f ca="1">IF(OR(INDEX($K$2:$K$1001,MATCH(ROWS($J$2:J893),$J$2:$J$1001,0),1)&gt;=100000,INDEX($Q$1005:$U$1005,1,MATCH(COLUMNS($Q$1006:R1006),$Q$1006:$U$1006,0))&gt;=100000), " ",IF(INDEX($Q$2:$U$1001,MATCH(ROWS($J$2:J893),$J$2:$J$1001,0),MATCH(COLUMNS($Q$1006:R1006),$Q$1006:$U$1006,0)), HYPERLINK("#",""), HYPERLINK(CONCATENATE("#Metadata!", ADDRESS(INDEX($L$2:$L$1001,MATCH(ROWS($J$2:J893),$J$2:$J$1001,0),0), INDEX($Q$1004:$U$1004,1,MATCH(COLUMNS($Q$1006:R1006),$Q$1006:$U$1006,0)))),"Fix")))</f>
        <v xml:space="preserve"> </v>
      </c>
      <c r="D893" s="3" t="str">
        <f ca="1">IF(OR(INDEX($K$2:$K$1001,MATCH(ROWS($J$2:J893),$J$2:$J$1001,0),1)&gt;=100000,INDEX($Q$1005:$U$1005,1,MATCH(COLUMNS($Q$1006:S1006),$Q$1006:$U$1006,0))&gt;=100000), " ",IF(INDEX($Q$2:$U$1001,MATCH(ROWS($J$2:J893),$J$2:$J$1001,0),MATCH(COLUMNS($Q$1006:S1006),$Q$1006:$U$1006,0)), HYPERLINK("#",""), HYPERLINK(CONCATENATE("#Metadata!", ADDRESS(INDEX($L$2:$L$1001,MATCH(ROWS($J$2:J893),$J$2:$J$1001,0),0), INDEX($Q$1004:$U$1004,1,MATCH(COLUMNS($Q$1006:S1006),$Q$1006:$U$1006,0)))),"Fix")))</f>
        <v xml:space="preserve"> </v>
      </c>
      <c r="E893" s="3" t="str">
        <f ca="1">IF(OR(INDEX($K$2:$K$1001,MATCH(ROWS($J$2:J893),$J$2:$J$1001,0),1)&gt;=100000,INDEX($Q$1005:$U$1005,1,MATCH(COLUMNS($Q$1006:T1006),$Q$1006:$U$1006,0))&gt;=100000), " ",IF(INDEX($Q$2:$U$1001,MATCH(ROWS($J$2:J893),$J$2:$J$1001,0),MATCH(COLUMNS($Q$1006:T1006),$Q$1006:$U$1006,0)), HYPERLINK("#",""), HYPERLINK(CONCATENATE("#Metadata!", ADDRESS(INDEX($L$2:$L$1001,MATCH(ROWS($J$2:J893),$J$2:$J$1001,0),0), INDEX($Q$1004:$U$1004,1,MATCH(COLUMNS($Q$1006:T1006),$Q$1006:$U$1006,0)))),"Fix")))</f>
        <v xml:space="preserve"> </v>
      </c>
      <c r="F893" s="3" t="str">
        <f ca="1">IF(OR(INDEX($K$2:$K$1001,MATCH(ROWS($J$2:J893),$J$2:$J$1001,0),1)&gt;=100000,INDEX($Q$1005:$U$1005,1,MATCH(COLUMNS($Q$1006:U1006),$Q$1006:$U$1006,0))&gt;=100000), " ",IF(INDEX($Q$2:$U$1001,MATCH(ROWS($J$2:J893),$J$2:$J$1001,0),MATCH(COLUMNS($Q$1006:U1006),$Q$1006:$U$1006,0)), HYPERLINK("#",""), HYPERLINK(CONCATENATE("#Metadata!", ADDRESS(INDEX($L$2:$L$1001,MATCH(ROWS($J$2:J893),$J$2:$J$1001,0),0), INDEX($Q$1004:$U$1004,1,MATCH(COLUMNS($Q$1006:U1006),$Q$1006:$U$1006,0)))),"Fix")))</f>
        <v xml:space="preserve"> </v>
      </c>
      <c r="J893">
        <f ca="1"/>
        <v>892</v>
      </c>
      <c r="K893">
        <v>100893</v>
      </c>
      <c r="L893">
        <v>893</v>
      </c>
      <c r="M893" t="b">
        <f t="shared" si="13"/>
        <v>1</v>
      </c>
      <c r="N893" t="b">
        <f>COUNTBLANK(Metadata!B893:F893)=COLUMNS(Metadata!B893:F893)</f>
        <v>1</v>
      </c>
      <c r="O893" t="str">
        <v/>
      </c>
      <c r="Q893" t="b">
        <f ca="1"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R893" t="b">
        <f>IF(Metadata!C893="",FALSE,TRUE)</f>
        <v>0</v>
      </c>
      <c r="S893" t="b">
        <f>OR(AND(IF(Metadata!D893="",FALSE,TRUE),EXACT(Metadata!D893,"missing: not collected")),AND(IF(Metadata!D893="",FALSE,TRUE),OR(EXACT(Metadata!D893,"t"),EXACT(Metadata!D893,"f"))))</f>
        <v>0</v>
      </c>
      <c r="T893" t="b">
        <f>AND(IF(Metadata!E893="",FALSE,TRUE),OR(EXACT(Metadata!E893,"a"),EXACT(Metadata!E893,"b")))</f>
        <v>0</v>
      </c>
      <c r="U893" t="b">
        <f>OR(AND(IF(Metadata!F893="",FALSE,TRUE),OR(EXACT(Metadata!F893,"missing: not collected"),EXACT(Metadata!F893,"missing: not provided"))),AND(IF(Metadata!F893="",FALSE,TRUE),OR(EXACT(Metadata!F893,"lo"),EXACT(Metadata!F893,"med"),EXACT(Metadata!F893,"hi"))))</f>
        <v>0</v>
      </c>
    </row>
    <row r="894" spans="1:21" x14ac:dyDescent="0.2">
      <c r="A894" s="4" t="str">
        <f ca="1">IF(B894=" "," ",HYPERLINK(CONCATENATE("#metadata!",ADDRESS(INDEX($L$2:$L$1001,MATCH(ROWS($J$2:J894),$J$2:$J$1001,0),0),1)),INDEX($O$2:$O$1001,MATCH(ROWS($J$2:J894),$J$2:$J$1001,0),0)))</f>
        <v xml:space="preserve"> </v>
      </c>
      <c r="B894" s="3" t="str">
        <f ca="1">IF(OR(INDEX($K$2:$K$1001,MATCH(ROWS($J$2:J894),$J$2:$J$1001,0),1)&gt;=100000,INDEX($Q$1005:$U$1005,1,MATCH(COLUMNS($Q$1006:Q1006),$Q$1006:$U$1006,0))&gt;=100000), " ",IF(INDEX($Q$2:$U$1001,MATCH(ROWS($J$2:J894),$J$2:$J$1001,0),MATCH(COLUMNS($Q$1006:Q1006),$Q$1006:$U$1006,0)), HYPERLINK("#",""), HYPERLINK(CONCATENATE("#Metadata!", ADDRESS(INDEX($L$2:$L$1001,MATCH(ROWS($J$2:J894),$J$2:$J$1001,0),0), INDEX($Q$1004:$U$1004,1,MATCH(COLUMNS($Q$1006:Q1006),$Q$1006:$U$1006,0)))),"Fix")))</f>
        <v xml:space="preserve"> </v>
      </c>
      <c r="C894" s="3" t="str">
        <f ca="1">IF(OR(INDEX($K$2:$K$1001,MATCH(ROWS($J$2:J894),$J$2:$J$1001,0),1)&gt;=100000,INDEX($Q$1005:$U$1005,1,MATCH(COLUMNS($Q$1006:R1006),$Q$1006:$U$1006,0))&gt;=100000), " ",IF(INDEX($Q$2:$U$1001,MATCH(ROWS($J$2:J894),$J$2:$J$1001,0),MATCH(COLUMNS($Q$1006:R1006),$Q$1006:$U$1006,0)), HYPERLINK("#",""), HYPERLINK(CONCATENATE("#Metadata!", ADDRESS(INDEX($L$2:$L$1001,MATCH(ROWS($J$2:J894),$J$2:$J$1001,0),0), INDEX($Q$1004:$U$1004,1,MATCH(COLUMNS($Q$1006:R1006),$Q$1006:$U$1006,0)))),"Fix")))</f>
        <v xml:space="preserve"> </v>
      </c>
      <c r="D894" s="3" t="str">
        <f ca="1">IF(OR(INDEX($K$2:$K$1001,MATCH(ROWS($J$2:J894),$J$2:$J$1001,0),1)&gt;=100000,INDEX($Q$1005:$U$1005,1,MATCH(COLUMNS($Q$1006:S1006),$Q$1006:$U$1006,0))&gt;=100000), " ",IF(INDEX($Q$2:$U$1001,MATCH(ROWS($J$2:J894),$J$2:$J$1001,0),MATCH(COLUMNS($Q$1006:S1006),$Q$1006:$U$1006,0)), HYPERLINK("#",""), HYPERLINK(CONCATENATE("#Metadata!", ADDRESS(INDEX($L$2:$L$1001,MATCH(ROWS($J$2:J894),$J$2:$J$1001,0),0), INDEX($Q$1004:$U$1004,1,MATCH(COLUMNS($Q$1006:S1006),$Q$1006:$U$1006,0)))),"Fix")))</f>
        <v xml:space="preserve"> </v>
      </c>
      <c r="E894" s="3" t="str">
        <f ca="1">IF(OR(INDEX($K$2:$K$1001,MATCH(ROWS($J$2:J894),$J$2:$J$1001,0),1)&gt;=100000,INDEX($Q$1005:$U$1005,1,MATCH(COLUMNS($Q$1006:T1006),$Q$1006:$U$1006,0))&gt;=100000), " ",IF(INDEX($Q$2:$U$1001,MATCH(ROWS($J$2:J894),$J$2:$J$1001,0),MATCH(COLUMNS($Q$1006:T1006),$Q$1006:$U$1006,0)), HYPERLINK("#",""), HYPERLINK(CONCATENATE("#Metadata!", ADDRESS(INDEX($L$2:$L$1001,MATCH(ROWS($J$2:J894),$J$2:$J$1001,0),0), INDEX($Q$1004:$U$1004,1,MATCH(COLUMNS($Q$1006:T1006),$Q$1006:$U$1006,0)))),"Fix")))</f>
        <v xml:space="preserve"> </v>
      </c>
      <c r="F894" s="3" t="str">
        <f ca="1">IF(OR(INDEX($K$2:$K$1001,MATCH(ROWS($J$2:J894),$J$2:$J$1001,0),1)&gt;=100000,INDEX($Q$1005:$U$1005,1,MATCH(COLUMNS($Q$1006:U1006),$Q$1006:$U$1006,0))&gt;=100000), " ",IF(INDEX($Q$2:$U$1001,MATCH(ROWS($J$2:J894),$J$2:$J$1001,0),MATCH(COLUMNS($Q$1006:U1006),$Q$1006:$U$1006,0)), HYPERLINK("#",""), HYPERLINK(CONCATENATE("#Metadata!", ADDRESS(INDEX($L$2:$L$1001,MATCH(ROWS($J$2:J894),$J$2:$J$1001,0),0), INDEX($Q$1004:$U$1004,1,MATCH(COLUMNS($Q$1006:U1006),$Q$1006:$U$1006,0)))),"Fix")))</f>
        <v xml:space="preserve"> </v>
      </c>
      <c r="J894">
        <f ca="1"/>
        <v>893</v>
      </c>
      <c r="K894">
        <v>100894</v>
      </c>
      <c r="L894">
        <v>894</v>
      </c>
      <c r="M894" t="b">
        <f t="shared" si="13"/>
        <v>1</v>
      </c>
      <c r="N894" t="b">
        <f>COUNTBLANK(Metadata!B894:F894)=COLUMNS(Metadata!B894:F894)</f>
        <v>1</v>
      </c>
      <c r="O894" t="str">
        <v/>
      </c>
      <c r="Q894" t="b">
        <f ca="1"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R894" t="b">
        <f>IF(Metadata!C894="",FALSE,TRUE)</f>
        <v>0</v>
      </c>
      <c r="S894" t="b">
        <f>OR(AND(IF(Metadata!D894="",FALSE,TRUE),EXACT(Metadata!D894,"missing: not collected")),AND(IF(Metadata!D894="",FALSE,TRUE),OR(EXACT(Metadata!D894,"t"),EXACT(Metadata!D894,"f"))))</f>
        <v>0</v>
      </c>
      <c r="T894" t="b">
        <f>AND(IF(Metadata!E894="",FALSE,TRUE),OR(EXACT(Metadata!E894,"a"),EXACT(Metadata!E894,"b")))</f>
        <v>0</v>
      </c>
      <c r="U894" t="b">
        <f>OR(AND(IF(Metadata!F894="",FALSE,TRUE),OR(EXACT(Metadata!F894,"missing: not collected"),EXACT(Metadata!F894,"missing: not provided"))),AND(IF(Metadata!F894="",FALSE,TRUE),OR(EXACT(Metadata!F894,"lo"),EXACT(Metadata!F894,"med"),EXACT(Metadata!F894,"hi"))))</f>
        <v>0</v>
      </c>
    </row>
    <row r="895" spans="1:21" x14ac:dyDescent="0.2">
      <c r="A895" s="4" t="str">
        <f ca="1">IF(B895=" "," ",HYPERLINK(CONCATENATE("#metadata!",ADDRESS(INDEX($L$2:$L$1001,MATCH(ROWS($J$2:J895),$J$2:$J$1001,0),0),1)),INDEX($O$2:$O$1001,MATCH(ROWS($J$2:J895),$J$2:$J$1001,0),0)))</f>
        <v xml:space="preserve"> </v>
      </c>
      <c r="B895" s="3" t="str">
        <f ca="1">IF(OR(INDEX($K$2:$K$1001,MATCH(ROWS($J$2:J895),$J$2:$J$1001,0),1)&gt;=100000,INDEX($Q$1005:$U$1005,1,MATCH(COLUMNS($Q$1006:Q1006),$Q$1006:$U$1006,0))&gt;=100000), " ",IF(INDEX($Q$2:$U$1001,MATCH(ROWS($J$2:J895),$J$2:$J$1001,0),MATCH(COLUMNS($Q$1006:Q1006),$Q$1006:$U$1006,0)), HYPERLINK("#",""), HYPERLINK(CONCATENATE("#Metadata!", ADDRESS(INDEX($L$2:$L$1001,MATCH(ROWS($J$2:J895),$J$2:$J$1001,0),0), INDEX($Q$1004:$U$1004,1,MATCH(COLUMNS($Q$1006:Q1006),$Q$1006:$U$1006,0)))),"Fix")))</f>
        <v xml:space="preserve"> </v>
      </c>
      <c r="C895" s="3" t="str">
        <f ca="1">IF(OR(INDEX($K$2:$K$1001,MATCH(ROWS($J$2:J895),$J$2:$J$1001,0),1)&gt;=100000,INDEX($Q$1005:$U$1005,1,MATCH(COLUMNS($Q$1006:R1006),$Q$1006:$U$1006,0))&gt;=100000), " ",IF(INDEX($Q$2:$U$1001,MATCH(ROWS($J$2:J895),$J$2:$J$1001,0),MATCH(COLUMNS($Q$1006:R1006),$Q$1006:$U$1006,0)), HYPERLINK("#",""), HYPERLINK(CONCATENATE("#Metadata!", ADDRESS(INDEX($L$2:$L$1001,MATCH(ROWS($J$2:J895),$J$2:$J$1001,0),0), INDEX($Q$1004:$U$1004,1,MATCH(COLUMNS($Q$1006:R1006),$Q$1006:$U$1006,0)))),"Fix")))</f>
        <v xml:space="preserve"> </v>
      </c>
      <c r="D895" s="3" t="str">
        <f ca="1">IF(OR(INDEX($K$2:$K$1001,MATCH(ROWS($J$2:J895),$J$2:$J$1001,0),1)&gt;=100000,INDEX($Q$1005:$U$1005,1,MATCH(COLUMNS($Q$1006:S1006),$Q$1006:$U$1006,0))&gt;=100000), " ",IF(INDEX($Q$2:$U$1001,MATCH(ROWS($J$2:J895),$J$2:$J$1001,0),MATCH(COLUMNS($Q$1006:S1006),$Q$1006:$U$1006,0)), HYPERLINK("#",""), HYPERLINK(CONCATENATE("#Metadata!", ADDRESS(INDEX($L$2:$L$1001,MATCH(ROWS($J$2:J895),$J$2:$J$1001,0),0), INDEX($Q$1004:$U$1004,1,MATCH(COLUMNS($Q$1006:S1006),$Q$1006:$U$1006,0)))),"Fix")))</f>
        <v xml:space="preserve"> </v>
      </c>
      <c r="E895" s="3" t="str">
        <f ca="1">IF(OR(INDEX($K$2:$K$1001,MATCH(ROWS($J$2:J895),$J$2:$J$1001,0),1)&gt;=100000,INDEX($Q$1005:$U$1005,1,MATCH(COLUMNS($Q$1006:T1006),$Q$1006:$U$1006,0))&gt;=100000), " ",IF(INDEX($Q$2:$U$1001,MATCH(ROWS($J$2:J895),$J$2:$J$1001,0),MATCH(COLUMNS($Q$1006:T1006),$Q$1006:$U$1006,0)), HYPERLINK("#",""), HYPERLINK(CONCATENATE("#Metadata!", ADDRESS(INDEX($L$2:$L$1001,MATCH(ROWS($J$2:J895),$J$2:$J$1001,0),0), INDEX($Q$1004:$U$1004,1,MATCH(COLUMNS($Q$1006:T1006),$Q$1006:$U$1006,0)))),"Fix")))</f>
        <v xml:space="preserve"> </v>
      </c>
      <c r="F895" s="3" t="str">
        <f ca="1">IF(OR(INDEX($K$2:$K$1001,MATCH(ROWS($J$2:J895),$J$2:$J$1001,0),1)&gt;=100000,INDEX($Q$1005:$U$1005,1,MATCH(COLUMNS($Q$1006:U1006),$Q$1006:$U$1006,0))&gt;=100000), " ",IF(INDEX($Q$2:$U$1001,MATCH(ROWS($J$2:J895),$J$2:$J$1001,0),MATCH(COLUMNS($Q$1006:U1006),$Q$1006:$U$1006,0)), HYPERLINK("#",""), HYPERLINK(CONCATENATE("#Metadata!", ADDRESS(INDEX($L$2:$L$1001,MATCH(ROWS($J$2:J895),$J$2:$J$1001,0),0), INDEX($Q$1004:$U$1004,1,MATCH(COLUMNS($Q$1006:U1006),$Q$1006:$U$1006,0)))),"Fix")))</f>
        <v xml:space="preserve"> </v>
      </c>
      <c r="J895">
        <f ca="1"/>
        <v>894</v>
      </c>
      <c r="K895">
        <v>100895</v>
      </c>
      <c r="L895">
        <v>895</v>
      </c>
      <c r="M895" t="b">
        <f t="shared" si="13"/>
        <v>1</v>
      </c>
      <c r="N895" t="b">
        <f>COUNTBLANK(Metadata!B895:F895)=COLUMNS(Metadata!B895:F895)</f>
        <v>1</v>
      </c>
      <c r="O895" t="str">
        <v/>
      </c>
      <c r="Q895" t="b">
        <f ca="1"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R895" t="b">
        <f>IF(Metadata!C895="",FALSE,TRUE)</f>
        <v>0</v>
      </c>
      <c r="S895" t="b">
        <f>OR(AND(IF(Metadata!D895="",FALSE,TRUE),EXACT(Metadata!D895,"missing: not collected")),AND(IF(Metadata!D895="",FALSE,TRUE),OR(EXACT(Metadata!D895,"t"),EXACT(Metadata!D895,"f"))))</f>
        <v>0</v>
      </c>
      <c r="T895" t="b">
        <f>AND(IF(Metadata!E895="",FALSE,TRUE),OR(EXACT(Metadata!E895,"a"),EXACT(Metadata!E895,"b")))</f>
        <v>0</v>
      </c>
      <c r="U895" t="b">
        <f>OR(AND(IF(Metadata!F895="",FALSE,TRUE),OR(EXACT(Metadata!F895,"missing: not collected"),EXACT(Metadata!F895,"missing: not provided"))),AND(IF(Metadata!F895="",FALSE,TRUE),OR(EXACT(Metadata!F895,"lo"),EXACT(Metadata!F895,"med"),EXACT(Metadata!F895,"hi"))))</f>
        <v>0</v>
      </c>
    </row>
    <row r="896" spans="1:21" x14ac:dyDescent="0.2">
      <c r="A896" s="4" t="str">
        <f ca="1">IF(B896=" "," ",HYPERLINK(CONCATENATE("#metadata!",ADDRESS(INDEX($L$2:$L$1001,MATCH(ROWS($J$2:J896),$J$2:$J$1001,0),0),1)),INDEX($O$2:$O$1001,MATCH(ROWS($J$2:J896),$J$2:$J$1001,0),0)))</f>
        <v xml:space="preserve"> </v>
      </c>
      <c r="B896" s="3" t="str">
        <f ca="1">IF(OR(INDEX($K$2:$K$1001,MATCH(ROWS($J$2:J896),$J$2:$J$1001,0),1)&gt;=100000,INDEX($Q$1005:$U$1005,1,MATCH(COLUMNS($Q$1006:Q1006),$Q$1006:$U$1006,0))&gt;=100000), " ",IF(INDEX($Q$2:$U$1001,MATCH(ROWS($J$2:J896),$J$2:$J$1001,0),MATCH(COLUMNS($Q$1006:Q1006),$Q$1006:$U$1006,0)), HYPERLINK("#",""), HYPERLINK(CONCATENATE("#Metadata!", ADDRESS(INDEX($L$2:$L$1001,MATCH(ROWS($J$2:J896),$J$2:$J$1001,0),0), INDEX($Q$1004:$U$1004,1,MATCH(COLUMNS($Q$1006:Q1006),$Q$1006:$U$1006,0)))),"Fix")))</f>
        <v xml:space="preserve"> </v>
      </c>
      <c r="C896" s="3" t="str">
        <f ca="1">IF(OR(INDEX($K$2:$K$1001,MATCH(ROWS($J$2:J896),$J$2:$J$1001,0),1)&gt;=100000,INDEX($Q$1005:$U$1005,1,MATCH(COLUMNS($Q$1006:R1006),$Q$1006:$U$1006,0))&gt;=100000), " ",IF(INDEX($Q$2:$U$1001,MATCH(ROWS($J$2:J896),$J$2:$J$1001,0),MATCH(COLUMNS($Q$1006:R1006),$Q$1006:$U$1006,0)), HYPERLINK("#",""), HYPERLINK(CONCATENATE("#Metadata!", ADDRESS(INDEX($L$2:$L$1001,MATCH(ROWS($J$2:J896),$J$2:$J$1001,0),0), INDEX($Q$1004:$U$1004,1,MATCH(COLUMNS($Q$1006:R1006),$Q$1006:$U$1006,0)))),"Fix")))</f>
        <v xml:space="preserve"> </v>
      </c>
      <c r="D896" s="3" t="str">
        <f ca="1">IF(OR(INDEX($K$2:$K$1001,MATCH(ROWS($J$2:J896),$J$2:$J$1001,0),1)&gt;=100000,INDEX($Q$1005:$U$1005,1,MATCH(COLUMNS($Q$1006:S1006),$Q$1006:$U$1006,0))&gt;=100000), " ",IF(INDEX($Q$2:$U$1001,MATCH(ROWS($J$2:J896),$J$2:$J$1001,0),MATCH(COLUMNS($Q$1006:S1006),$Q$1006:$U$1006,0)), HYPERLINK("#",""), HYPERLINK(CONCATENATE("#Metadata!", ADDRESS(INDEX($L$2:$L$1001,MATCH(ROWS($J$2:J896),$J$2:$J$1001,0),0), INDEX($Q$1004:$U$1004,1,MATCH(COLUMNS($Q$1006:S1006),$Q$1006:$U$1006,0)))),"Fix")))</f>
        <v xml:space="preserve"> </v>
      </c>
      <c r="E896" s="3" t="str">
        <f ca="1">IF(OR(INDEX($K$2:$K$1001,MATCH(ROWS($J$2:J896),$J$2:$J$1001,0),1)&gt;=100000,INDEX($Q$1005:$U$1005,1,MATCH(COLUMNS($Q$1006:T1006),$Q$1006:$U$1006,0))&gt;=100000), " ",IF(INDEX($Q$2:$U$1001,MATCH(ROWS($J$2:J896),$J$2:$J$1001,0),MATCH(COLUMNS($Q$1006:T1006),$Q$1006:$U$1006,0)), HYPERLINK("#",""), HYPERLINK(CONCATENATE("#Metadata!", ADDRESS(INDEX($L$2:$L$1001,MATCH(ROWS($J$2:J896),$J$2:$J$1001,0),0), INDEX($Q$1004:$U$1004,1,MATCH(COLUMNS($Q$1006:T1006),$Q$1006:$U$1006,0)))),"Fix")))</f>
        <v xml:space="preserve"> </v>
      </c>
      <c r="F896" s="3" t="str">
        <f ca="1">IF(OR(INDEX($K$2:$K$1001,MATCH(ROWS($J$2:J896),$J$2:$J$1001,0),1)&gt;=100000,INDEX($Q$1005:$U$1005,1,MATCH(COLUMNS($Q$1006:U1006),$Q$1006:$U$1006,0))&gt;=100000), " ",IF(INDEX($Q$2:$U$1001,MATCH(ROWS($J$2:J896),$J$2:$J$1001,0),MATCH(COLUMNS($Q$1006:U1006),$Q$1006:$U$1006,0)), HYPERLINK("#",""), HYPERLINK(CONCATENATE("#Metadata!", ADDRESS(INDEX($L$2:$L$1001,MATCH(ROWS($J$2:J896),$J$2:$J$1001,0),0), INDEX($Q$1004:$U$1004,1,MATCH(COLUMNS($Q$1006:U1006),$Q$1006:$U$1006,0)))),"Fix")))</f>
        <v xml:space="preserve"> </v>
      </c>
      <c r="J896">
        <f ca="1"/>
        <v>895</v>
      </c>
      <c r="K896">
        <v>100896</v>
      </c>
      <c r="L896">
        <v>896</v>
      </c>
      <c r="M896" t="b">
        <f t="shared" si="13"/>
        <v>1</v>
      </c>
      <c r="N896" t="b">
        <f>COUNTBLANK(Metadata!B896:F896)=COLUMNS(Metadata!B896:F896)</f>
        <v>1</v>
      </c>
      <c r="O896" t="str">
        <v/>
      </c>
      <c r="Q896" t="b">
        <f ca="1"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R896" t="b">
        <f>IF(Metadata!C896="",FALSE,TRUE)</f>
        <v>0</v>
      </c>
      <c r="S896" t="b">
        <f>OR(AND(IF(Metadata!D896="",FALSE,TRUE),EXACT(Metadata!D896,"missing: not collected")),AND(IF(Metadata!D896="",FALSE,TRUE),OR(EXACT(Metadata!D896,"t"),EXACT(Metadata!D896,"f"))))</f>
        <v>0</v>
      </c>
      <c r="T896" t="b">
        <f>AND(IF(Metadata!E896="",FALSE,TRUE),OR(EXACT(Metadata!E896,"a"),EXACT(Metadata!E896,"b")))</f>
        <v>0</v>
      </c>
      <c r="U896" t="b">
        <f>OR(AND(IF(Metadata!F896="",FALSE,TRUE),OR(EXACT(Metadata!F896,"missing: not collected"),EXACT(Metadata!F896,"missing: not provided"))),AND(IF(Metadata!F896="",FALSE,TRUE),OR(EXACT(Metadata!F896,"lo"),EXACT(Metadata!F896,"med"),EXACT(Metadata!F896,"hi"))))</f>
        <v>0</v>
      </c>
    </row>
    <row r="897" spans="1:21" x14ac:dyDescent="0.2">
      <c r="A897" s="4" t="str">
        <f ca="1">IF(B897=" "," ",HYPERLINK(CONCATENATE("#metadata!",ADDRESS(INDEX($L$2:$L$1001,MATCH(ROWS($J$2:J897),$J$2:$J$1001,0),0),1)),INDEX($O$2:$O$1001,MATCH(ROWS($J$2:J897),$J$2:$J$1001,0),0)))</f>
        <v xml:space="preserve"> </v>
      </c>
      <c r="B897" s="3" t="str">
        <f ca="1">IF(OR(INDEX($K$2:$K$1001,MATCH(ROWS($J$2:J897),$J$2:$J$1001,0),1)&gt;=100000,INDEX($Q$1005:$U$1005,1,MATCH(COLUMNS($Q$1006:Q1006),$Q$1006:$U$1006,0))&gt;=100000), " ",IF(INDEX($Q$2:$U$1001,MATCH(ROWS($J$2:J897),$J$2:$J$1001,0),MATCH(COLUMNS($Q$1006:Q1006),$Q$1006:$U$1006,0)), HYPERLINK("#",""), HYPERLINK(CONCATENATE("#Metadata!", ADDRESS(INDEX($L$2:$L$1001,MATCH(ROWS($J$2:J897),$J$2:$J$1001,0),0), INDEX($Q$1004:$U$1004,1,MATCH(COLUMNS($Q$1006:Q1006),$Q$1006:$U$1006,0)))),"Fix")))</f>
        <v xml:space="preserve"> </v>
      </c>
      <c r="C897" s="3" t="str">
        <f ca="1">IF(OR(INDEX($K$2:$K$1001,MATCH(ROWS($J$2:J897),$J$2:$J$1001,0),1)&gt;=100000,INDEX($Q$1005:$U$1005,1,MATCH(COLUMNS($Q$1006:R1006),$Q$1006:$U$1006,0))&gt;=100000), " ",IF(INDEX($Q$2:$U$1001,MATCH(ROWS($J$2:J897),$J$2:$J$1001,0),MATCH(COLUMNS($Q$1006:R1006),$Q$1006:$U$1006,0)), HYPERLINK("#",""), HYPERLINK(CONCATENATE("#Metadata!", ADDRESS(INDEX($L$2:$L$1001,MATCH(ROWS($J$2:J897),$J$2:$J$1001,0),0), INDEX($Q$1004:$U$1004,1,MATCH(COLUMNS($Q$1006:R1006),$Q$1006:$U$1006,0)))),"Fix")))</f>
        <v xml:space="preserve"> </v>
      </c>
      <c r="D897" s="3" t="str">
        <f ca="1">IF(OR(INDEX($K$2:$K$1001,MATCH(ROWS($J$2:J897),$J$2:$J$1001,0),1)&gt;=100000,INDEX($Q$1005:$U$1005,1,MATCH(COLUMNS($Q$1006:S1006),$Q$1006:$U$1006,0))&gt;=100000), " ",IF(INDEX($Q$2:$U$1001,MATCH(ROWS($J$2:J897),$J$2:$J$1001,0),MATCH(COLUMNS($Q$1006:S1006),$Q$1006:$U$1006,0)), HYPERLINK("#",""), HYPERLINK(CONCATENATE("#Metadata!", ADDRESS(INDEX($L$2:$L$1001,MATCH(ROWS($J$2:J897),$J$2:$J$1001,0),0), INDEX($Q$1004:$U$1004,1,MATCH(COLUMNS($Q$1006:S1006),$Q$1006:$U$1006,0)))),"Fix")))</f>
        <v xml:space="preserve"> </v>
      </c>
      <c r="E897" s="3" t="str">
        <f ca="1">IF(OR(INDEX($K$2:$K$1001,MATCH(ROWS($J$2:J897),$J$2:$J$1001,0),1)&gt;=100000,INDEX($Q$1005:$U$1005,1,MATCH(COLUMNS($Q$1006:T1006),$Q$1006:$U$1006,0))&gt;=100000), " ",IF(INDEX($Q$2:$U$1001,MATCH(ROWS($J$2:J897),$J$2:$J$1001,0),MATCH(COLUMNS($Q$1006:T1006),$Q$1006:$U$1006,0)), HYPERLINK("#",""), HYPERLINK(CONCATENATE("#Metadata!", ADDRESS(INDEX($L$2:$L$1001,MATCH(ROWS($J$2:J897),$J$2:$J$1001,0),0), INDEX($Q$1004:$U$1004,1,MATCH(COLUMNS($Q$1006:T1006),$Q$1006:$U$1006,0)))),"Fix")))</f>
        <v xml:space="preserve"> </v>
      </c>
      <c r="F897" s="3" t="str">
        <f ca="1">IF(OR(INDEX($K$2:$K$1001,MATCH(ROWS($J$2:J897),$J$2:$J$1001,0),1)&gt;=100000,INDEX($Q$1005:$U$1005,1,MATCH(COLUMNS($Q$1006:U1006),$Q$1006:$U$1006,0))&gt;=100000), " ",IF(INDEX($Q$2:$U$1001,MATCH(ROWS($J$2:J897),$J$2:$J$1001,0),MATCH(COLUMNS($Q$1006:U1006),$Q$1006:$U$1006,0)), HYPERLINK("#",""), HYPERLINK(CONCATENATE("#Metadata!", ADDRESS(INDEX($L$2:$L$1001,MATCH(ROWS($J$2:J897),$J$2:$J$1001,0),0), INDEX($Q$1004:$U$1004,1,MATCH(COLUMNS($Q$1006:U1006),$Q$1006:$U$1006,0)))),"Fix")))</f>
        <v xml:space="preserve"> </v>
      </c>
      <c r="J897">
        <f ca="1"/>
        <v>896</v>
      </c>
      <c r="K897">
        <v>100897</v>
      </c>
      <c r="L897">
        <v>897</v>
      </c>
      <c r="M897" t="b">
        <f t="shared" si="13"/>
        <v>1</v>
      </c>
      <c r="N897" t="b">
        <f>COUNTBLANK(Metadata!B897:F897)=COLUMNS(Metadata!B897:F897)</f>
        <v>1</v>
      </c>
      <c r="O897" t="str">
        <v/>
      </c>
      <c r="Q897" t="b">
        <f ca="1"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R897" t="b">
        <f>IF(Metadata!C897="",FALSE,TRUE)</f>
        <v>0</v>
      </c>
      <c r="S897" t="b">
        <f>OR(AND(IF(Metadata!D897="",FALSE,TRUE),EXACT(Metadata!D897,"missing: not collected")),AND(IF(Metadata!D897="",FALSE,TRUE),OR(EXACT(Metadata!D897,"t"),EXACT(Metadata!D897,"f"))))</f>
        <v>0</v>
      </c>
      <c r="T897" t="b">
        <f>AND(IF(Metadata!E897="",FALSE,TRUE),OR(EXACT(Metadata!E897,"a"),EXACT(Metadata!E897,"b")))</f>
        <v>0</v>
      </c>
      <c r="U897" t="b">
        <f>OR(AND(IF(Metadata!F897="",FALSE,TRUE),OR(EXACT(Metadata!F897,"missing: not collected"),EXACT(Metadata!F897,"missing: not provided"))),AND(IF(Metadata!F897="",FALSE,TRUE),OR(EXACT(Metadata!F897,"lo"),EXACT(Metadata!F897,"med"),EXACT(Metadata!F897,"hi"))))</f>
        <v>0</v>
      </c>
    </row>
    <row r="898" spans="1:21" x14ac:dyDescent="0.2">
      <c r="A898" s="4" t="str">
        <f ca="1">IF(B898=" "," ",HYPERLINK(CONCATENATE("#metadata!",ADDRESS(INDEX($L$2:$L$1001,MATCH(ROWS($J$2:J898),$J$2:$J$1001,0),0),1)),INDEX($O$2:$O$1001,MATCH(ROWS($J$2:J898),$J$2:$J$1001,0),0)))</f>
        <v xml:space="preserve"> </v>
      </c>
      <c r="B898" s="3" t="str">
        <f ca="1">IF(OR(INDEX($K$2:$K$1001,MATCH(ROWS($J$2:J898),$J$2:$J$1001,0),1)&gt;=100000,INDEX($Q$1005:$U$1005,1,MATCH(COLUMNS($Q$1006:Q1006),$Q$1006:$U$1006,0))&gt;=100000), " ",IF(INDEX($Q$2:$U$1001,MATCH(ROWS($J$2:J898),$J$2:$J$1001,0),MATCH(COLUMNS($Q$1006:Q1006),$Q$1006:$U$1006,0)), HYPERLINK("#",""), HYPERLINK(CONCATENATE("#Metadata!", ADDRESS(INDEX($L$2:$L$1001,MATCH(ROWS($J$2:J898),$J$2:$J$1001,0),0), INDEX($Q$1004:$U$1004,1,MATCH(COLUMNS($Q$1006:Q1006),$Q$1006:$U$1006,0)))),"Fix")))</f>
        <v xml:space="preserve"> </v>
      </c>
      <c r="C898" s="3" t="str">
        <f ca="1">IF(OR(INDEX($K$2:$K$1001,MATCH(ROWS($J$2:J898),$J$2:$J$1001,0),1)&gt;=100000,INDEX($Q$1005:$U$1005,1,MATCH(COLUMNS($Q$1006:R1006),$Q$1006:$U$1006,0))&gt;=100000), " ",IF(INDEX($Q$2:$U$1001,MATCH(ROWS($J$2:J898),$J$2:$J$1001,0),MATCH(COLUMNS($Q$1006:R1006),$Q$1006:$U$1006,0)), HYPERLINK("#",""), HYPERLINK(CONCATENATE("#Metadata!", ADDRESS(INDEX($L$2:$L$1001,MATCH(ROWS($J$2:J898),$J$2:$J$1001,0),0), INDEX($Q$1004:$U$1004,1,MATCH(COLUMNS($Q$1006:R1006),$Q$1006:$U$1006,0)))),"Fix")))</f>
        <v xml:space="preserve"> </v>
      </c>
      <c r="D898" s="3" t="str">
        <f ca="1">IF(OR(INDEX($K$2:$K$1001,MATCH(ROWS($J$2:J898),$J$2:$J$1001,0),1)&gt;=100000,INDEX($Q$1005:$U$1005,1,MATCH(COLUMNS($Q$1006:S1006),$Q$1006:$U$1006,0))&gt;=100000), " ",IF(INDEX($Q$2:$U$1001,MATCH(ROWS($J$2:J898),$J$2:$J$1001,0),MATCH(COLUMNS($Q$1006:S1006),$Q$1006:$U$1006,0)), HYPERLINK("#",""), HYPERLINK(CONCATENATE("#Metadata!", ADDRESS(INDEX($L$2:$L$1001,MATCH(ROWS($J$2:J898),$J$2:$J$1001,0),0), INDEX($Q$1004:$U$1004,1,MATCH(COLUMNS($Q$1006:S1006),$Q$1006:$U$1006,0)))),"Fix")))</f>
        <v xml:space="preserve"> </v>
      </c>
      <c r="E898" s="3" t="str">
        <f ca="1">IF(OR(INDEX($K$2:$K$1001,MATCH(ROWS($J$2:J898),$J$2:$J$1001,0),1)&gt;=100000,INDEX($Q$1005:$U$1005,1,MATCH(COLUMNS($Q$1006:T1006),$Q$1006:$U$1006,0))&gt;=100000), " ",IF(INDEX($Q$2:$U$1001,MATCH(ROWS($J$2:J898),$J$2:$J$1001,0),MATCH(COLUMNS($Q$1006:T1006),$Q$1006:$U$1006,0)), HYPERLINK("#",""), HYPERLINK(CONCATENATE("#Metadata!", ADDRESS(INDEX($L$2:$L$1001,MATCH(ROWS($J$2:J898),$J$2:$J$1001,0),0), INDEX($Q$1004:$U$1004,1,MATCH(COLUMNS($Q$1006:T1006),$Q$1006:$U$1006,0)))),"Fix")))</f>
        <v xml:space="preserve"> </v>
      </c>
      <c r="F898" s="3" t="str">
        <f ca="1">IF(OR(INDEX($K$2:$K$1001,MATCH(ROWS($J$2:J898),$J$2:$J$1001,0),1)&gt;=100000,INDEX($Q$1005:$U$1005,1,MATCH(COLUMNS($Q$1006:U1006),$Q$1006:$U$1006,0))&gt;=100000), " ",IF(INDEX($Q$2:$U$1001,MATCH(ROWS($J$2:J898),$J$2:$J$1001,0),MATCH(COLUMNS($Q$1006:U1006),$Q$1006:$U$1006,0)), HYPERLINK("#",""), HYPERLINK(CONCATENATE("#Metadata!", ADDRESS(INDEX($L$2:$L$1001,MATCH(ROWS($J$2:J898),$J$2:$J$1001,0),0), INDEX($Q$1004:$U$1004,1,MATCH(COLUMNS($Q$1006:U1006),$Q$1006:$U$1006,0)))),"Fix")))</f>
        <v xml:space="preserve"> </v>
      </c>
      <c r="J898">
        <f ca="1"/>
        <v>897</v>
      </c>
      <c r="K898">
        <v>100898</v>
      </c>
      <c r="L898">
        <v>898</v>
      </c>
      <c r="M898" t="b">
        <f t="shared" ref="M898:M961" si="14">IF(N898,TRUE,AND(Q898:U898))</f>
        <v>1</v>
      </c>
      <c r="N898" t="b">
        <f>COUNTBLANK(Metadata!B898:F898)=COLUMNS(Metadata!B898:F898)</f>
        <v>1</v>
      </c>
      <c r="O898" t="str">
        <v/>
      </c>
      <c r="Q898" t="b">
        <f ca="1"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R898" t="b">
        <f>IF(Metadata!C898="",FALSE,TRUE)</f>
        <v>0</v>
      </c>
      <c r="S898" t="b">
        <f>OR(AND(IF(Metadata!D898="",FALSE,TRUE),EXACT(Metadata!D898,"missing: not collected")),AND(IF(Metadata!D898="",FALSE,TRUE),OR(EXACT(Metadata!D898,"t"),EXACT(Metadata!D898,"f"))))</f>
        <v>0</v>
      </c>
      <c r="T898" t="b">
        <f>AND(IF(Metadata!E898="",FALSE,TRUE),OR(EXACT(Metadata!E898,"a"),EXACT(Metadata!E898,"b")))</f>
        <v>0</v>
      </c>
      <c r="U898" t="b">
        <f>OR(AND(IF(Metadata!F898="",FALSE,TRUE),OR(EXACT(Metadata!F898,"missing: not collected"),EXACT(Metadata!F898,"missing: not provided"))),AND(IF(Metadata!F898="",FALSE,TRUE),OR(EXACT(Metadata!F898,"lo"),EXACT(Metadata!F898,"med"),EXACT(Metadata!F898,"hi"))))</f>
        <v>0</v>
      </c>
    </row>
    <row r="899" spans="1:21" x14ac:dyDescent="0.2">
      <c r="A899" s="4" t="str">
        <f ca="1">IF(B899=" "," ",HYPERLINK(CONCATENATE("#metadata!",ADDRESS(INDEX($L$2:$L$1001,MATCH(ROWS($J$2:J899),$J$2:$J$1001,0),0),1)),INDEX($O$2:$O$1001,MATCH(ROWS($J$2:J899),$J$2:$J$1001,0),0)))</f>
        <v xml:space="preserve"> </v>
      </c>
      <c r="B899" s="3" t="str">
        <f ca="1">IF(OR(INDEX($K$2:$K$1001,MATCH(ROWS($J$2:J899),$J$2:$J$1001,0),1)&gt;=100000,INDEX($Q$1005:$U$1005,1,MATCH(COLUMNS($Q$1006:Q1006),$Q$1006:$U$1006,0))&gt;=100000), " ",IF(INDEX($Q$2:$U$1001,MATCH(ROWS($J$2:J899),$J$2:$J$1001,0),MATCH(COLUMNS($Q$1006:Q1006),$Q$1006:$U$1006,0)), HYPERLINK("#",""), HYPERLINK(CONCATENATE("#Metadata!", ADDRESS(INDEX($L$2:$L$1001,MATCH(ROWS($J$2:J899),$J$2:$J$1001,0),0), INDEX($Q$1004:$U$1004,1,MATCH(COLUMNS($Q$1006:Q1006),$Q$1006:$U$1006,0)))),"Fix")))</f>
        <v xml:space="preserve"> </v>
      </c>
      <c r="C899" s="3" t="str">
        <f ca="1">IF(OR(INDEX($K$2:$K$1001,MATCH(ROWS($J$2:J899),$J$2:$J$1001,0),1)&gt;=100000,INDEX($Q$1005:$U$1005,1,MATCH(COLUMNS($Q$1006:R1006),$Q$1006:$U$1006,0))&gt;=100000), " ",IF(INDEX($Q$2:$U$1001,MATCH(ROWS($J$2:J899),$J$2:$J$1001,0),MATCH(COLUMNS($Q$1006:R1006),$Q$1006:$U$1006,0)), HYPERLINK("#",""), HYPERLINK(CONCATENATE("#Metadata!", ADDRESS(INDEX($L$2:$L$1001,MATCH(ROWS($J$2:J899),$J$2:$J$1001,0),0), INDEX($Q$1004:$U$1004,1,MATCH(COLUMNS($Q$1006:R1006),$Q$1006:$U$1006,0)))),"Fix")))</f>
        <v xml:space="preserve"> </v>
      </c>
      <c r="D899" s="3" t="str">
        <f ca="1">IF(OR(INDEX($K$2:$K$1001,MATCH(ROWS($J$2:J899),$J$2:$J$1001,0),1)&gt;=100000,INDEX($Q$1005:$U$1005,1,MATCH(COLUMNS($Q$1006:S1006),$Q$1006:$U$1006,0))&gt;=100000), " ",IF(INDEX($Q$2:$U$1001,MATCH(ROWS($J$2:J899),$J$2:$J$1001,0),MATCH(COLUMNS($Q$1006:S1006),$Q$1006:$U$1006,0)), HYPERLINK("#",""), HYPERLINK(CONCATENATE("#Metadata!", ADDRESS(INDEX($L$2:$L$1001,MATCH(ROWS($J$2:J899),$J$2:$J$1001,0),0), INDEX($Q$1004:$U$1004,1,MATCH(COLUMNS($Q$1006:S1006),$Q$1006:$U$1006,0)))),"Fix")))</f>
        <v xml:space="preserve"> </v>
      </c>
      <c r="E899" s="3" t="str">
        <f ca="1">IF(OR(INDEX($K$2:$K$1001,MATCH(ROWS($J$2:J899),$J$2:$J$1001,0),1)&gt;=100000,INDEX($Q$1005:$U$1005,1,MATCH(COLUMNS($Q$1006:T1006),$Q$1006:$U$1006,0))&gt;=100000), " ",IF(INDEX($Q$2:$U$1001,MATCH(ROWS($J$2:J899),$J$2:$J$1001,0),MATCH(COLUMNS($Q$1006:T1006),$Q$1006:$U$1006,0)), HYPERLINK("#",""), HYPERLINK(CONCATENATE("#Metadata!", ADDRESS(INDEX($L$2:$L$1001,MATCH(ROWS($J$2:J899),$J$2:$J$1001,0),0), INDEX($Q$1004:$U$1004,1,MATCH(COLUMNS($Q$1006:T1006),$Q$1006:$U$1006,0)))),"Fix")))</f>
        <v xml:space="preserve"> </v>
      </c>
      <c r="F899" s="3" t="str">
        <f ca="1">IF(OR(INDEX($K$2:$K$1001,MATCH(ROWS($J$2:J899),$J$2:$J$1001,0),1)&gt;=100000,INDEX($Q$1005:$U$1005,1,MATCH(COLUMNS($Q$1006:U1006),$Q$1006:$U$1006,0))&gt;=100000), " ",IF(INDEX($Q$2:$U$1001,MATCH(ROWS($J$2:J899),$J$2:$J$1001,0),MATCH(COLUMNS($Q$1006:U1006),$Q$1006:$U$1006,0)), HYPERLINK("#",""), HYPERLINK(CONCATENATE("#Metadata!", ADDRESS(INDEX($L$2:$L$1001,MATCH(ROWS($J$2:J899),$J$2:$J$1001,0),0), INDEX($Q$1004:$U$1004,1,MATCH(COLUMNS($Q$1006:U1006),$Q$1006:$U$1006,0)))),"Fix")))</f>
        <v xml:space="preserve"> </v>
      </c>
      <c r="J899">
        <f ca="1"/>
        <v>898</v>
      </c>
      <c r="K899">
        <v>100899</v>
      </c>
      <c r="L899">
        <v>899</v>
      </c>
      <c r="M899" t="b">
        <f t="shared" si="14"/>
        <v>1</v>
      </c>
      <c r="N899" t="b">
        <f>COUNTBLANK(Metadata!B899:F899)=COLUMNS(Metadata!B899:F899)</f>
        <v>1</v>
      </c>
      <c r="O899" t="str">
        <v/>
      </c>
      <c r="Q899" t="b">
        <f ca="1"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R899" t="b">
        <f>IF(Metadata!C899="",FALSE,TRUE)</f>
        <v>0</v>
      </c>
      <c r="S899" t="b">
        <f>OR(AND(IF(Metadata!D899="",FALSE,TRUE),EXACT(Metadata!D899,"missing: not collected")),AND(IF(Metadata!D899="",FALSE,TRUE),OR(EXACT(Metadata!D899,"t"),EXACT(Metadata!D899,"f"))))</f>
        <v>0</v>
      </c>
      <c r="T899" t="b">
        <f>AND(IF(Metadata!E899="",FALSE,TRUE),OR(EXACT(Metadata!E899,"a"),EXACT(Metadata!E899,"b")))</f>
        <v>0</v>
      </c>
      <c r="U899" t="b">
        <f>OR(AND(IF(Metadata!F899="",FALSE,TRUE),OR(EXACT(Metadata!F899,"missing: not collected"),EXACT(Metadata!F899,"missing: not provided"))),AND(IF(Metadata!F899="",FALSE,TRUE),OR(EXACT(Metadata!F899,"lo"),EXACT(Metadata!F899,"med"),EXACT(Metadata!F899,"hi"))))</f>
        <v>0</v>
      </c>
    </row>
    <row r="900" spans="1:21" x14ac:dyDescent="0.2">
      <c r="A900" s="4" t="str">
        <f ca="1">IF(B900=" "," ",HYPERLINK(CONCATENATE("#metadata!",ADDRESS(INDEX($L$2:$L$1001,MATCH(ROWS($J$2:J900),$J$2:$J$1001,0),0),1)),INDEX($O$2:$O$1001,MATCH(ROWS($J$2:J900),$J$2:$J$1001,0),0)))</f>
        <v xml:space="preserve"> </v>
      </c>
      <c r="B900" s="3" t="str">
        <f ca="1">IF(OR(INDEX($K$2:$K$1001,MATCH(ROWS($J$2:J900),$J$2:$J$1001,0),1)&gt;=100000,INDEX($Q$1005:$U$1005,1,MATCH(COLUMNS($Q$1006:Q1006),$Q$1006:$U$1006,0))&gt;=100000), " ",IF(INDEX($Q$2:$U$1001,MATCH(ROWS($J$2:J900),$J$2:$J$1001,0),MATCH(COLUMNS($Q$1006:Q1006),$Q$1006:$U$1006,0)), HYPERLINK("#",""), HYPERLINK(CONCATENATE("#Metadata!", ADDRESS(INDEX($L$2:$L$1001,MATCH(ROWS($J$2:J900),$J$2:$J$1001,0),0), INDEX($Q$1004:$U$1004,1,MATCH(COLUMNS($Q$1006:Q1006),$Q$1006:$U$1006,0)))),"Fix")))</f>
        <v xml:space="preserve"> </v>
      </c>
      <c r="C900" s="3" t="str">
        <f ca="1">IF(OR(INDEX($K$2:$K$1001,MATCH(ROWS($J$2:J900),$J$2:$J$1001,0),1)&gt;=100000,INDEX($Q$1005:$U$1005,1,MATCH(COLUMNS($Q$1006:R1006),$Q$1006:$U$1006,0))&gt;=100000), " ",IF(INDEX($Q$2:$U$1001,MATCH(ROWS($J$2:J900),$J$2:$J$1001,0),MATCH(COLUMNS($Q$1006:R1006),$Q$1006:$U$1006,0)), HYPERLINK("#",""), HYPERLINK(CONCATENATE("#Metadata!", ADDRESS(INDEX($L$2:$L$1001,MATCH(ROWS($J$2:J900),$J$2:$J$1001,0),0), INDEX($Q$1004:$U$1004,1,MATCH(COLUMNS($Q$1006:R1006),$Q$1006:$U$1006,0)))),"Fix")))</f>
        <v xml:space="preserve"> </v>
      </c>
      <c r="D900" s="3" t="str">
        <f ca="1">IF(OR(INDEX($K$2:$K$1001,MATCH(ROWS($J$2:J900),$J$2:$J$1001,0),1)&gt;=100000,INDEX($Q$1005:$U$1005,1,MATCH(COLUMNS($Q$1006:S1006),$Q$1006:$U$1006,0))&gt;=100000), " ",IF(INDEX($Q$2:$U$1001,MATCH(ROWS($J$2:J900),$J$2:$J$1001,0),MATCH(COLUMNS($Q$1006:S1006),$Q$1006:$U$1006,0)), HYPERLINK("#",""), HYPERLINK(CONCATENATE("#Metadata!", ADDRESS(INDEX($L$2:$L$1001,MATCH(ROWS($J$2:J900),$J$2:$J$1001,0),0), INDEX($Q$1004:$U$1004,1,MATCH(COLUMNS($Q$1006:S1006),$Q$1006:$U$1006,0)))),"Fix")))</f>
        <v xml:space="preserve"> </v>
      </c>
      <c r="E900" s="3" t="str">
        <f ca="1">IF(OR(INDEX($K$2:$K$1001,MATCH(ROWS($J$2:J900),$J$2:$J$1001,0),1)&gt;=100000,INDEX($Q$1005:$U$1005,1,MATCH(COLUMNS($Q$1006:T1006),$Q$1006:$U$1006,0))&gt;=100000), " ",IF(INDEX($Q$2:$U$1001,MATCH(ROWS($J$2:J900),$J$2:$J$1001,0),MATCH(COLUMNS($Q$1006:T1006),$Q$1006:$U$1006,0)), HYPERLINK("#",""), HYPERLINK(CONCATENATE("#Metadata!", ADDRESS(INDEX($L$2:$L$1001,MATCH(ROWS($J$2:J900),$J$2:$J$1001,0),0), INDEX($Q$1004:$U$1004,1,MATCH(COLUMNS($Q$1006:T1006),$Q$1006:$U$1006,0)))),"Fix")))</f>
        <v xml:space="preserve"> </v>
      </c>
      <c r="F900" s="3" t="str">
        <f ca="1">IF(OR(INDEX($K$2:$K$1001,MATCH(ROWS($J$2:J900),$J$2:$J$1001,0),1)&gt;=100000,INDEX($Q$1005:$U$1005,1,MATCH(COLUMNS($Q$1006:U1006),$Q$1006:$U$1006,0))&gt;=100000), " ",IF(INDEX($Q$2:$U$1001,MATCH(ROWS($J$2:J900),$J$2:$J$1001,0),MATCH(COLUMNS($Q$1006:U1006),$Q$1006:$U$1006,0)), HYPERLINK("#",""), HYPERLINK(CONCATENATE("#Metadata!", ADDRESS(INDEX($L$2:$L$1001,MATCH(ROWS($J$2:J900),$J$2:$J$1001,0),0), INDEX($Q$1004:$U$1004,1,MATCH(COLUMNS($Q$1006:U1006),$Q$1006:$U$1006,0)))),"Fix")))</f>
        <v xml:space="preserve"> </v>
      </c>
      <c r="J900">
        <f ca="1"/>
        <v>899</v>
      </c>
      <c r="K900">
        <v>100900</v>
      </c>
      <c r="L900">
        <v>900</v>
      </c>
      <c r="M900" t="b">
        <f t="shared" si="14"/>
        <v>1</v>
      </c>
      <c r="N900" t="b">
        <f>COUNTBLANK(Metadata!B900:F900)=COLUMNS(Metadata!B900:F900)</f>
        <v>1</v>
      </c>
      <c r="O900" t="str">
        <v/>
      </c>
      <c r="Q900" t="b">
        <f ca="1"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R900" t="b">
        <f>IF(Metadata!C900="",FALSE,TRUE)</f>
        <v>0</v>
      </c>
      <c r="S900" t="b">
        <f>OR(AND(IF(Metadata!D900="",FALSE,TRUE),EXACT(Metadata!D900,"missing: not collected")),AND(IF(Metadata!D900="",FALSE,TRUE),OR(EXACT(Metadata!D900,"t"),EXACT(Metadata!D900,"f"))))</f>
        <v>0</v>
      </c>
      <c r="T900" t="b">
        <f>AND(IF(Metadata!E900="",FALSE,TRUE),OR(EXACT(Metadata!E900,"a"),EXACT(Metadata!E900,"b")))</f>
        <v>0</v>
      </c>
      <c r="U900" t="b">
        <f>OR(AND(IF(Metadata!F900="",FALSE,TRUE),OR(EXACT(Metadata!F900,"missing: not collected"),EXACT(Metadata!F900,"missing: not provided"))),AND(IF(Metadata!F900="",FALSE,TRUE),OR(EXACT(Metadata!F900,"lo"),EXACT(Metadata!F900,"med"),EXACT(Metadata!F900,"hi"))))</f>
        <v>0</v>
      </c>
    </row>
    <row r="901" spans="1:21" x14ac:dyDescent="0.2">
      <c r="A901" s="4" t="str">
        <f ca="1">IF(B901=" "," ",HYPERLINK(CONCATENATE("#metadata!",ADDRESS(INDEX($L$2:$L$1001,MATCH(ROWS($J$2:J901),$J$2:$J$1001,0),0),1)),INDEX($O$2:$O$1001,MATCH(ROWS($J$2:J901),$J$2:$J$1001,0),0)))</f>
        <v xml:space="preserve"> </v>
      </c>
      <c r="B901" s="3" t="str">
        <f ca="1">IF(OR(INDEX($K$2:$K$1001,MATCH(ROWS($J$2:J901),$J$2:$J$1001,0),1)&gt;=100000,INDEX($Q$1005:$U$1005,1,MATCH(COLUMNS($Q$1006:Q1006),$Q$1006:$U$1006,0))&gt;=100000), " ",IF(INDEX($Q$2:$U$1001,MATCH(ROWS($J$2:J901),$J$2:$J$1001,0),MATCH(COLUMNS($Q$1006:Q1006),$Q$1006:$U$1006,0)), HYPERLINK("#",""), HYPERLINK(CONCATENATE("#Metadata!", ADDRESS(INDEX($L$2:$L$1001,MATCH(ROWS($J$2:J901),$J$2:$J$1001,0),0), INDEX($Q$1004:$U$1004,1,MATCH(COLUMNS($Q$1006:Q1006),$Q$1006:$U$1006,0)))),"Fix")))</f>
        <v xml:space="preserve"> </v>
      </c>
      <c r="C901" s="3" t="str">
        <f ca="1">IF(OR(INDEX($K$2:$K$1001,MATCH(ROWS($J$2:J901),$J$2:$J$1001,0),1)&gt;=100000,INDEX($Q$1005:$U$1005,1,MATCH(COLUMNS($Q$1006:R1006),$Q$1006:$U$1006,0))&gt;=100000), " ",IF(INDEX($Q$2:$U$1001,MATCH(ROWS($J$2:J901),$J$2:$J$1001,0),MATCH(COLUMNS($Q$1006:R1006),$Q$1006:$U$1006,0)), HYPERLINK("#",""), HYPERLINK(CONCATENATE("#Metadata!", ADDRESS(INDEX($L$2:$L$1001,MATCH(ROWS($J$2:J901),$J$2:$J$1001,0),0), INDEX($Q$1004:$U$1004,1,MATCH(COLUMNS($Q$1006:R1006),$Q$1006:$U$1006,0)))),"Fix")))</f>
        <v xml:space="preserve"> </v>
      </c>
      <c r="D901" s="3" t="str">
        <f ca="1">IF(OR(INDEX($K$2:$K$1001,MATCH(ROWS($J$2:J901),$J$2:$J$1001,0),1)&gt;=100000,INDEX($Q$1005:$U$1005,1,MATCH(COLUMNS($Q$1006:S1006),$Q$1006:$U$1006,0))&gt;=100000), " ",IF(INDEX($Q$2:$U$1001,MATCH(ROWS($J$2:J901),$J$2:$J$1001,0),MATCH(COLUMNS($Q$1006:S1006),$Q$1006:$U$1006,0)), HYPERLINK("#",""), HYPERLINK(CONCATENATE("#Metadata!", ADDRESS(INDEX($L$2:$L$1001,MATCH(ROWS($J$2:J901),$J$2:$J$1001,0),0), INDEX($Q$1004:$U$1004,1,MATCH(COLUMNS($Q$1006:S1006),$Q$1006:$U$1006,0)))),"Fix")))</f>
        <v xml:space="preserve"> </v>
      </c>
      <c r="E901" s="3" t="str">
        <f ca="1">IF(OR(INDEX($K$2:$K$1001,MATCH(ROWS($J$2:J901),$J$2:$J$1001,0),1)&gt;=100000,INDEX($Q$1005:$U$1005,1,MATCH(COLUMNS($Q$1006:T1006),$Q$1006:$U$1006,0))&gt;=100000), " ",IF(INDEX($Q$2:$U$1001,MATCH(ROWS($J$2:J901),$J$2:$J$1001,0),MATCH(COLUMNS($Q$1006:T1006),$Q$1006:$U$1006,0)), HYPERLINK("#",""), HYPERLINK(CONCATENATE("#Metadata!", ADDRESS(INDEX($L$2:$L$1001,MATCH(ROWS($J$2:J901),$J$2:$J$1001,0),0), INDEX($Q$1004:$U$1004,1,MATCH(COLUMNS($Q$1006:T1006),$Q$1006:$U$1006,0)))),"Fix")))</f>
        <v xml:space="preserve"> </v>
      </c>
      <c r="F901" s="3" t="str">
        <f ca="1">IF(OR(INDEX($K$2:$K$1001,MATCH(ROWS($J$2:J901),$J$2:$J$1001,0),1)&gt;=100000,INDEX($Q$1005:$U$1005,1,MATCH(COLUMNS($Q$1006:U1006),$Q$1006:$U$1006,0))&gt;=100000), " ",IF(INDEX($Q$2:$U$1001,MATCH(ROWS($J$2:J901),$J$2:$J$1001,0),MATCH(COLUMNS($Q$1006:U1006),$Q$1006:$U$1006,0)), HYPERLINK("#",""), HYPERLINK(CONCATENATE("#Metadata!", ADDRESS(INDEX($L$2:$L$1001,MATCH(ROWS($J$2:J901),$J$2:$J$1001,0),0), INDEX($Q$1004:$U$1004,1,MATCH(COLUMNS($Q$1006:U1006),$Q$1006:$U$1006,0)))),"Fix")))</f>
        <v xml:space="preserve"> </v>
      </c>
      <c r="J901">
        <f ca="1"/>
        <v>900</v>
      </c>
      <c r="K901">
        <v>100901</v>
      </c>
      <c r="L901">
        <v>901</v>
      </c>
      <c r="M901" t="b">
        <f t="shared" si="14"/>
        <v>1</v>
      </c>
      <c r="N901" t="b">
        <f>COUNTBLANK(Metadata!B901:F901)=COLUMNS(Metadata!B901:F901)</f>
        <v>1</v>
      </c>
      <c r="O901" t="str">
        <v/>
      </c>
      <c r="Q901" t="b">
        <f ca="1"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R901" t="b">
        <f>IF(Metadata!C901="",FALSE,TRUE)</f>
        <v>0</v>
      </c>
      <c r="S901" t="b">
        <f>OR(AND(IF(Metadata!D901="",FALSE,TRUE),EXACT(Metadata!D901,"missing: not collected")),AND(IF(Metadata!D901="",FALSE,TRUE),OR(EXACT(Metadata!D901,"t"),EXACT(Metadata!D901,"f"))))</f>
        <v>0</v>
      </c>
      <c r="T901" t="b">
        <f>AND(IF(Metadata!E901="",FALSE,TRUE),OR(EXACT(Metadata!E901,"a"),EXACT(Metadata!E901,"b")))</f>
        <v>0</v>
      </c>
      <c r="U901" t="b">
        <f>OR(AND(IF(Metadata!F901="",FALSE,TRUE),OR(EXACT(Metadata!F901,"missing: not collected"),EXACT(Metadata!F901,"missing: not provided"))),AND(IF(Metadata!F901="",FALSE,TRUE),OR(EXACT(Metadata!F901,"lo"),EXACT(Metadata!F901,"med"),EXACT(Metadata!F901,"hi"))))</f>
        <v>0</v>
      </c>
    </row>
    <row r="902" spans="1:21" x14ac:dyDescent="0.2">
      <c r="A902" s="4" t="str">
        <f ca="1">IF(B902=" "," ",HYPERLINK(CONCATENATE("#metadata!",ADDRESS(INDEX($L$2:$L$1001,MATCH(ROWS($J$2:J902),$J$2:$J$1001,0),0),1)),INDEX($O$2:$O$1001,MATCH(ROWS($J$2:J902),$J$2:$J$1001,0),0)))</f>
        <v xml:space="preserve"> </v>
      </c>
      <c r="B902" s="3" t="str">
        <f ca="1">IF(OR(INDEX($K$2:$K$1001,MATCH(ROWS($J$2:J902),$J$2:$J$1001,0),1)&gt;=100000,INDEX($Q$1005:$U$1005,1,MATCH(COLUMNS($Q$1006:Q1006),$Q$1006:$U$1006,0))&gt;=100000), " ",IF(INDEX($Q$2:$U$1001,MATCH(ROWS($J$2:J902),$J$2:$J$1001,0),MATCH(COLUMNS($Q$1006:Q1006),$Q$1006:$U$1006,0)), HYPERLINK("#",""), HYPERLINK(CONCATENATE("#Metadata!", ADDRESS(INDEX($L$2:$L$1001,MATCH(ROWS($J$2:J902),$J$2:$J$1001,0),0), INDEX($Q$1004:$U$1004,1,MATCH(COLUMNS($Q$1006:Q1006),$Q$1006:$U$1006,0)))),"Fix")))</f>
        <v xml:space="preserve"> </v>
      </c>
      <c r="C902" s="3" t="str">
        <f ca="1">IF(OR(INDEX($K$2:$K$1001,MATCH(ROWS($J$2:J902),$J$2:$J$1001,0),1)&gt;=100000,INDEX($Q$1005:$U$1005,1,MATCH(COLUMNS($Q$1006:R1006),$Q$1006:$U$1006,0))&gt;=100000), " ",IF(INDEX($Q$2:$U$1001,MATCH(ROWS($J$2:J902),$J$2:$J$1001,0),MATCH(COLUMNS($Q$1006:R1006),$Q$1006:$U$1006,0)), HYPERLINK("#",""), HYPERLINK(CONCATENATE("#Metadata!", ADDRESS(INDEX($L$2:$L$1001,MATCH(ROWS($J$2:J902),$J$2:$J$1001,0),0), INDEX($Q$1004:$U$1004,1,MATCH(COLUMNS($Q$1006:R1006),$Q$1006:$U$1006,0)))),"Fix")))</f>
        <v xml:space="preserve"> </v>
      </c>
      <c r="D902" s="3" t="str">
        <f ca="1">IF(OR(INDEX($K$2:$K$1001,MATCH(ROWS($J$2:J902),$J$2:$J$1001,0),1)&gt;=100000,INDEX($Q$1005:$U$1005,1,MATCH(COLUMNS($Q$1006:S1006),$Q$1006:$U$1006,0))&gt;=100000), " ",IF(INDEX($Q$2:$U$1001,MATCH(ROWS($J$2:J902),$J$2:$J$1001,0),MATCH(COLUMNS($Q$1006:S1006),$Q$1006:$U$1006,0)), HYPERLINK("#",""), HYPERLINK(CONCATENATE("#Metadata!", ADDRESS(INDEX($L$2:$L$1001,MATCH(ROWS($J$2:J902),$J$2:$J$1001,0),0), INDEX($Q$1004:$U$1004,1,MATCH(COLUMNS($Q$1006:S1006),$Q$1006:$U$1006,0)))),"Fix")))</f>
        <v xml:space="preserve"> </v>
      </c>
      <c r="E902" s="3" t="str">
        <f ca="1">IF(OR(INDEX($K$2:$K$1001,MATCH(ROWS($J$2:J902),$J$2:$J$1001,0),1)&gt;=100000,INDEX($Q$1005:$U$1005,1,MATCH(COLUMNS($Q$1006:T1006),$Q$1006:$U$1006,0))&gt;=100000), " ",IF(INDEX($Q$2:$U$1001,MATCH(ROWS($J$2:J902),$J$2:$J$1001,0),MATCH(COLUMNS($Q$1006:T1006),$Q$1006:$U$1006,0)), HYPERLINK("#",""), HYPERLINK(CONCATENATE("#Metadata!", ADDRESS(INDEX($L$2:$L$1001,MATCH(ROWS($J$2:J902),$J$2:$J$1001,0),0), INDEX($Q$1004:$U$1004,1,MATCH(COLUMNS($Q$1006:T1006),$Q$1006:$U$1006,0)))),"Fix")))</f>
        <v xml:space="preserve"> </v>
      </c>
      <c r="F902" s="3" t="str">
        <f ca="1">IF(OR(INDEX($K$2:$K$1001,MATCH(ROWS($J$2:J902),$J$2:$J$1001,0),1)&gt;=100000,INDEX($Q$1005:$U$1005,1,MATCH(COLUMNS($Q$1006:U1006),$Q$1006:$U$1006,0))&gt;=100000), " ",IF(INDEX($Q$2:$U$1001,MATCH(ROWS($J$2:J902),$J$2:$J$1001,0),MATCH(COLUMNS($Q$1006:U1006),$Q$1006:$U$1006,0)), HYPERLINK("#",""), HYPERLINK(CONCATENATE("#Metadata!", ADDRESS(INDEX($L$2:$L$1001,MATCH(ROWS($J$2:J902),$J$2:$J$1001,0),0), INDEX($Q$1004:$U$1004,1,MATCH(COLUMNS($Q$1006:U1006),$Q$1006:$U$1006,0)))),"Fix")))</f>
        <v xml:space="preserve"> </v>
      </c>
      <c r="J902">
        <f ca="1"/>
        <v>901</v>
      </c>
      <c r="K902">
        <v>100902</v>
      </c>
      <c r="L902">
        <v>902</v>
      </c>
      <c r="M902" t="b">
        <f t="shared" si="14"/>
        <v>1</v>
      </c>
      <c r="N902" t="b">
        <f>COUNTBLANK(Metadata!B902:F902)=COLUMNS(Metadata!B902:F902)</f>
        <v>1</v>
      </c>
      <c r="O902" t="str">
        <v/>
      </c>
      <c r="Q902" t="b">
        <f ca="1"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R902" t="b">
        <f>IF(Metadata!C902="",FALSE,TRUE)</f>
        <v>0</v>
      </c>
      <c r="S902" t="b">
        <f>OR(AND(IF(Metadata!D902="",FALSE,TRUE),EXACT(Metadata!D902,"missing: not collected")),AND(IF(Metadata!D902="",FALSE,TRUE),OR(EXACT(Metadata!D902,"t"),EXACT(Metadata!D902,"f"))))</f>
        <v>0</v>
      </c>
      <c r="T902" t="b">
        <f>AND(IF(Metadata!E902="",FALSE,TRUE),OR(EXACT(Metadata!E902,"a"),EXACT(Metadata!E902,"b")))</f>
        <v>0</v>
      </c>
      <c r="U902" t="b">
        <f>OR(AND(IF(Metadata!F902="",FALSE,TRUE),OR(EXACT(Metadata!F902,"missing: not collected"),EXACT(Metadata!F902,"missing: not provided"))),AND(IF(Metadata!F902="",FALSE,TRUE),OR(EXACT(Metadata!F902,"lo"),EXACT(Metadata!F902,"med"),EXACT(Metadata!F902,"hi"))))</f>
        <v>0</v>
      </c>
    </row>
    <row r="903" spans="1:21" x14ac:dyDescent="0.2">
      <c r="A903" s="4" t="str">
        <f ca="1">IF(B903=" "," ",HYPERLINK(CONCATENATE("#metadata!",ADDRESS(INDEX($L$2:$L$1001,MATCH(ROWS($J$2:J903),$J$2:$J$1001,0),0),1)),INDEX($O$2:$O$1001,MATCH(ROWS($J$2:J903),$J$2:$J$1001,0),0)))</f>
        <v xml:space="preserve"> </v>
      </c>
      <c r="B903" s="3" t="str">
        <f ca="1">IF(OR(INDEX($K$2:$K$1001,MATCH(ROWS($J$2:J903),$J$2:$J$1001,0),1)&gt;=100000,INDEX($Q$1005:$U$1005,1,MATCH(COLUMNS($Q$1006:Q1006),$Q$1006:$U$1006,0))&gt;=100000), " ",IF(INDEX($Q$2:$U$1001,MATCH(ROWS($J$2:J903),$J$2:$J$1001,0),MATCH(COLUMNS($Q$1006:Q1006),$Q$1006:$U$1006,0)), HYPERLINK("#",""), HYPERLINK(CONCATENATE("#Metadata!", ADDRESS(INDEX($L$2:$L$1001,MATCH(ROWS($J$2:J903),$J$2:$J$1001,0),0), INDEX($Q$1004:$U$1004,1,MATCH(COLUMNS($Q$1006:Q1006),$Q$1006:$U$1006,0)))),"Fix")))</f>
        <v xml:space="preserve"> </v>
      </c>
      <c r="C903" s="3" t="str">
        <f ca="1">IF(OR(INDEX($K$2:$K$1001,MATCH(ROWS($J$2:J903),$J$2:$J$1001,0),1)&gt;=100000,INDEX($Q$1005:$U$1005,1,MATCH(COLUMNS($Q$1006:R1006),$Q$1006:$U$1006,0))&gt;=100000), " ",IF(INDEX($Q$2:$U$1001,MATCH(ROWS($J$2:J903),$J$2:$J$1001,0),MATCH(COLUMNS($Q$1006:R1006),$Q$1006:$U$1006,0)), HYPERLINK("#",""), HYPERLINK(CONCATENATE("#Metadata!", ADDRESS(INDEX($L$2:$L$1001,MATCH(ROWS($J$2:J903),$J$2:$J$1001,0),0), INDEX($Q$1004:$U$1004,1,MATCH(COLUMNS($Q$1006:R1006),$Q$1006:$U$1006,0)))),"Fix")))</f>
        <v xml:space="preserve"> </v>
      </c>
      <c r="D903" s="3" t="str">
        <f ca="1">IF(OR(INDEX($K$2:$K$1001,MATCH(ROWS($J$2:J903),$J$2:$J$1001,0),1)&gt;=100000,INDEX($Q$1005:$U$1005,1,MATCH(COLUMNS($Q$1006:S1006),$Q$1006:$U$1006,0))&gt;=100000), " ",IF(INDEX($Q$2:$U$1001,MATCH(ROWS($J$2:J903),$J$2:$J$1001,0),MATCH(COLUMNS($Q$1006:S1006),$Q$1006:$U$1006,0)), HYPERLINK("#",""), HYPERLINK(CONCATENATE("#Metadata!", ADDRESS(INDEX($L$2:$L$1001,MATCH(ROWS($J$2:J903),$J$2:$J$1001,0),0), INDEX($Q$1004:$U$1004,1,MATCH(COLUMNS($Q$1006:S1006),$Q$1006:$U$1006,0)))),"Fix")))</f>
        <v xml:space="preserve"> </v>
      </c>
      <c r="E903" s="3" t="str">
        <f ca="1">IF(OR(INDEX($K$2:$K$1001,MATCH(ROWS($J$2:J903),$J$2:$J$1001,0),1)&gt;=100000,INDEX($Q$1005:$U$1005,1,MATCH(COLUMNS($Q$1006:T1006),$Q$1006:$U$1006,0))&gt;=100000), " ",IF(INDEX($Q$2:$U$1001,MATCH(ROWS($J$2:J903),$J$2:$J$1001,0),MATCH(COLUMNS($Q$1006:T1006),$Q$1006:$U$1006,0)), HYPERLINK("#",""), HYPERLINK(CONCATENATE("#Metadata!", ADDRESS(INDEX($L$2:$L$1001,MATCH(ROWS($J$2:J903),$J$2:$J$1001,0),0), INDEX($Q$1004:$U$1004,1,MATCH(COLUMNS($Q$1006:T1006),$Q$1006:$U$1006,0)))),"Fix")))</f>
        <v xml:space="preserve"> </v>
      </c>
      <c r="F903" s="3" t="str">
        <f ca="1">IF(OR(INDEX($K$2:$K$1001,MATCH(ROWS($J$2:J903),$J$2:$J$1001,0),1)&gt;=100000,INDEX($Q$1005:$U$1005,1,MATCH(COLUMNS($Q$1006:U1006),$Q$1006:$U$1006,0))&gt;=100000), " ",IF(INDEX($Q$2:$U$1001,MATCH(ROWS($J$2:J903),$J$2:$J$1001,0),MATCH(COLUMNS($Q$1006:U1006),$Q$1006:$U$1006,0)), HYPERLINK("#",""), HYPERLINK(CONCATENATE("#Metadata!", ADDRESS(INDEX($L$2:$L$1001,MATCH(ROWS($J$2:J903),$J$2:$J$1001,0),0), INDEX($Q$1004:$U$1004,1,MATCH(COLUMNS($Q$1006:U1006),$Q$1006:$U$1006,0)))),"Fix")))</f>
        <v xml:space="preserve"> </v>
      </c>
      <c r="J903">
        <f ca="1"/>
        <v>902</v>
      </c>
      <c r="K903">
        <v>100903</v>
      </c>
      <c r="L903">
        <v>903</v>
      </c>
      <c r="M903" t="b">
        <f t="shared" si="14"/>
        <v>1</v>
      </c>
      <c r="N903" t="b">
        <f>COUNTBLANK(Metadata!B903:F903)=COLUMNS(Metadata!B903:F903)</f>
        <v>1</v>
      </c>
      <c r="O903" t="str">
        <v/>
      </c>
      <c r="Q903" t="b">
        <f ca="1"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R903" t="b">
        <f>IF(Metadata!C903="",FALSE,TRUE)</f>
        <v>0</v>
      </c>
      <c r="S903" t="b">
        <f>OR(AND(IF(Metadata!D903="",FALSE,TRUE),EXACT(Metadata!D903,"missing: not collected")),AND(IF(Metadata!D903="",FALSE,TRUE),OR(EXACT(Metadata!D903,"t"),EXACT(Metadata!D903,"f"))))</f>
        <v>0</v>
      </c>
      <c r="T903" t="b">
        <f>AND(IF(Metadata!E903="",FALSE,TRUE),OR(EXACT(Metadata!E903,"a"),EXACT(Metadata!E903,"b")))</f>
        <v>0</v>
      </c>
      <c r="U903" t="b">
        <f>OR(AND(IF(Metadata!F903="",FALSE,TRUE),OR(EXACT(Metadata!F903,"missing: not collected"),EXACT(Metadata!F903,"missing: not provided"))),AND(IF(Metadata!F903="",FALSE,TRUE),OR(EXACT(Metadata!F903,"lo"),EXACT(Metadata!F903,"med"),EXACT(Metadata!F903,"hi"))))</f>
        <v>0</v>
      </c>
    </row>
    <row r="904" spans="1:21" x14ac:dyDescent="0.2">
      <c r="A904" s="4" t="str">
        <f ca="1">IF(B904=" "," ",HYPERLINK(CONCATENATE("#metadata!",ADDRESS(INDEX($L$2:$L$1001,MATCH(ROWS($J$2:J904),$J$2:$J$1001,0),0),1)),INDEX($O$2:$O$1001,MATCH(ROWS($J$2:J904),$J$2:$J$1001,0),0)))</f>
        <v xml:space="preserve"> </v>
      </c>
      <c r="B904" s="3" t="str">
        <f ca="1">IF(OR(INDEX($K$2:$K$1001,MATCH(ROWS($J$2:J904),$J$2:$J$1001,0),1)&gt;=100000,INDEX($Q$1005:$U$1005,1,MATCH(COLUMNS($Q$1006:Q1006),$Q$1006:$U$1006,0))&gt;=100000), " ",IF(INDEX($Q$2:$U$1001,MATCH(ROWS($J$2:J904),$J$2:$J$1001,0),MATCH(COLUMNS($Q$1006:Q1006),$Q$1006:$U$1006,0)), HYPERLINK("#",""), HYPERLINK(CONCATENATE("#Metadata!", ADDRESS(INDEX($L$2:$L$1001,MATCH(ROWS($J$2:J904),$J$2:$J$1001,0),0), INDEX($Q$1004:$U$1004,1,MATCH(COLUMNS($Q$1006:Q1006),$Q$1006:$U$1006,0)))),"Fix")))</f>
        <v xml:space="preserve"> </v>
      </c>
      <c r="C904" s="3" t="str">
        <f ca="1">IF(OR(INDEX($K$2:$K$1001,MATCH(ROWS($J$2:J904),$J$2:$J$1001,0),1)&gt;=100000,INDEX($Q$1005:$U$1005,1,MATCH(COLUMNS($Q$1006:R1006),$Q$1006:$U$1006,0))&gt;=100000), " ",IF(INDEX($Q$2:$U$1001,MATCH(ROWS($J$2:J904),$J$2:$J$1001,0),MATCH(COLUMNS($Q$1006:R1006),$Q$1006:$U$1006,0)), HYPERLINK("#",""), HYPERLINK(CONCATENATE("#Metadata!", ADDRESS(INDEX($L$2:$L$1001,MATCH(ROWS($J$2:J904),$J$2:$J$1001,0),0), INDEX($Q$1004:$U$1004,1,MATCH(COLUMNS($Q$1006:R1006),$Q$1006:$U$1006,0)))),"Fix")))</f>
        <v xml:space="preserve"> </v>
      </c>
      <c r="D904" s="3" t="str">
        <f ca="1">IF(OR(INDEX($K$2:$K$1001,MATCH(ROWS($J$2:J904),$J$2:$J$1001,0),1)&gt;=100000,INDEX($Q$1005:$U$1005,1,MATCH(COLUMNS($Q$1006:S1006),$Q$1006:$U$1006,0))&gt;=100000), " ",IF(INDEX($Q$2:$U$1001,MATCH(ROWS($J$2:J904),$J$2:$J$1001,0),MATCH(COLUMNS($Q$1006:S1006),$Q$1006:$U$1006,0)), HYPERLINK("#",""), HYPERLINK(CONCATENATE("#Metadata!", ADDRESS(INDEX($L$2:$L$1001,MATCH(ROWS($J$2:J904),$J$2:$J$1001,0),0), INDEX($Q$1004:$U$1004,1,MATCH(COLUMNS($Q$1006:S1006),$Q$1006:$U$1006,0)))),"Fix")))</f>
        <v xml:space="preserve"> </v>
      </c>
      <c r="E904" s="3" t="str">
        <f ca="1">IF(OR(INDEX($K$2:$K$1001,MATCH(ROWS($J$2:J904),$J$2:$J$1001,0),1)&gt;=100000,INDEX($Q$1005:$U$1005,1,MATCH(COLUMNS($Q$1006:T1006),$Q$1006:$U$1006,0))&gt;=100000), " ",IF(INDEX($Q$2:$U$1001,MATCH(ROWS($J$2:J904),$J$2:$J$1001,0),MATCH(COLUMNS($Q$1006:T1006),$Q$1006:$U$1006,0)), HYPERLINK("#",""), HYPERLINK(CONCATENATE("#Metadata!", ADDRESS(INDEX($L$2:$L$1001,MATCH(ROWS($J$2:J904),$J$2:$J$1001,0),0), INDEX($Q$1004:$U$1004,1,MATCH(COLUMNS($Q$1006:T1006),$Q$1006:$U$1006,0)))),"Fix")))</f>
        <v xml:space="preserve"> </v>
      </c>
      <c r="F904" s="3" t="str">
        <f ca="1">IF(OR(INDEX($K$2:$K$1001,MATCH(ROWS($J$2:J904),$J$2:$J$1001,0),1)&gt;=100000,INDEX($Q$1005:$U$1005,1,MATCH(COLUMNS($Q$1006:U1006),$Q$1006:$U$1006,0))&gt;=100000), " ",IF(INDEX($Q$2:$U$1001,MATCH(ROWS($J$2:J904),$J$2:$J$1001,0),MATCH(COLUMNS($Q$1006:U1006),$Q$1006:$U$1006,0)), HYPERLINK("#",""), HYPERLINK(CONCATENATE("#Metadata!", ADDRESS(INDEX($L$2:$L$1001,MATCH(ROWS($J$2:J904),$J$2:$J$1001,0),0), INDEX($Q$1004:$U$1004,1,MATCH(COLUMNS($Q$1006:U1006),$Q$1006:$U$1006,0)))),"Fix")))</f>
        <v xml:space="preserve"> </v>
      </c>
      <c r="J904">
        <f ca="1"/>
        <v>903</v>
      </c>
      <c r="K904">
        <v>100904</v>
      </c>
      <c r="L904">
        <v>904</v>
      </c>
      <c r="M904" t="b">
        <f t="shared" si="14"/>
        <v>1</v>
      </c>
      <c r="N904" t="b">
        <f>COUNTBLANK(Metadata!B904:F904)=COLUMNS(Metadata!B904:F904)</f>
        <v>1</v>
      </c>
      <c r="O904" t="str">
        <v/>
      </c>
      <c r="Q904" t="b">
        <f ca="1"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R904" t="b">
        <f>IF(Metadata!C904="",FALSE,TRUE)</f>
        <v>0</v>
      </c>
      <c r="S904" t="b">
        <f>OR(AND(IF(Metadata!D904="",FALSE,TRUE),EXACT(Metadata!D904,"missing: not collected")),AND(IF(Metadata!D904="",FALSE,TRUE),OR(EXACT(Metadata!D904,"t"),EXACT(Metadata!D904,"f"))))</f>
        <v>0</v>
      </c>
      <c r="T904" t="b">
        <f>AND(IF(Metadata!E904="",FALSE,TRUE),OR(EXACT(Metadata!E904,"a"),EXACT(Metadata!E904,"b")))</f>
        <v>0</v>
      </c>
      <c r="U904" t="b">
        <f>OR(AND(IF(Metadata!F904="",FALSE,TRUE),OR(EXACT(Metadata!F904,"missing: not collected"),EXACT(Metadata!F904,"missing: not provided"))),AND(IF(Metadata!F904="",FALSE,TRUE),OR(EXACT(Metadata!F904,"lo"),EXACT(Metadata!F904,"med"),EXACT(Metadata!F904,"hi"))))</f>
        <v>0</v>
      </c>
    </row>
    <row r="905" spans="1:21" x14ac:dyDescent="0.2">
      <c r="A905" s="4" t="str">
        <f ca="1">IF(B905=" "," ",HYPERLINK(CONCATENATE("#metadata!",ADDRESS(INDEX($L$2:$L$1001,MATCH(ROWS($J$2:J905),$J$2:$J$1001,0),0),1)),INDEX($O$2:$O$1001,MATCH(ROWS($J$2:J905),$J$2:$J$1001,0),0)))</f>
        <v xml:space="preserve"> </v>
      </c>
      <c r="B905" s="3" t="str">
        <f ca="1">IF(OR(INDEX($K$2:$K$1001,MATCH(ROWS($J$2:J905),$J$2:$J$1001,0),1)&gt;=100000,INDEX($Q$1005:$U$1005,1,MATCH(COLUMNS($Q$1006:Q1006),$Q$1006:$U$1006,0))&gt;=100000), " ",IF(INDEX($Q$2:$U$1001,MATCH(ROWS($J$2:J905),$J$2:$J$1001,0),MATCH(COLUMNS($Q$1006:Q1006),$Q$1006:$U$1006,0)), HYPERLINK("#",""), HYPERLINK(CONCATENATE("#Metadata!", ADDRESS(INDEX($L$2:$L$1001,MATCH(ROWS($J$2:J905),$J$2:$J$1001,0),0), INDEX($Q$1004:$U$1004,1,MATCH(COLUMNS($Q$1006:Q1006),$Q$1006:$U$1006,0)))),"Fix")))</f>
        <v xml:space="preserve"> </v>
      </c>
      <c r="C905" s="3" t="str">
        <f ca="1">IF(OR(INDEX($K$2:$K$1001,MATCH(ROWS($J$2:J905),$J$2:$J$1001,0),1)&gt;=100000,INDEX($Q$1005:$U$1005,1,MATCH(COLUMNS($Q$1006:R1006),$Q$1006:$U$1006,0))&gt;=100000), " ",IF(INDEX($Q$2:$U$1001,MATCH(ROWS($J$2:J905),$J$2:$J$1001,0),MATCH(COLUMNS($Q$1006:R1006),$Q$1006:$U$1006,0)), HYPERLINK("#",""), HYPERLINK(CONCATENATE("#Metadata!", ADDRESS(INDEX($L$2:$L$1001,MATCH(ROWS($J$2:J905),$J$2:$J$1001,0),0), INDEX($Q$1004:$U$1004,1,MATCH(COLUMNS($Q$1006:R1006),$Q$1006:$U$1006,0)))),"Fix")))</f>
        <v xml:space="preserve"> </v>
      </c>
      <c r="D905" s="3" t="str">
        <f ca="1">IF(OR(INDEX($K$2:$K$1001,MATCH(ROWS($J$2:J905),$J$2:$J$1001,0),1)&gt;=100000,INDEX($Q$1005:$U$1005,1,MATCH(COLUMNS($Q$1006:S1006),$Q$1006:$U$1006,0))&gt;=100000), " ",IF(INDEX($Q$2:$U$1001,MATCH(ROWS($J$2:J905),$J$2:$J$1001,0),MATCH(COLUMNS($Q$1006:S1006),$Q$1006:$U$1006,0)), HYPERLINK("#",""), HYPERLINK(CONCATENATE("#Metadata!", ADDRESS(INDEX($L$2:$L$1001,MATCH(ROWS($J$2:J905),$J$2:$J$1001,0),0), INDEX($Q$1004:$U$1004,1,MATCH(COLUMNS($Q$1006:S1006),$Q$1006:$U$1006,0)))),"Fix")))</f>
        <v xml:space="preserve"> </v>
      </c>
      <c r="E905" s="3" t="str">
        <f ca="1">IF(OR(INDEX($K$2:$K$1001,MATCH(ROWS($J$2:J905),$J$2:$J$1001,0),1)&gt;=100000,INDEX($Q$1005:$U$1005,1,MATCH(COLUMNS($Q$1006:T1006),$Q$1006:$U$1006,0))&gt;=100000), " ",IF(INDEX($Q$2:$U$1001,MATCH(ROWS($J$2:J905),$J$2:$J$1001,0),MATCH(COLUMNS($Q$1006:T1006),$Q$1006:$U$1006,0)), HYPERLINK("#",""), HYPERLINK(CONCATENATE("#Metadata!", ADDRESS(INDEX($L$2:$L$1001,MATCH(ROWS($J$2:J905),$J$2:$J$1001,0),0), INDEX($Q$1004:$U$1004,1,MATCH(COLUMNS($Q$1006:T1006),$Q$1006:$U$1006,0)))),"Fix")))</f>
        <v xml:space="preserve"> </v>
      </c>
      <c r="F905" s="3" t="str">
        <f ca="1">IF(OR(INDEX($K$2:$K$1001,MATCH(ROWS($J$2:J905),$J$2:$J$1001,0),1)&gt;=100000,INDEX($Q$1005:$U$1005,1,MATCH(COLUMNS($Q$1006:U1006),$Q$1006:$U$1006,0))&gt;=100000), " ",IF(INDEX($Q$2:$U$1001,MATCH(ROWS($J$2:J905),$J$2:$J$1001,0),MATCH(COLUMNS($Q$1006:U1006),$Q$1006:$U$1006,0)), HYPERLINK("#",""), HYPERLINK(CONCATENATE("#Metadata!", ADDRESS(INDEX($L$2:$L$1001,MATCH(ROWS($J$2:J905),$J$2:$J$1001,0),0), INDEX($Q$1004:$U$1004,1,MATCH(COLUMNS($Q$1006:U1006),$Q$1006:$U$1006,0)))),"Fix")))</f>
        <v xml:space="preserve"> </v>
      </c>
      <c r="J905">
        <f ca="1"/>
        <v>904</v>
      </c>
      <c r="K905">
        <v>100905</v>
      </c>
      <c r="L905">
        <v>905</v>
      </c>
      <c r="M905" t="b">
        <f t="shared" si="14"/>
        <v>1</v>
      </c>
      <c r="N905" t="b">
        <f>COUNTBLANK(Metadata!B905:F905)=COLUMNS(Metadata!B905:F905)</f>
        <v>1</v>
      </c>
      <c r="O905" t="str">
        <v/>
      </c>
      <c r="Q905" t="b">
        <f ca="1"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R905" t="b">
        <f>IF(Metadata!C905="",FALSE,TRUE)</f>
        <v>0</v>
      </c>
      <c r="S905" t="b">
        <f>OR(AND(IF(Metadata!D905="",FALSE,TRUE),EXACT(Metadata!D905,"missing: not collected")),AND(IF(Metadata!D905="",FALSE,TRUE),OR(EXACT(Metadata!D905,"t"),EXACT(Metadata!D905,"f"))))</f>
        <v>0</v>
      </c>
      <c r="T905" t="b">
        <f>AND(IF(Metadata!E905="",FALSE,TRUE),OR(EXACT(Metadata!E905,"a"),EXACT(Metadata!E905,"b")))</f>
        <v>0</v>
      </c>
      <c r="U905" t="b">
        <f>OR(AND(IF(Metadata!F905="",FALSE,TRUE),OR(EXACT(Metadata!F905,"missing: not collected"),EXACT(Metadata!F905,"missing: not provided"))),AND(IF(Metadata!F905="",FALSE,TRUE),OR(EXACT(Metadata!F905,"lo"),EXACT(Metadata!F905,"med"),EXACT(Metadata!F905,"hi"))))</f>
        <v>0</v>
      </c>
    </row>
    <row r="906" spans="1:21" x14ac:dyDescent="0.2">
      <c r="A906" s="4" t="str">
        <f ca="1">IF(B906=" "," ",HYPERLINK(CONCATENATE("#metadata!",ADDRESS(INDEX($L$2:$L$1001,MATCH(ROWS($J$2:J906),$J$2:$J$1001,0),0),1)),INDEX($O$2:$O$1001,MATCH(ROWS($J$2:J906),$J$2:$J$1001,0),0)))</f>
        <v xml:space="preserve"> </v>
      </c>
      <c r="B906" s="3" t="str">
        <f ca="1">IF(OR(INDEX($K$2:$K$1001,MATCH(ROWS($J$2:J906),$J$2:$J$1001,0),1)&gt;=100000,INDEX($Q$1005:$U$1005,1,MATCH(COLUMNS($Q$1006:Q1006),$Q$1006:$U$1006,0))&gt;=100000), " ",IF(INDEX($Q$2:$U$1001,MATCH(ROWS($J$2:J906),$J$2:$J$1001,0),MATCH(COLUMNS($Q$1006:Q1006),$Q$1006:$U$1006,0)), HYPERLINK("#",""), HYPERLINK(CONCATENATE("#Metadata!", ADDRESS(INDEX($L$2:$L$1001,MATCH(ROWS($J$2:J906),$J$2:$J$1001,0),0), INDEX($Q$1004:$U$1004,1,MATCH(COLUMNS($Q$1006:Q1006),$Q$1006:$U$1006,0)))),"Fix")))</f>
        <v xml:space="preserve"> </v>
      </c>
      <c r="C906" s="3" t="str">
        <f ca="1">IF(OR(INDEX($K$2:$K$1001,MATCH(ROWS($J$2:J906),$J$2:$J$1001,0),1)&gt;=100000,INDEX($Q$1005:$U$1005,1,MATCH(COLUMNS($Q$1006:R1006),$Q$1006:$U$1006,0))&gt;=100000), " ",IF(INDEX($Q$2:$U$1001,MATCH(ROWS($J$2:J906),$J$2:$J$1001,0),MATCH(COLUMNS($Q$1006:R1006),$Q$1006:$U$1006,0)), HYPERLINK("#",""), HYPERLINK(CONCATENATE("#Metadata!", ADDRESS(INDEX($L$2:$L$1001,MATCH(ROWS($J$2:J906),$J$2:$J$1001,0),0), INDEX($Q$1004:$U$1004,1,MATCH(COLUMNS($Q$1006:R1006),$Q$1006:$U$1006,0)))),"Fix")))</f>
        <v xml:space="preserve"> </v>
      </c>
      <c r="D906" s="3" t="str">
        <f ca="1">IF(OR(INDEX($K$2:$K$1001,MATCH(ROWS($J$2:J906),$J$2:$J$1001,0),1)&gt;=100000,INDEX($Q$1005:$U$1005,1,MATCH(COLUMNS($Q$1006:S1006),$Q$1006:$U$1006,0))&gt;=100000), " ",IF(INDEX($Q$2:$U$1001,MATCH(ROWS($J$2:J906),$J$2:$J$1001,0),MATCH(COLUMNS($Q$1006:S1006),$Q$1006:$U$1006,0)), HYPERLINK("#",""), HYPERLINK(CONCATENATE("#Metadata!", ADDRESS(INDEX($L$2:$L$1001,MATCH(ROWS($J$2:J906),$J$2:$J$1001,0),0), INDEX($Q$1004:$U$1004,1,MATCH(COLUMNS($Q$1006:S1006),$Q$1006:$U$1006,0)))),"Fix")))</f>
        <v xml:space="preserve"> </v>
      </c>
      <c r="E906" s="3" t="str">
        <f ca="1">IF(OR(INDEX($K$2:$K$1001,MATCH(ROWS($J$2:J906),$J$2:$J$1001,0),1)&gt;=100000,INDEX($Q$1005:$U$1005,1,MATCH(COLUMNS($Q$1006:T1006),$Q$1006:$U$1006,0))&gt;=100000), " ",IF(INDEX($Q$2:$U$1001,MATCH(ROWS($J$2:J906),$J$2:$J$1001,0),MATCH(COLUMNS($Q$1006:T1006),$Q$1006:$U$1006,0)), HYPERLINK("#",""), HYPERLINK(CONCATENATE("#Metadata!", ADDRESS(INDEX($L$2:$L$1001,MATCH(ROWS($J$2:J906),$J$2:$J$1001,0),0), INDEX($Q$1004:$U$1004,1,MATCH(COLUMNS($Q$1006:T1006),$Q$1006:$U$1006,0)))),"Fix")))</f>
        <v xml:space="preserve"> </v>
      </c>
      <c r="F906" s="3" t="str">
        <f ca="1">IF(OR(INDEX($K$2:$K$1001,MATCH(ROWS($J$2:J906),$J$2:$J$1001,0),1)&gt;=100000,INDEX($Q$1005:$U$1005,1,MATCH(COLUMNS($Q$1006:U1006),$Q$1006:$U$1006,0))&gt;=100000), " ",IF(INDEX($Q$2:$U$1001,MATCH(ROWS($J$2:J906),$J$2:$J$1001,0),MATCH(COLUMNS($Q$1006:U1006),$Q$1006:$U$1006,0)), HYPERLINK("#",""), HYPERLINK(CONCATENATE("#Metadata!", ADDRESS(INDEX($L$2:$L$1001,MATCH(ROWS($J$2:J906),$J$2:$J$1001,0),0), INDEX($Q$1004:$U$1004,1,MATCH(COLUMNS($Q$1006:U1006),$Q$1006:$U$1006,0)))),"Fix")))</f>
        <v xml:space="preserve"> </v>
      </c>
      <c r="J906">
        <f ca="1"/>
        <v>905</v>
      </c>
      <c r="K906">
        <v>100906</v>
      </c>
      <c r="L906">
        <v>906</v>
      </c>
      <c r="M906" t="b">
        <f t="shared" si="14"/>
        <v>1</v>
      </c>
      <c r="N906" t="b">
        <f>COUNTBLANK(Metadata!B906:F906)=COLUMNS(Metadata!B906:F906)</f>
        <v>1</v>
      </c>
      <c r="O906" t="str">
        <v/>
      </c>
      <c r="Q906" t="b">
        <f ca="1"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R906" t="b">
        <f>IF(Metadata!C906="",FALSE,TRUE)</f>
        <v>0</v>
      </c>
      <c r="S906" t="b">
        <f>OR(AND(IF(Metadata!D906="",FALSE,TRUE),EXACT(Metadata!D906,"missing: not collected")),AND(IF(Metadata!D906="",FALSE,TRUE),OR(EXACT(Metadata!D906,"t"),EXACT(Metadata!D906,"f"))))</f>
        <v>0</v>
      </c>
      <c r="T906" t="b">
        <f>AND(IF(Metadata!E906="",FALSE,TRUE),OR(EXACT(Metadata!E906,"a"),EXACT(Metadata!E906,"b")))</f>
        <v>0</v>
      </c>
      <c r="U906" t="b">
        <f>OR(AND(IF(Metadata!F906="",FALSE,TRUE),OR(EXACT(Metadata!F906,"missing: not collected"),EXACT(Metadata!F906,"missing: not provided"))),AND(IF(Metadata!F906="",FALSE,TRUE),OR(EXACT(Metadata!F906,"lo"),EXACT(Metadata!F906,"med"),EXACT(Metadata!F906,"hi"))))</f>
        <v>0</v>
      </c>
    </row>
    <row r="907" spans="1:21" x14ac:dyDescent="0.2">
      <c r="A907" s="4" t="str">
        <f ca="1">IF(B907=" "," ",HYPERLINK(CONCATENATE("#metadata!",ADDRESS(INDEX($L$2:$L$1001,MATCH(ROWS($J$2:J907),$J$2:$J$1001,0),0),1)),INDEX($O$2:$O$1001,MATCH(ROWS($J$2:J907),$J$2:$J$1001,0),0)))</f>
        <v xml:space="preserve"> </v>
      </c>
      <c r="B907" s="3" t="str">
        <f ca="1">IF(OR(INDEX($K$2:$K$1001,MATCH(ROWS($J$2:J907),$J$2:$J$1001,0),1)&gt;=100000,INDEX($Q$1005:$U$1005,1,MATCH(COLUMNS($Q$1006:Q1006),$Q$1006:$U$1006,0))&gt;=100000), " ",IF(INDEX($Q$2:$U$1001,MATCH(ROWS($J$2:J907),$J$2:$J$1001,0),MATCH(COLUMNS($Q$1006:Q1006),$Q$1006:$U$1006,0)), HYPERLINK("#",""), HYPERLINK(CONCATENATE("#Metadata!", ADDRESS(INDEX($L$2:$L$1001,MATCH(ROWS($J$2:J907),$J$2:$J$1001,0),0), INDEX($Q$1004:$U$1004,1,MATCH(COLUMNS($Q$1006:Q1006),$Q$1006:$U$1006,0)))),"Fix")))</f>
        <v xml:space="preserve"> </v>
      </c>
      <c r="C907" s="3" t="str">
        <f ca="1">IF(OR(INDEX($K$2:$K$1001,MATCH(ROWS($J$2:J907),$J$2:$J$1001,0),1)&gt;=100000,INDEX($Q$1005:$U$1005,1,MATCH(COLUMNS($Q$1006:R1006),$Q$1006:$U$1006,0))&gt;=100000), " ",IF(INDEX($Q$2:$U$1001,MATCH(ROWS($J$2:J907),$J$2:$J$1001,0),MATCH(COLUMNS($Q$1006:R1006),$Q$1006:$U$1006,0)), HYPERLINK("#",""), HYPERLINK(CONCATENATE("#Metadata!", ADDRESS(INDEX($L$2:$L$1001,MATCH(ROWS($J$2:J907),$J$2:$J$1001,0),0), INDEX($Q$1004:$U$1004,1,MATCH(COLUMNS($Q$1006:R1006),$Q$1006:$U$1006,0)))),"Fix")))</f>
        <v xml:space="preserve"> </v>
      </c>
      <c r="D907" s="3" t="str">
        <f ca="1">IF(OR(INDEX($K$2:$K$1001,MATCH(ROWS($J$2:J907),$J$2:$J$1001,0),1)&gt;=100000,INDEX($Q$1005:$U$1005,1,MATCH(COLUMNS($Q$1006:S1006),$Q$1006:$U$1006,0))&gt;=100000), " ",IF(INDEX($Q$2:$U$1001,MATCH(ROWS($J$2:J907),$J$2:$J$1001,0),MATCH(COLUMNS($Q$1006:S1006),$Q$1006:$U$1006,0)), HYPERLINK("#",""), HYPERLINK(CONCATENATE("#Metadata!", ADDRESS(INDEX($L$2:$L$1001,MATCH(ROWS($J$2:J907),$J$2:$J$1001,0),0), INDEX($Q$1004:$U$1004,1,MATCH(COLUMNS($Q$1006:S1006),$Q$1006:$U$1006,0)))),"Fix")))</f>
        <v xml:space="preserve"> </v>
      </c>
      <c r="E907" s="3" t="str">
        <f ca="1">IF(OR(INDEX($K$2:$K$1001,MATCH(ROWS($J$2:J907),$J$2:$J$1001,0),1)&gt;=100000,INDEX($Q$1005:$U$1005,1,MATCH(COLUMNS($Q$1006:T1006),$Q$1006:$U$1006,0))&gt;=100000), " ",IF(INDEX($Q$2:$U$1001,MATCH(ROWS($J$2:J907),$J$2:$J$1001,0),MATCH(COLUMNS($Q$1006:T1006),$Q$1006:$U$1006,0)), HYPERLINK("#",""), HYPERLINK(CONCATENATE("#Metadata!", ADDRESS(INDEX($L$2:$L$1001,MATCH(ROWS($J$2:J907),$J$2:$J$1001,0),0), INDEX($Q$1004:$U$1004,1,MATCH(COLUMNS($Q$1006:T1006),$Q$1006:$U$1006,0)))),"Fix")))</f>
        <v xml:space="preserve"> </v>
      </c>
      <c r="F907" s="3" t="str">
        <f ca="1">IF(OR(INDEX($K$2:$K$1001,MATCH(ROWS($J$2:J907),$J$2:$J$1001,0),1)&gt;=100000,INDEX($Q$1005:$U$1005,1,MATCH(COLUMNS($Q$1006:U1006),$Q$1006:$U$1006,0))&gt;=100000), " ",IF(INDEX($Q$2:$U$1001,MATCH(ROWS($J$2:J907),$J$2:$J$1001,0),MATCH(COLUMNS($Q$1006:U1006),$Q$1006:$U$1006,0)), HYPERLINK("#",""), HYPERLINK(CONCATENATE("#Metadata!", ADDRESS(INDEX($L$2:$L$1001,MATCH(ROWS($J$2:J907),$J$2:$J$1001,0),0), INDEX($Q$1004:$U$1004,1,MATCH(COLUMNS($Q$1006:U1006),$Q$1006:$U$1006,0)))),"Fix")))</f>
        <v xml:space="preserve"> </v>
      </c>
      <c r="J907">
        <f ca="1"/>
        <v>906</v>
      </c>
      <c r="K907">
        <v>100907</v>
      </c>
      <c r="L907">
        <v>907</v>
      </c>
      <c r="M907" t="b">
        <f t="shared" si="14"/>
        <v>1</v>
      </c>
      <c r="N907" t="b">
        <f>COUNTBLANK(Metadata!B907:F907)=COLUMNS(Metadata!B907:F907)</f>
        <v>1</v>
      </c>
      <c r="O907" t="str">
        <v/>
      </c>
      <c r="Q907" t="b">
        <f ca="1"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R907" t="b">
        <f>IF(Metadata!C907="",FALSE,TRUE)</f>
        <v>0</v>
      </c>
      <c r="S907" t="b">
        <f>OR(AND(IF(Metadata!D907="",FALSE,TRUE),EXACT(Metadata!D907,"missing: not collected")),AND(IF(Metadata!D907="",FALSE,TRUE),OR(EXACT(Metadata!D907,"t"),EXACT(Metadata!D907,"f"))))</f>
        <v>0</v>
      </c>
      <c r="T907" t="b">
        <f>AND(IF(Metadata!E907="",FALSE,TRUE),OR(EXACT(Metadata!E907,"a"),EXACT(Metadata!E907,"b")))</f>
        <v>0</v>
      </c>
      <c r="U907" t="b">
        <f>OR(AND(IF(Metadata!F907="",FALSE,TRUE),OR(EXACT(Metadata!F907,"missing: not collected"),EXACT(Metadata!F907,"missing: not provided"))),AND(IF(Metadata!F907="",FALSE,TRUE),OR(EXACT(Metadata!F907,"lo"),EXACT(Metadata!F907,"med"),EXACT(Metadata!F907,"hi"))))</f>
        <v>0</v>
      </c>
    </row>
    <row r="908" spans="1:21" x14ac:dyDescent="0.2">
      <c r="A908" s="4" t="str">
        <f ca="1">IF(B908=" "," ",HYPERLINK(CONCATENATE("#metadata!",ADDRESS(INDEX($L$2:$L$1001,MATCH(ROWS($J$2:J908),$J$2:$J$1001,0),0),1)),INDEX($O$2:$O$1001,MATCH(ROWS($J$2:J908),$J$2:$J$1001,0),0)))</f>
        <v xml:space="preserve"> </v>
      </c>
      <c r="B908" s="3" t="str">
        <f ca="1">IF(OR(INDEX($K$2:$K$1001,MATCH(ROWS($J$2:J908),$J$2:$J$1001,0),1)&gt;=100000,INDEX($Q$1005:$U$1005,1,MATCH(COLUMNS($Q$1006:Q1006),$Q$1006:$U$1006,0))&gt;=100000), " ",IF(INDEX($Q$2:$U$1001,MATCH(ROWS($J$2:J908),$J$2:$J$1001,0),MATCH(COLUMNS($Q$1006:Q1006),$Q$1006:$U$1006,0)), HYPERLINK("#",""), HYPERLINK(CONCATENATE("#Metadata!", ADDRESS(INDEX($L$2:$L$1001,MATCH(ROWS($J$2:J908),$J$2:$J$1001,0),0), INDEX($Q$1004:$U$1004,1,MATCH(COLUMNS($Q$1006:Q1006),$Q$1006:$U$1006,0)))),"Fix")))</f>
        <v xml:space="preserve"> </v>
      </c>
      <c r="C908" s="3" t="str">
        <f ca="1">IF(OR(INDEX($K$2:$K$1001,MATCH(ROWS($J$2:J908),$J$2:$J$1001,0),1)&gt;=100000,INDEX($Q$1005:$U$1005,1,MATCH(COLUMNS($Q$1006:R1006),$Q$1006:$U$1006,0))&gt;=100000), " ",IF(INDEX($Q$2:$U$1001,MATCH(ROWS($J$2:J908),$J$2:$J$1001,0),MATCH(COLUMNS($Q$1006:R1006),$Q$1006:$U$1006,0)), HYPERLINK("#",""), HYPERLINK(CONCATENATE("#Metadata!", ADDRESS(INDEX($L$2:$L$1001,MATCH(ROWS($J$2:J908),$J$2:$J$1001,0),0), INDEX($Q$1004:$U$1004,1,MATCH(COLUMNS($Q$1006:R1006),$Q$1006:$U$1006,0)))),"Fix")))</f>
        <v xml:space="preserve"> </v>
      </c>
      <c r="D908" s="3" t="str">
        <f ca="1">IF(OR(INDEX($K$2:$K$1001,MATCH(ROWS($J$2:J908),$J$2:$J$1001,0),1)&gt;=100000,INDEX($Q$1005:$U$1005,1,MATCH(COLUMNS($Q$1006:S1006),$Q$1006:$U$1006,0))&gt;=100000), " ",IF(INDEX($Q$2:$U$1001,MATCH(ROWS($J$2:J908),$J$2:$J$1001,0),MATCH(COLUMNS($Q$1006:S1006),$Q$1006:$U$1006,0)), HYPERLINK("#",""), HYPERLINK(CONCATENATE("#Metadata!", ADDRESS(INDEX($L$2:$L$1001,MATCH(ROWS($J$2:J908),$J$2:$J$1001,0),0), INDEX($Q$1004:$U$1004,1,MATCH(COLUMNS($Q$1006:S1006),$Q$1006:$U$1006,0)))),"Fix")))</f>
        <v xml:space="preserve"> </v>
      </c>
      <c r="E908" s="3" t="str">
        <f ca="1">IF(OR(INDEX($K$2:$K$1001,MATCH(ROWS($J$2:J908),$J$2:$J$1001,0),1)&gt;=100000,INDEX($Q$1005:$U$1005,1,MATCH(COLUMNS($Q$1006:T1006),$Q$1006:$U$1006,0))&gt;=100000), " ",IF(INDEX($Q$2:$U$1001,MATCH(ROWS($J$2:J908),$J$2:$J$1001,0),MATCH(COLUMNS($Q$1006:T1006),$Q$1006:$U$1006,0)), HYPERLINK("#",""), HYPERLINK(CONCATENATE("#Metadata!", ADDRESS(INDEX($L$2:$L$1001,MATCH(ROWS($J$2:J908),$J$2:$J$1001,0),0), INDEX($Q$1004:$U$1004,1,MATCH(COLUMNS($Q$1006:T1006),$Q$1006:$U$1006,0)))),"Fix")))</f>
        <v xml:space="preserve"> </v>
      </c>
      <c r="F908" s="3" t="str">
        <f ca="1">IF(OR(INDEX($K$2:$K$1001,MATCH(ROWS($J$2:J908),$J$2:$J$1001,0),1)&gt;=100000,INDEX($Q$1005:$U$1005,1,MATCH(COLUMNS($Q$1006:U1006),$Q$1006:$U$1006,0))&gt;=100000), " ",IF(INDEX($Q$2:$U$1001,MATCH(ROWS($J$2:J908),$J$2:$J$1001,0),MATCH(COLUMNS($Q$1006:U1006),$Q$1006:$U$1006,0)), HYPERLINK("#",""), HYPERLINK(CONCATENATE("#Metadata!", ADDRESS(INDEX($L$2:$L$1001,MATCH(ROWS($J$2:J908),$J$2:$J$1001,0),0), INDEX($Q$1004:$U$1004,1,MATCH(COLUMNS($Q$1006:U1006),$Q$1006:$U$1006,0)))),"Fix")))</f>
        <v xml:space="preserve"> </v>
      </c>
      <c r="J908">
        <f ca="1"/>
        <v>907</v>
      </c>
      <c r="K908">
        <v>100908</v>
      </c>
      <c r="L908">
        <v>908</v>
      </c>
      <c r="M908" t="b">
        <f t="shared" si="14"/>
        <v>1</v>
      </c>
      <c r="N908" t="b">
        <f>COUNTBLANK(Metadata!B908:F908)=COLUMNS(Metadata!B908:F908)</f>
        <v>1</v>
      </c>
      <c r="O908" t="str">
        <v/>
      </c>
      <c r="Q908" t="b">
        <f ca="1"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R908" t="b">
        <f>IF(Metadata!C908="",FALSE,TRUE)</f>
        <v>0</v>
      </c>
      <c r="S908" t="b">
        <f>OR(AND(IF(Metadata!D908="",FALSE,TRUE),EXACT(Metadata!D908,"missing: not collected")),AND(IF(Metadata!D908="",FALSE,TRUE),OR(EXACT(Metadata!D908,"t"),EXACT(Metadata!D908,"f"))))</f>
        <v>0</v>
      </c>
      <c r="T908" t="b">
        <f>AND(IF(Metadata!E908="",FALSE,TRUE),OR(EXACT(Metadata!E908,"a"),EXACT(Metadata!E908,"b")))</f>
        <v>0</v>
      </c>
      <c r="U908" t="b">
        <f>OR(AND(IF(Metadata!F908="",FALSE,TRUE),OR(EXACT(Metadata!F908,"missing: not collected"),EXACT(Metadata!F908,"missing: not provided"))),AND(IF(Metadata!F908="",FALSE,TRUE),OR(EXACT(Metadata!F908,"lo"),EXACT(Metadata!F908,"med"),EXACT(Metadata!F908,"hi"))))</f>
        <v>0</v>
      </c>
    </row>
    <row r="909" spans="1:21" x14ac:dyDescent="0.2">
      <c r="A909" s="4" t="str">
        <f ca="1">IF(B909=" "," ",HYPERLINK(CONCATENATE("#metadata!",ADDRESS(INDEX($L$2:$L$1001,MATCH(ROWS($J$2:J909),$J$2:$J$1001,0),0),1)),INDEX($O$2:$O$1001,MATCH(ROWS($J$2:J909),$J$2:$J$1001,0),0)))</f>
        <v xml:space="preserve"> </v>
      </c>
      <c r="B909" s="3" t="str">
        <f ca="1">IF(OR(INDEX($K$2:$K$1001,MATCH(ROWS($J$2:J909),$J$2:$J$1001,0),1)&gt;=100000,INDEX($Q$1005:$U$1005,1,MATCH(COLUMNS($Q$1006:Q1006),$Q$1006:$U$1006,0))&gt;=100000), " ",IF(INDEX($Q$2:$U$1001,MATCH(ROWS($J$2:J909),$J$2:$J$1001,0),MATCH(COLUMNS($Q$1006:Q1006),$Q$1006:$U$1006,0)), HYPERLINK("#",""), HYPERLINK(CONCATENATE("#Metadata!", ADDRESS(INDEX($L$2:$L$1001,MATCH(ROWS($J$2:J909),$J$2:$J$1001,0),0), INDEX($Q$1004:$U$1004,1,MATCH(COLUMNS($Q$1006:Q1006),$Q$1006:$U$1006,0)))),"Fix")))</f>
        <v xml:space="preserve"> </v>
      </c>
      <c r="C909" s="3" t="str">
        <f ca="1">IF(OR(INDEX($K$2:$K$1001,MATCH(ROWS($J$2:J909),$J$2:$J$1001,0),1)&gt;=100000,INDEX($Q$1005:$U$1005,1,MATCH(COLUMNS($Q$1006:R1006),$Q$1006:$U$1006,0))&gt;=100000), " ",IF(INDEX($Q$2:$U$1001,MATCH(ROWS($J$2:J909),$J$2:$J$1001,0),MATCH(COLUMNS($Q$1006:R1006),$Q$1006:$U$1006,0)), HYPERLINK("#",""), HYPERLINK(CONCATENATE("#Metadata!", ADDRESS(INDEX($L$2:$L$1001,MATCH(ROWS($J$2:J909),$J$2:$J$1001,0),0), INDEX($Q$1004:$U$1004,1,MATCH(COLUMNS($Q$1006:R1006),$Q$1006:$U$1006,0)))),"Fix")))</f>
        <v xml:space="preserve"> </v>
      </c>
      <c r="D909" s="3" t="str">
        <f ca="1">IF(OR(INDEX($K$2:$K$1001,MATCH(ROWS($J$2:J909),$J$2:$J$1001,0),1)&gt;=100000,INDEX($Q$1005:$U$1005,1,MATCH(COLUMNS($Q$1006:S1006),$Q$1006:$U$1006,0))&gt;=100000), " ",IF(INDEX($Q$2:$U$1001,MATCH(ROWS($J$2:J909),$J$2:$J$1001,0),MATCH(COLUMNS($Q$1006:S1006),$Q$1006:$U$1006,0)), HYPERLINK("#",""), HYPERLINK(CONCATENATE("#Metadata!", ADDRESS(INDEX($L$2:$L$1001,MATCH(ROWS($J$2:J909),$J$2:$J$1001,0),0), INDEX($Q$1004:$U$1004,1,MATCH(COLUMNS($Q$1006:S1006),$Q$1006:$U$1006,0)))),"Fix")))</f>
        <v xml:space="preserve"> </v>
      </c>
      <c r="E909" s="3" t="str">
        <f ca="1">IF(OR(INDEX($K$2:$K$1001,MATCH(ROWS($J$2:J909),$J$2:$J$1001,0),1)&gt;=100000,INDEX($Q$1005:$U$1005,1,MATCH(COLUMNS($Q$1006:T1006),$Q$1006:$U$1006,0))&gt;=100000), " ",IF(INDEX($Q$2:$U$1001,MATCH(ROWS($J$2:J909),$J$2:$J$1001,0),MATCH(COLUMNS($Q$1006:T1006),$Q$1006:$U$1006,0)), HYPERLINK("#",""), HYPERLINK(CONCATENATE("#Metadata!", ADDRESS(INDEX($L$2:$L$1001,MATCH(ROWS($J$2:J909),$J$2:$J$1001,0),0), INDEX($Q$1004:$U$1004,1,MATCH(COLUMNS($Q$1006:T1006),$Q$1006:$U$1006,0)))),"Fix")))</f>
        <v xml:space="preserve"> </v>
      </c>
      <c r="F909" s="3" t="str">
        <f ca="1">IF(OR(INDEX($K$2:$K$1001,MATCH(ROWS($J$2:J909),$J$2:$J$1001,0),1)&gt;=100000,INDEX($Q$1005:$U$1005,1,MATCH(COLUMNS($Q$1006:U1006),$Q$1006:$U$1006,0))&gt;=100000), " ",IF(INDEX($Q$2:$U$1001,MATCH(ROWS($J$2:J909),$J$2:$J$1001,0),MATCH(COLUMNS($Q$1006:U1006),$Q$1006:$U$1006,0)), HYPERLINK("#",""), HYPERLINK(CONCATENATE("#Metadata!", ADDRESS(INDEX($L$2:$L$1001,MATCH(ROWS($J$2:J909),$J$2:$J$1001,0),0), INDEX($Q$1004:$U$1004,1,MATCH(COLUMNS($Q$1006:U1006),$Q$1006:$U$1006,0)))),"Fix")))</f>
        <v xml:space="preserve"> </v>
      </c>
      <c r="J909">
        <f ca="1"/>
        <v>908</v>
      </c>
      <c r="K909">
        <v>100909</v>
      </c>
      <c r="L909">
        <v>909</v>
      </c>
      <c r="M909" t="b">
        <f t="shared" si="14"/>
        <v>1</v>
      </c>
      <c r="N909" t="b">
        <f>COUNTBLANK(Metadata!B909:F909)=COLUMNS(Metadata!B909:F909)</f>
        <v>1</v>
      </c>
      <c r="O909" t="str">
        <v/>
      </c>
      <c r="Q909" t="b">
        <f ca="1"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R909" t="b">
        <f>IF(Metadata!C909="",FALSE,TRUE)</f>
        <v>0</v>
      </c>
      <c r="S909" t="b">
        <f>OR(AND(IF(Metadata!D909="",FALSE,TRUE),EXACT(Metadata!D909,"missing: not collected")),AND(IF(Metadata!D909="",FALSE,TRUE),OR(EXACT(Metadata!D909,"t"),EXACT(Metadata!D909,"f"))))</f>
        <v>0</v>
      </c>
      <c r="T909" t="b">
        <f>AND(IF(Metadata!E909="",FALSE,TRUE),OR(EXACT(Metadata!E909,"a"),EXACT(Metadata!E909,"b")))</f>
        <v>0</v>
      </c>
      <c r="U909" t="b">
        <f>OR(AND(IF(Metadata!F909="",FALSE,TRUE),OR(EXACT(Metadata!F909,"missing: not collected"),EXACT(Metadata!F909,"missing: not provided"))),AND(IF(Metadata!F909="",FALSE,TRUE),OR(EXACT(Metadata!F909,"lo"),EXACT(Metadata!F909,"med"),EXACT(Metadata!F909,"hi"))))</f>
        <v>0</v>
      </c>
    </row>
    <row r="910" spans="1:21" x14ac:dyDescent="0.2">
      <c r="A910" s="4" t="str">
        <f ca="1">IF(B910=" "," ",HYPERLINK(CONCATENATE("#metadata!",ADDRESS(INDEX($L$2:$L$1001,MATCH(ROWS($J$2:J910),$J$2:$J$1001,0),0),1)),INDEX($O$2:$O$1001,MATCH(ROWS($J$2:J910),$J$2:$J$1001,0),0)))</f>
        <v xml:space="preserve"> </v>
      </c>
      <c r="B910" s="3" t="str">
        <f ca="1">IF(OR(INDEX($K$2:$K$1001,MATCH(ROWS($J$2:J910),$J$2:$J$1001,0),1)&gt;=100000,INDEX($Q$1005:$U$1005,1,MATCH(COLUMNS($Q$1006:Q1006),$Q$1006:$U$1006,0))&gt;=100000), " ",IF(INDEX($Q$2:$U$1001,MATCH(ROWS($J$2:J910),$J$2:$J$1001,0),MATCH(COLUMNS($Q$1006:Q1006),$Q$1006:$U$1006,0)), HYPERLINK("#",""), HYPERLINK(CONCATENATE("#Metadata!", ADDRESS(INDEX($L$2:$L$1001,MATCH(ROWS($J$2:J910),$J$2:$J$1001,0),0), INDEX($Q$1004:$U$1004,1,MATCH(COLUMNS($Q$1006:Q1006),$Q$1006:$U$1006,0)))),"Fix")))</f>
        <v xml:space="preserve"> </v>
      </c>
      <c r="C910" s="3" t="str">
        <f ca="1">IF(OR(INDEX($K$2:$K$1001,MATCH(ROWS($J$2:J910),$J$2:$J$1001,0),1)&gt;=100000,INDEX($Q$1005:$U$1005,1,MATCH(COLUMNS($Q$1006:R1006),$Q$1006:$U$1006,0))&gt;=100000), " ",IF(INDEX($Q$2:$U$1001,MATCH(ROWS($J$2:J910),$J$2:$J$1001,0),MATCH(COLUMNS($Q$1006:R1006),$Q$1006:$U$1006,0)), HYPERLINK("#",""), HYPERLINK(CONCATENATE("#Metadata!", ADDRESS(INDEX($L$2:$L$1001,MATCH(ROWS($J$2:J910),$J$2:$J$1001,0),0), INDEX($Q$1004:$U$1004,1,MATCH(COLUMNS($Q$1006:R1006),$Q$1006:$U$1006,0)))),"Fix")))</f>
        <v xml:space="preserve"> </v>
      </c>
      <c r="D910" s="3" t="str">
        <f ca="1">IF(OR(INDEX($K$2:$K$1001,MATCH(ROWS($J$2:J910),$J$2:$J$1001,0),1)&gt;=100000,INDEX($Q$1005:$U$1005,1,MATCH(COLUMNS($Q$1006:S1006),$Q$1006:$U$1006,0))&gt;=100000), " ",IF(INDEX($Q$2:$U$1001,MATCH(ROWS($J$2:J910),$J$2:$J$1001,0),MATCH(COLUMNS($Q$1006:S1006),$Q$1006:$U$1006,0)), HYPERLINK("#",""), HYPERLINK(CONCATENATE("#Metadata!", ADDRESS(INDEX($L$2:$L$1001,MATCH(ROWS($J$2:J910),$J$2:$J$1001,0),0), INDEX($Q$1004:$U$1004,1,MATCH(COLUMNS($Q$1006:S1006),$Q$1006:$U$1006,0)))),"Fix")))</f>
        <v xml:space="preserve"> </v>
      </c>
      <c r="E910" s="3" t="str">
        <f ca="1">IF(OR(INDEX($K$2:$K$1001,MATCH(ROWS($J$2:J910),$J$2:$J$1001,0),1)&gt;=100000,INDEX($Q$1005:$U$1005,1,MATCH(COLUMNS($Q$1006:T1006),$Q$1006:$U$1006,0))&gt;=100000), " ",IF(INDEX($Q$2:$U$1001,MATCH(ROWS($J$2:J910),$J$2:$J$1001,0),MATCH(COLUMNS($Q$1006:T1006),$Q$1006:$U$1006,0)), HYPERLINK("#",""), HYPERLINK(CONCATENATE("#Metadata!", ADDRESS(INDEX($L$2:$L$1001,MATCH(ROWS($J$2:J910),$J$2:$J$1001,0),0), INDEX($Q$1004:$U$1004,1,MATCH(COLUMNS($Q$1006:T1006),$Q$1006:$U$1006,0)))),"Fix")))</f>
        <v xml:space="preserve"> </v>
      </c>
      <c r="F910" s="3" t="str">
        <f ca="1">IF(OR(INDEX($K$2:$K$1001,MATCH(ROWS($J$2:J910),$J$2:$J$1001,0),1)&gt;=100000,INDEX($Q$1005:$U$1005,1,MATCH(COLUMNS($Q$1006:U1006),$Q$1006:$U$1006,0))&gt;=100000), " ",IF(INDEX($Q$2:$U$1001,MATCH(ROWS($J$2:J910),$J$2:$J$1001,0),MATCH(COLUMNS($Q$1006:U1006),$Q$1006:$U$1006,0)), HYPERLINK("#",""), HYPERLINK(CONCATENATE("#Metadata!", ADDRESS(INDEX($L$2:$L$1001,MATCH(ROWS($J$2:J910),$J$2:$J$1001,0),0), INDEX($Q$1004:$U$1004,1,MATCH(COLUMNS($Q$1006:U1006),$Q$1006:$U$1006,0)))),"Fix")))</f>
        <v xml:space="preserve"> </v>
      </c>
      <c r="J910">
        <f ca="1"/>
        <v>909</v>
      </c>
      <c r="K910">
        <v>100910</v>
      </c>
      <c r="L910">
        <v>910</v>
      </c>
      <c r="M910" t="b">
        <f t="shared" si="14"/>
        <v>1</v>
      </c>
      <c r="N910" t="b">
        <f>COUNTBLANK(Metadata!B910:F910)=COLUMNS(Metadata!B910:F910)</f>
        <v>1</v>
      </c>
      <c r="O910" t="str">
        <v/>
      </c>
      <c r="Q910" t="b">
        <f ca="1"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R910" t="b">
        <f>IF(Metadata!C910="",FALSE,TRUE)</f>
        <v>0</v>
      </c>
      <c r="S910" t="b">
        <f>OR(AND(IF(Metadata!D910="",FALSE,TRUE),EXACT(Metadata!D910,"missing: not collected")),AND(IF(Metadata!D910="",FALSE,TRUE),OR(EXACT(Metadata!D910,"t"),EXACT(Metadata!D910,"f"))))</f>
        <v>0</v>
      </c>
      <c r="T910" t="b">
        <f>AND(IF(Metadata!E910="",FALSE,TRUE),OR(EXACT(Metadata!E910,"a"),EXACT(Metadata!E910,"b")))</f>
        <v>0</v>
      </c>
      <c r="U910" t="b">
        <f>OR(AND(IF(Metadata!F910="",FALSE,TRUE),OR(EXACT(Metadata!F910,"missing: not collected"),EXACT(Metadata!F910,"missing: not provided"))),AND(IF(Metadata!F910="",FALSE,TRUE),OR(EXACT(Metadata!F910,"lo"),EXACT(Metadata!F910,"med"),EXACT(Metadata!F910,"hi"))))</f>
        <v>0</v>
      </c>
    </row>
    <row r="911" spans="1:21" x14ac:dyDescent="0.2">
      <c r="A911" s="4" t="str">
        <f ca="1">IF(B911=" "," ",HYPERLINK(CONCATENATE("#metadata!",ADDRESS(INDEX($L$2:$L$1001,MATCH(ROWS($J$2:J911),$J$2:$J$1001,0),0),1)),INDEX($O$2:$O$1001,MATCH(ROWS($J$2:J911),$J$2:$J$1001,0),0)))</f>
        <v xml:space="preserve"> </v>
      </c>
      <c r="B911" s="3" t="str">
        <f ca="1">IF(OR(INDEX($K$2:$K$1001,MATCH(ROWS($J$2:J911),$J$2:$J$1001,0),1)&gt;=100000,INDEX($Q$1005:$U$1005,1,MATCH(COLUMNS($Q$1006:Q1006),$Q$1006:$U$1006,0))&gt;=100000), " ",IF(INDEX($Q$2:$U$1001,MATCH(ROWS($J$2:J911),$J$2:$J$1001,0),MATCH(COLUMNS($Q$1006:Q1006),$Q$1006:$U$1006,0)), HYPERLINK("#",""), HYPERLINK(CONCATENATE("#Metadata!", ADDRESS(INDEX($L$2:$L$1001,MATCH(ROWS($J$2:J911),$J$2:$J$1001,0),0), INDEX($Q$1004:$U$1004,1,MATCH(COLUMNS($Q$1006:Q1006),$Q$1006:$U$1006,0)))),"Fix")))</f>
        <v xml:space="preserve"> </v>
      </c>
      <c r="C911" s="3" t="str">
        <f ca="1">IF(OR(INDEX($K$2:$K$1001,MATCH(ROWS($J$2:J911),$J$2:$J$1001,0),1)&gt;=100000,INDEX($Q$1005:$U$1005,1,MATCH(COLUMNS($Q$1006:R1006),$Q$1006:$U$1006,0))&gt;=100000), " ",IF(INDEX($Q$2:$U$1001,MATCH(ROWS($J$2:J911),$J$2:$J$1001,0),MATCH(COLUMNS($Q$1006:R1006),$Q$1006:$U$1006,0)), HYPERLINK("#",""), HYPERLINK(CONCATENATE("#Metadata!", ADDRESS(INDEX($L$2:$L$1001,MATCH(ROWS($J$2:J911),$J$2:$J$1001,0),0), INDEX($Q$1004:$U$1004,1,MATCH(COLUMNS($Q$1006:R1006),$Q$1006:$U$1006,0)))),"Fix")))</f>
        <v xml:space="preserve"> </v>
      </c>
      <c r="D911" s="3" t="str">
        <f ca="1">IF(OR(INDEX($K$2:$K$1001,MATCH(ROWS($J$2:J911),$J$2:$J$1001,0),1)&gt;=100000,INDEX($Q$1005:$U$1005,1,MATCH(COLUMNS($Q$1006:S1006),$Q$1006:$U$1006,0))&gt;=100000), " ",IF(INDEX($Q$2:$U$1001,MATCH(ROWS($J$2:J911),$J$2:$J$1001,0),MATCH(COLUMNS($Q$1006:S1006),$Q$1006:$U$1006,0)), HYPERLINK("#",""), HYPERLINK(CONCATENATE("#Metadata!", ADDRESS(INDEX($L$2:$L$1001,MATCH(ROWS($J$2:J911),$J$2:$J$1001,0),0), INDEX($Q$1004:$U$1004,1,MATCH(COLUMNS($Q$1006:S1006),$Q$1006:$U$1006,0)))),"Fix")))</f>
        <v xml:space="preserve"> </v>
      </c>
      <c r="E911" s="3" t="str">
        <f ca="1">IF(OR(INDEX($K$2:$K$1001,MATCH(ROWS($J$2:J911),$J$2:$J$1001,0),1)&gt;=100000,INDEX($Q$1005:$U$1005,1,MATCH(COLUMNS($Q$1006:T1006),$Q$1006:$U$1006,0))&gt;=100000), " ",IF(INDEX($Q$2:$U$1001,MATCH(ROWS($J$2:J911),$J$2:$J$1001,0),MATCH(COLUMNS($Q$1006:T1006),$Q$1006:$U$1006,0)), HYPERLINK("#",""), HYPERLINK(CONCATENATE("#Metadata!", ADDRESS(INDEX($L$2:$L$1001,MATCH(ROWS($J$2:J911),$J$2:$J$1001,0),0), INDEX($Q$1004:$U$1004,1,MATCH(COLUMNS($Q$1006:T1006),$Q$1006:$U$1006,0)))),"Fix")))</f>
        <v xml:space="preserve"> </v>
      </c>
      <c r="F911" s="3" t="str">
        <f ca="1">IF(OR(INDEX($K$2:$K$1001,MATCH(ROWS($J$2:J911),$J$2:$J$1001,0),1)&gt;=100000,INDEX($Q$1005:$U$1005,1,MATCH(COLUMNS($Q$1006:U1006),$Q$1006:$U$1006,0))&gt;=100000), " ",IF(INDEX($Q$2:$U$1001,MATCH(ROWS($J$2:J911),$J$2:$J$1001,0),MATCH(COLUMNS($Q$1006:U1006),$Q$1006:$U$1006,0)), HYPERLINK("#",""), HYPERLINK(CONCATENATE("#Metadata!", ADDRESS(INDEX($L$2:$L$1001,MATCH(ROWS($J$2:J911),$J$2:$J$1001,0),0), INDEX($Q$1004:$U$1004,1,MATCH(COLUMNS($Q$1006:U1006),$Q$1006:$U$1006,0)))),"Fix")))</f>
        <v xml:space="preserve"> </v>
      </c>
      <c r="J911">
        <f ca="1"/>
        <v>910</v>
      </c>
      <c r="K911">
        <v>100911</v>
      </c>
      <c r="L911">
        <v>911</v>
      </c>
      <c r="M911" t="b">
        <f t="shared" si="14"/>
        <v>1</v>
      </c>
      <c r="N911" t="b">
        <f>COUNTBLANK(Metadata!B911:F911)=COLUMNS(Metadata!B911:F911)</f>
        <v>1</v>
      </c>
      <c r="O911" t="str">
        <v/>
      </c>
      <c r="Q911" t="b">
        <f ca="1"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R911" t="b">
        <f>IF(Metadata!C911="",FALSE,TRUE)</f>
        <v>0</v>
      </c>
      <c r="S911" t="b">
        <f>OR(AND(IF(Metadata!D911="",FALSE,TRUE),EXACT(Metadata!D911,"missing: not collected")),AND(IF(Metadata!D911="",FALSE,TRUE),OR(EXACT(Metadata!D911,"t"),EXACT(Metadata!D911,"f"))))</f>
        <v>0</v>
      </c>
      <c r="T911" t="b">
        <f>AND(IF(Metadata!E911="",FALSE,TRUE),OR(EXACT(Metadata!E911,"a"),EXACT(Metadata!E911,"b")))</f>
        <v>0</v>
      </c>
      <c r="U911" t="b">
        <f>OR(AND(IF(Metadata!F911="",FALSE,TRUE),OR(EXACT(Metadata!F911,"missing: not collected"),EXACT(Metadata!F911,"missing: not provided"))),AND(IF(Metadata!F911="",FALSE,TRUE),OR(EXACT(Metadata!F911,"lo"),EXACT(Metadata!F911,"med"),EXACT(Metadata!F911,"hi"))))</f>
        <v>0</v>
      </c>
    </row>
    <row r="912" spans="1:21" x14ac:dyDescent="0.2">
      <c r="A912" s="4" t="str">
        <f ca="1">IF(B912=" "," ",HYPERLINK(CONCATENATE("#metadata!",ADDRESS(INDEX($L$2:$L$1001,MATCH(ROWS($J$2:J912),$J$2:$J$1001,0),0),1)),INDEX($O$2:$O$1001,MATCH(ROWS($J$2:J912),$J$2:$J$1001,0),0)))</f>
        <v xml:space="preserve"> </v>
      </c>
      <c r="B912" s="3" t="str">
        <f ca="1">IF(OR(INDEX($K$2:$K$1001,MATCH(ROWS($J$2:J912),$J$2:$J$1001,0),1)&gt;=100000,INDEX($Q$1005:$U$1005,1,MATCH(COLUMNS($Q$1006:Q1006),$Q$1006:$U$1006,0))&gt;=100000), " ",IF(INDEX($Q$2:$U$1001,MATCH(ROWS($J$2:J912),$J$2:$J$1001,0),MATCH(COLUMNS($Q$1006:Q1006),$Q$1006:$U$1006,0)), HYPERLINK("#",""), HYPERLINK(CONCATENATE("#Metadata!", ADDRESS(INDEX($L$2:$L$1001,MATCH(ROWS($J$2:J912),$J$2:$J$1001,0),0), INDEX($Q$1004:$U$1004,1,MATCH(COLUMNS($Q$1006:Q1006),$Q$1006:$U$1006,0)))),"Fix")))</f>
        <v xml:space="preserve"> </v>
      </c>
      <c r="C912" s="3" t="str">
        <f ca="1">IF(OR(INDEX($K$2:$K$1001,MATCH(ROWS($J$2:J912),$J$2:$J$1001,0),1)&gt;=100000,INDEX($Q$1005:$U$1005,1,MATCH(COLUMNS($Q$1006:R1006),$Q$1006:$U$1006,0))&gt;=100000), " ",IF(INDEX($Q$2:$U$1001,MATCH(ROWS($J$2:J912),$J$2:$J$1001,0),MATCH(COLUMNS($Q$1006:R1006),$Q$1006:$U$1006,0)), HYPERLINK("#",""), HYPERLINK(CONCATENATE("#Metadata!", ADDRESS(INDEX($L$2:$L$1001,MATCH(ROWS($J$2:J912),$J$2:$J$1001,0),0), INDEX($Q$1004:$U$1004,1,MATCH(COLUMNS($Q$1006:R1006),$Q$1006:$U$1006,0)))),"Fix")))</f>
        <v xml:space="preserve"> </v>
      </c>
      <c r="D912" s="3" t="str">
        <f ca="1">IF(OR(INDEX($K$2:$K$1001,MATCH(ROWS($J$2:J912),$J$2:$J$1001,0),1)&gt;=100000,INDEX($Q$1005:$U$1005,1,MATCH(COLUMNS($Q$1006:S1006),$Q$1006:$U$1006,0))&gt;=100000), " ",IF(INDEX($Q$2:$U$1001,MATCH(ROWS($J$2:J912),$J$2:$J$1001,0),MATCH(COLUMNS($Q$1006:S1006),$Q$1006:$U$1006,0)), HYPERLINK("#",""), HYPERLINK(CONCATENATE("#Metadata!", ADDRESS(INDEX($L$2:$L$1001,MATCH(ROWS($J$2:J912),$J$2:$J$1001,0),0), INDEX($Q$1004:$U$1004,1,MATCH(COLUMNS($Q$1006:S1006),$Q$1006:$U$1006,0)))),"Fix")))</f>
        <v xml:space="preserve"> </v>
      </c>
      <c r="E912" s="3" t="str">
        <f ca="1">IF(OR(INDEX($K$2:$K$1001,MATCH(ROWS($J$2:J912),$J$2:$J$1001,0),1)&gt;=100000,INDEX($Q$1005:$U$1005,1,MATCH(COLUMNS($Q$1006:T1006),$Q$1006:$U$1006,0))&gt;=100000), " ",IF(INDEX($Q$2:$U$1001,MATCH(ROWS($J$2:J912),$J$2:$J$1001,0),MATCH(COLUMNS($Q$1006:T1006),$Q$1006:$U$1006,0)), HYPERLINK("#",""), HYPERLINK(CONCATENATE("#Metadata!", ADDRESS(INDEX($L$2:$L$1001,MATCH(ROWS($J$2:J912),$J$2:$J$1001,0),0), INDEX($Q$1004:$U$1004,1,MATCH(COLUMNS($Q$1006:T1006),$Q$1006:$U$1006,0)))),"Fix")))</f>
        <v xml:space="preserve"> </v>
      </c>
      <c r="F912" s="3" t="str">
        <f ca="1">IF(OR(INDEX($K$2:$K$1001,MATCH(ROWS($J$2:J912),$J$2:$J$1001,0),1)&gt;=100000,INDEX($Q$1005:$U$1005,1,MATCH(COLUMNS($Q$1006:U1006),$Q$1006:$U$1006,0))&gt;=100000), " ",IF(INDEX($Q$2:$U$1001,MATCH(ROWS($J$2:J912),$J$2:$J$1001,0),MATCH(COLUMNS($Q$1006:U1006),$Q$1006:$U$1006,0)), HYPERLINK("#",""), HYPERLINK(CONCATENATE("#Metadata!", ADDRESS(INDEX($L$2:$L$1001,MATCH(ROWS($J$2:J912),$J$2:$J$1001,0),0), INDEX($Q$1004:$U$1004,1,MATCH(COLUMNS($Q$1006:U1006),$Q$1006:$U$1006,0)))),"Fix")))</f>
        <v xml:space="preserve"> </v>
      </c>
      <c r="J912">
        <f ca="1"/>
        <v>911</v>
      </c>
      <c r="K912">
        <v>100912</v>
      </c>
      <c r="L912">
        <v>912</v>
      </c>
      <c r="M912" t="b">
        <f t="shared" si="14"/>
        <v>1</v>
      </c>
      <c r="N912" t="b">
        <f>COUNTBLANK(Metadata!B912:F912)=COLUMNS(Metadata!B912:F912)</f>
        <v>1</v>
      </c>
      <c r="O912" t="str">
        <v/>
      </c>
      <c r="Q912" t="b">
        <f ca="1"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R912" t="b">
        <f>IF(Metadata!C912="",FALSE,TRUE)</f>
        <v>0</v>
      </c>
      <c r="S912" t="b">
        <f>OR(AND(IF(Metadata!D912="",FALSE,TRUE),EXACT(Metadata!D912,"missing: not collected")),AND(IF(Metadata!D912="",FALSE,TRUE),OR(EXACT(Metadata!D912,"t"),EXACT(Metadata!D912,"f"))))</f>
        <v>0</v>
      </c>
      <c r="T912" t="b">
        <f>AND(IF(Metadata!E912="",FALSE,TRUE),OR(EXACT(Metadata!E912,"a"),EXACT(Metadata!E912,"b")))</f>
        <v>0</v>
      </c>
      <c r="U912" t="b">
        <f>OR(AND(IF(Metadata!F912="",FALSE,TRUE),OR(EXACT(Metadata!F912,"missing: not collected"),EXACT(Metadata!F912,"missing: not provided"))),AND(IF(Metadata!F912="",FALSE,TRUE),OR(EXACT(Metadata!F912,"lo"),EXACT(Metadata!F912,"med"),EXACT(Metadata!F912,"hi"))))</f>
        <v>0</v>
      </c>
    </row>
    <row r="913" spans="1:21" x14ac:dyDescent="0.2">
      <c r="A913" s="4" t="str">
        <f ca="1">IF(B913=" "," ",HYPERLINK(CONCATENATE("#metadata!",ADDRESS(INDEX($L$2:$L$1001,MATCH(ROWS($J$2:J913),$J$2:$J$1001,0),0),1)),INDEX($O$2:$O$1001,MATCH(ROWS($J$2:J913),$J$2:$J$1001,0),0)))</f>
        <v xml:space="preserve"> </v>
      </c>
      <c r="B913" s="3" t="str">
        <f ca="1">IF(OR(INDEX($K$2:$K$1001,MATCH(ROWS($J$2:J913),$J$2:$J$1001,0),1)&gt;=100000,INDEX($Q$1005:$U$1005,1,MATCH(COLUMNS($Q$1006:Q1006),$Q$1006:$U$1006,0))&gt;=100000), " ",IF(INDEX($Q$2:$U$1001,MATCH(ROWS($J$2:J913),$J$2:$J$1001,0),MATCH(COLUMNS($Q$1006:Q1006),$Q$1006:$U$1006,0)), HYPERLINK("#",""), HYPERLINK(CONCATENATE("#Metadata!", ADDRESS(INDEX($L$2:$L$1001,MATCH(ROWS($J$2:J913),$J$2:$J$1001,0),0), INDEX($Q$1004:$U$1004,1,MATCH(COLUMNS($Q$1006:Q1006),$Q$1006:$U$1006,0)))),"Fix")))</f>
        <v xml:space="preserve"> </v>
      </c>
      <c r="C913" s="3" t="str">
        <f ca="1">IF(OR(INDEX($K$2:$K$1001,MATCH(ROWS($J$2:J913),$J$2:$J$1001,0),1)&gt;=100000,INDEX($Q$1005:$U$1005,1,MATCH(COLUMNS($Q$1006:R1006),$Q$1006:$U$1006,0))&gt;=100000), " ",IF(INDEX($Q$2:$U$1001,MATCH(ROWS($J$2:J913),$J$2:$J$1001,0),MATCH(COLUMNS($Q$1006:R1006),$Q$1006:$U$1006,0)), HYPERLINK("#",""), HYPERLINK(CONCATENATE("#Metadata!", ADDRESS(INDEX($L$2:$L$1001,MATCH(ROWS($J$2:J913),$J$2:$J$1001,0),0), INDEX($Q$1004:$U$1004,1,MATCH(COLUMNS($Q$1006:R1006),$Q$1006:$U$1006,0)))),"Fix")))</f>
        <v xml:space="preserve"> </v>
      </c>
      <c r="D913" s="3" t="str">
        <f ca="1">IF(OR(INDEX($K$2:$K$1001,MATCH(ROWS($J$2:J913),$J$2:$J$1001,0),1)&gt;=100000,INDEX($Q$1005:$U$1005,1,MATCH(COLUMNS($Q$1006:S1006),$Q$1006:$U$1006,0))&gt;=100000), " ",IF(INDEX($Q$2:$U$1001,MATCH(ROWS($J$2:J913),$J$2:$J$1001,0),MATCH(COLUMNS($Q$1006:S1006),$Q$1006:$U$1006,0)), HYPERLINK("#",""), HYPERLINK(CONCATENATE("#Metadata!", ADDRESS(INDEX($L$2:$L$1001,MATCH(ROWS($J$2:J913),$J$2:$J$1001,0),0), INDEX($Q$1004:$U$1004,1,MATCH(COLUMNS($Q$1006:S1006),$Q$1006:$U$1006,0)))),"Fix")))</f>
        <v xml:space="preserve"> </v>
      </c>
      <c r="E913" s="3" t="str">
        <f ca="1">IF(OR(INDEX($K$2:$K$1001,MATCH(ROWS($J$2:J913),$J$2:$J$1001,0),1)&gt;=100000,INDEX($Q$1005:$U$1005,1,MATCH(COLUMNS($Q$1006:T1006),$Q$1006:$U$1006,0))&gt;=100000), " ",IF(INDEX($Q$2:$U$1001,MATCH(ROWS($J$2:J913),$J$2:$J$1001,0),MATCH(COLUMNS($Q$1006:T1006),$Q$1006:$U$1006,0)), HYPERLINK("#",""), HYPERLINK(CONCATENATE("#Metadata!", ADDRESS(INDEX($L$2:$L$1001,MATCH(ROWS($J$2:J913),$J$2:$J$1001,0),0), INDEX($Q$1004:$U$1004,1,MATCH(COLUMNS($Q$1006:T1006),$Q$1006:$U$1006,0)))),"Fix")))</f>
        <v xml:space="preserve"> </v>
      </c>
      <c r="F913" s="3" t="str">
        <f ca="1">IF(OR(INDEX($K$2:$K$1001,MATCH(ROWS($J$2:J913),$J$2:$J$1001,0),1)&gt;=100000,INDEX($Q$1005:$U$1005,1,MATCH(COLUMNS($Q$1006:U1006),$Q$1006:$U$1006,0))&gt;=100000), " ",IF(INDEX($Q$2:$U$1001,MATCH(ROWS($J$2:J913),$J$2:$J$1001,0),MATCH(COLUMNS($Q$1006:U1006),$Q$1006:$U$1006,0)), HYPERLINK("#",""), HYPERLINK(CONCATENATE("#Metadata!", ADDRESS(INDEX($L$2:$L$1001,MATCH(ROWS($J$2:J913),$J$2:$J$1001,0),0), INDEX($Q$1004:$U$1004,1,MATCH(COLUMNS($Q$1006:U1006),$Q$1006:$U$1006,0)))),"Fix")))</f>
        <v xml:space="preserve"> </v>
      </c>
      <c r="J913">
        <f ca="1"/>
        <v>912</v>
      </c>
      <c r="K913">
        <v>100913</v>
      </c>
      <c r="L913">
        <v>913</v>
      </c>
      <c r="M913" t="b">
        <f t="shared" si="14"/>
        <v>1</v>
      </c>
      <c r="N913" t="b">
        <f>COUNTBLANK(Metadata!B913:F913)=COLUMNS(Metadata!B913:F913)</f>
        <v>1</v>
      </c>
      <c r="O913" t="str">
        <v/>
      </c>
      <c r="Q913" t="b">
        <f ca="1"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R913" t="b">
        <f>IF(Metadata!C913="",FALSE,TRUE)</f>
        <v>0</v>
      </c>
      <c r="S913" t="b">
        <f>OR(AND(IF(Metadata!D913="",FALSE,TRUE),EXACT(Metadata!D913,"missing: not collected")),AND(IF(Metadata!D913="",FALSE,TRUE),OR(EXACT(Metadata!D913,"t"),EXACT(Metadata!D913,"f"))))</f>
        <v>0</v>
      </c>
      <c r="T913" t="b">
        <f>AND(IF(Metadata!E913="",FALSE,TRUE),OR(EXACT(Metadata!E913,"a"),EXACT(Metadata!E913,"b")))</f>
        <v>0</v>
      </c>
      <c r="U913" t="b">
        <f>OR(AND(IF(Metadata!F913="",FALSE,TRUE),OR(EXACT(Metadata!F913,"missing: not collected"),EXACT(Metadata!F913,"missing: not provided"))),AND(IF(Metadata!F913="",FALSE,TRUE),OR(EXACT(Metadata!F913,"lo"),EXACT(Metadata!F913,"med"),EXACT(Metadata!F913,"hi"))))</f>
        <v>0</v>
      </c>
    </row>
    <row r="914" spans="1:21" x14ac:dyDescent="0.2">
      <c r="A914" s="4" t="str">
        <f ca="1">IF(B914=" "," ",HYPERLINK(CONCATENATE("#metadata!",ADDRESS(INDEX($L$2:$L$1001,MATCH(ROWS($J$2:J914),$J$2:$J$1001,0),0),1)),INDEX($O$2:$O$1001,MATCH(ROWS($J$2:J914),$J$2:$J$1001,0),0)))</f>
        <v xml:space="preserve"> </v>
      </c>
      <c r="B914" s="3" t="str">
        <f ca="1">IF(OR(INDEX($K$2:$K$1001,MATCH(ROWS($J$2:J914),$J$2:$J$1001,0),1)&gt;=100000,INDEX($Q$1005:$U$1005,1,MATCH(COLUMNS($Q$1006:Q1006),$Q$1006:$U$1006,0))&gt;=100000), " ",IF(INDEX($Q$2:$U$1001,MATCH(ROWS($J$2:J914),$J$2:$J$1001,0),MATCH(COLUMNS($Q$1006:Q1006),$Q$1006:$U$1006,0)), HYPERLINK("#",""), HYPERLINK(CONCATENATE("#Metadata!", ADDRESS(INDEX($L$2:$L$1001,MATCH(ROWS($J$2:J914),$J$2:$J$1001,0),0), INDEX($Q$1004:$U$1004,1,MATCH(COLUMNS($Q$1006:Q1006),$Q$1006:$U$1006,0)))),"Fix")))</f>
        <v xml:space="preserve"> </v>
      </c>
      <c r="C914" s="3" t="str">
        <f ca="1">IF(OR(INDEX($K$2:$K$1001,MATCH(ROWS($J$2:J914),$J$2:$J$1001,0),1)&gt;=100000,INDEX($Q$1005:$U$1005,1,MATCH(COLUMNS($Q$1006:R1006),$Q$1006:$U$1006,0))&gt;=100000), " ",IF(INDEX($Q$2:$U$1001,MATCH(ROWS($J$2:J914),$J$2:$J$1001,0),MATCH(COLUMNS($Q$1006:R1006),$Q$1006:$U$1006,0)), HYPERLINK("#",""), HYPERLINK(CONCATENATE("#Metadata!", ADDRESS(INDEX($L$2:$L$1001,MATCH(ROWS($J$2:J914),$J$2:$J$1001,0),0), INDEX($Q$1004:$U$1004,1,MATCH(COLUMNS($Q$1006:R1006),$Q$1006:$U$1006,0)))),"Fix")))</f>
        <v xml:space="preserve"> </v>
      </c>
      <c r="D914" s="3" t="str">
        <f ca="1">IF(OR(INDEX($K$2:$K$1001,MATCH(ROWS($J$2:J914),$J$2:$J$1001,0),1)&gt;=100000,INDEX($Q$1005:$U$1005,1,MATCH(COLUMNS($Q$1006:S1006),$Q$1006:$U$1006,0))&gt;=100000), " ",IF(INDEX($Q$2:$U$1001,MATCH(ROWS($J$2:J914),$J$2:$J$1001,0),MATCH(COLUMNS($Q$1006:S1006),$Q$1006:$U$1006,0)), HYPERLINK("#",""), HYPERLINK(CONCATENATE("#Metadata!", ADDRESS(INDEX($L$2:$L$1001,MATCH(ROWS($J$2:J914),$J$2:$J$1001,0),0), INDEX($Q$1004:$U$1004,1,MATCH(COLUMNS($Q$1006:S1006),$Q$1006:$U$1006,0)))),"Fix")))</f>
        <v xml:space="preserve"> </v>
      </c>
      <c r="E914" s="3" t="str">
        <f ca="1">IF(OR(INDEX($K$2:$K$1001,MATCH(ROWS($J$2:J914),$J$2:$J$1001,0),1)&gt;=100000,INDEX($Q$1005:$U$1005,1,MATCH(COLUMNS($Q$1006:T1006),$Q$1006:$U$1006,0))&gt;=100000), " ",IF(INDEX($Q$2:$U$1001,MATCH(ROWS($J$2:J914),$J$2:$J$1001,0),MATCH(COLUMNS($Q$1006:T1006),$Q$1006:$U$1006,0)), HYPERLINK("#",""), HYPERLINK(CONCATENATE("#Metadata!", ADDRESS(INDEX($L$2:$L$1001,MATCH(ROWS($J$2:J914),$J$2:$J$1001,0),0), INDEX($Q$1004:$U$1004,1,MATCH(COLUMNS($Q$1006:T1006),$Q$1006:$U$1006,0)))),"Fix")))</f>
        <v xml:space="preserve"> </v>
      </c>
      <c r="F914" s="3" t="str">
        <f ca="1">IF(OR(INDEX($K$2:$K$1001,MATCH(ROWS($J$2:J914),$J$2:$J$1001,0),1)&gt;=100000,INDEX($Q$1005:$U$1005,1,MATCH(COLUMNS($Q$1006:U1006),$Q$1006:$U$1006,0))&gt;=100000), " ",IF(INDEX($Q$2:$U$1001,MATCH(ROWS($J$2:J914),$J$2:$J$1001,0),MATCH(COLUMNS($Q$1006:U1006),$Q$1006:$U$1006,0)), HYPERLINK("#",""), HYPERLINK(CONCATENATE("#Metadata!", ADDRESS(INDEX($L$2:$L$1001,MATCH(ROWS($J$2:J914),$J$2:$J$1001,0),0), INDEX($Q$1004:$U$1004,1,MATCH(COLUMNS($Q$1006:U1006),$Q$1006:$U$1006,0)))),"Fix")))</f>
        <v xml:space="preserve"> </v>
      </c>
      <c r="J914">
        <f ca="1"/>
        <v>913</v>
      </c>
      <c r="K914">
        <v>100914</v>
      </c>
      <c r="L914">
        <v>914</v>
      </c>
      <c r="M914" t="b">
        <f t="shared" si="14"/>
        <v>1</v>
      </c>
      <c r="N914" t="b">
        <f>COUNTBLANK(Metadata!B914:F914)=COLUMNS(Metadata!B914:F914)</f>
        <v>1</v>
      </c>
      <c r="O914" t="str">
        <v/>
      </c>
      <c r="Q914" t="b">
        <f ca="1"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R914" t="b">
        <f>IF(Metadata!C914="",FALSE,TRUE)</f>
        <v>0</v>
      </c>
      <c r="S914" t="b">
        <f>OR(AND(IF(Metadata!D914="",FALSE,TRUE),EXACT(Metadata!D914,"missing: not collected")),AND(IF(Metadata!D914="",FALSE,TRUE),OR(EXACT(Metadata!D914,"t"),EXACT(Metadata!D914,"f"))))</f>
        <v>0</v>
      </c>
      <c r="T914" t="b">
        <f>AND(IF(Metadata!E914="",FALSE,TRUE),OR(EXACT(Metadata!E914,"a"),EXACT(Metadata!E914,"b")))</f>
        <v>0</v>
      </c>
      <c r="U914" t="b">
        <f>OR(AND(IF(Metadata!F914="",FALSE,TRUE),OR(EXACT(Metadata!F914,"missing: not collected"),EXACT(Metadata!F914,"missing: not provided"))),AND(IF(Metadata!F914="",FALSE,TRUE),OR(EXACT(Metadata!F914,"lo"),EXACT(Metadata!F914,"med"),EXACT(Metadata!F914,"hi"))))</f>
        <v>0</v>
      </c>
    </row>
    <row r="915" spans="1:21" x14ac:dyDescent="0.2">
      <c r="A915" s="4" t="str">
        <f ca="1">IF(B915=" "," ",HYPERLINK(CONCATENATE("#metadata!",ADDRESS(INDEX($L$2:$L$1001,MATCH(ROWS($J$2:J915),$J$2:$J$1001,0),0),1)),INDEX($O$2:$O$1001,MATCH(ROWS($J$2:J915),$J$2:$J$1001,0),0)))</f>
        <v xml:space="preserve"> </v>
      </c>
      <c r="B915" s="3" t="str">
        <f ca="1">IF(OR(INDEX($K$2:$K$1001,MATCH(ROWS($J$2:J915),$J$2:$J$1001,0),1)&gt;=100000,INDEX($Q$1005:$U$1005,1,MATCH(COLUMNS($Q$1006:Q1006),$Q$1006:$U$1006,0))&gt;=100000), " ",IF(INDEX($Q$2:$U$1001,MATCH(ROWS($J$2:J915),$J$2:$J$1001,0),MATCH(COLUMNS($Q$1006:Q1006),$Q$1006:$U$1006,0)), HYPERLINK("#",""), HYPERLINK(CONCATENATE("#Metadata!", ADDRESS(INDEX($L$2:$L$1001,MATCH(ROWS($J$2:J915),$J$2:$J$1001,0),0), INDEX($Q$1004:$U$1004,1,MATCH(COLUMNS($Q$1006:Q1006),$Q$1006:$U$1006,0)))),"Fix")))</f>
        <v xml:space="preserve"> </v>
      </c>
      <c r="C915" s="3" t="str">
        <f ca="1">IF(OR(INDEX($K$2:$K$1001,MATCH(ROWS($J$2:J915),$J$2:$J$1001,0),1)&gt;=100000,INDEX($Q$1005:$U$1005,1,MATCH(COLUMNS($Q$1006:R1006),$Q$1006:$U$1006,0))&gt;=100000), " ",IF(INDEX($Q$2:$U$1001,MATCH(ROWS($J$2:J915),$J$2:$J$1001,0),MATCH(COLUMNS($Q$1006:R1006),$Q$1006:$U$1006,0)), HYPERLINK("#",""), HYPERLINK(CONCATENATE("#Metadata!", ADDRESS(INDEX($L$2:$L$1001,MATCH(ROWS($J$2:J915),$J$2:$J$1001,0),0), INDEX($Q$1004:$U$1004,1,MATCH(COLUMNS($Q$1006:R1006),$Q$1006:$U$1006,0)))),"Fix")))</f>
        <v xml:space="preserve"> </v>
      </c>
      <c r="D915" s="3" t="str">
        <f ca="1">IF(OR(INDEX($K$2:$K$1001,MATCH(ROWS($J$2:J915),$J$2:$J$1001,0),1)&gt;=100000,INDEX($Q$1005:$U$1005,1,MATCH(COLUMNS($Q$1006:S1006),$Q$1006:$U$1006,0))&gt;=100000), " ",IF(INDEX($Q$2:$U$1001,MATCH(ROWS($J$2:J915),$J$2:$J$1001,0),MATCH(COLUMNS($Q$1006:S1006),$Q$1006:$U$1006,0)), HYPERLINK("#",""), HYPERLINK(CONCATENATE("#Metadata!", ADDRESS(INDEX($L$2:$L$1001,MATCH(ROWS($J$2:J915),$J$2:$J$1001,0),0), INDEX($Q$1004:$U$1004,1,MATCH(COLUMNS($Q$1006:S1006),$Q$1006:$U$1006,0)))),"Fix")))</f>
        <v xml:space="preserve"> </v>
      </c>
      <c r="E915" s="3" t="str">
        <f ca="1">IF(OR(INDEX($K$2:$K$1001,MATCH(ROWS($J$2:J915),$J$2:$J$1001,0),1)&gt;=100000,INDEX($Q$1005:$U$1005,1,MATCH(COLUMNS($Q$1006:T1006),$Q$1006:$U$1006,0))&gt;=100000), " ",IF(INDEX($Q$2:$U$1001,MATCH(ROWS($J$2:J915),$J$2:$J$1001,0),MATCH(COLUMNS($Q$1006:T1006),$Q$1006:$U$1006,0)), HYPERLINK("#",""), HYPERLINK(CONCATENATE("#Metadata!", ADDRESS(INDEX($L$2:$L$1001,MATCH(ROWS($J$2:J915),$J$2:$J$1001,0),0), INDEX($Q$1004:$U$1004,1,MATCH(COLUMNS($Q$1006:T1006),$Q$1006:$U$1006,0)))),"Fix")))</f>
        <v xml:space="preserve"> </v>
      </c>
      <c r="F915" s="3" t="str">
        <f ca="1">IF(OR(INDEX($K$2:$K$1001,MATCH(ROWS($J$2:J915),$J$2:$J$1001,0),1)&gt;=100000,INDEX($Q$1005:$U$1005,1,MATCH(COLUMNS($Q$1006:U1006),$Q$1006:$U$1006,0))&gt;=100000), " ",IF(INDEX($Q$2:$U$1001,MATCH(ROWS($J$2:J915),$J$2:$J$1001,0),MATCH(COLUMNS($Q$1006:U1006),$Q$1006:$U$1006,0)), HYPERLINK("#",""), HYPERLINK(CONCATENATE("#Metadata!", ADDRESS(INDEX($L$2:$L$1001,MATCH(ROWS($J$2:J915),$J$2:$J$1001,0),0), INDEX($Q$1004:$U$1004,1,MATCH(COLUMNS($Q$1006:U1006),$Q$1006:$U$1006,0)))),"Fix")))</f>
        <v xml:space="preserve"> </v>
      </c>
      <c r="J915">
        <f ca="1"/>
        <v>914</v>
      </c>
      <c r="K915">
        <v>100915</v>
      </c>
      <c r="L915">
        <v>915</v>
      </c>
      <c r="M915" t="b">
        <f t="shared" si="14"/>
        <v>1</v>
      </c>
      <c r="N915" t="b">
        <f>COUNTBLANK(Metadata!B915:F915)=COLUMNS(Metadata!B915:F915)</f>
        <v>1</v>
      </c>
      <c r="O915" t="str">
        <v/>
      </c>
      <c r="Q915" t="b">
        <f ca="1"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R915" t="b">
        <f>IF(Metadata!C915="",FALSE,TRUE)</f>
        <v>0</v>
      </c>
      <c r="S915" t="b">
        <f>OR(AND(IF(Metadata!D915="",FALSE,TRUE),EXACT(Metadata!D915,"missing: not collected")),AND(IF(Metadata!D915="",FALSE,TRUE),OR(EXACT(Metadata!D915,"t"),EXACT(Metadata!D915,"f"))))</f>
        <v>0</v>
      </c>
      <c r="T915" t="b">
        <f>AND(IF(Metadata!E915="",FALSE,TRUE),OR(EXACT(Metadata!E915,"a"),EXACT(Metadata!E915,"b")))</f>
        <v>0</v>
      </c>
      <c r="U915" t="b">
        <f>OR(AND(IF(Metadata!F915="",FALSE,TRUE),OR(EXACT(Metadata!F915,"missing: not collected"),EXACT(Metadata!F915,"missing: not provided"))),AND(IF(Metadata!F915="",FALSE,TRUE),OR(EXACT(Metadata!F915,"lo"),EXACT(Metadata!F915,"med"),EXACT(Metadata!F915,"hi"))))</f>
        <v>0</v>
      </c>
    </row>
    <row r="916" spans="1:21" x14ac:dyDescent="0.2">
      <c r="A916" s="4" t="str">
        <f ca="1">IF(B916=" "," ",HYPERLINK(CONCATENATE("#metadata!",ADDRESS(INDEX($L$2:$L$1001,MATCH(ROWS($J$2:J916),$J$2:$J$1001,0),0),1)),INDEX($O$2:$O$1001,MATCH(ROWS($J$2:J916),$J$2:$J$1001,0),0)))</f>
        <v xml:space="preserve"> </v>
      </c>
      <c r="B916" s="3" t="str">
        <f ca="1">IF(OR(INDEX($K$2:$K$1001,MATCH(ROWS($J$2:J916),$J$2:$J$1001,0),1)&gt;=100000,INDEX($Q$1005:$U$1005,1,MATCH(COLUMNS($Q$1006:Q1006),$Q$1006:$U$1006,0))&gt;=100000), " ",IF(INDEX($Q$2:$U$1001,MATCH(ROWS($J$2:J916),$J$2:$J$1001,0),MATCH(COLUMNS($Q$1006:Q1006),$Q$1006:$U$1006,0)), HYPERLINK("#",""), HYPERLINK(CONCATENATE("#Metadata!", ADDRESS(INDEX($L$2:$L$1001,MATCH(ROWS($J$2:J916),$J$2:$J$1001,0),0), INDEX($Q$1004:$U$1004,1,MATCH(COLUMNS($Q$1006:Q1006),$Q$1006:$U$1006,0)))),"Fix")))</f>
        <v xml:space="preserve"> </v>
      </c>
      <c r="C916" s="3" t="str">
        <f ca="1">IF(OR(INDEX($K$2:$K$1001,MATCH(ROWS($J$2:J916),$J$2:$J$1001,0),1)&gt;=100000,INDEX($Q$1005:$U$1005,1,MATCH(COLUMNS($Q$1006:R1006),$Q$1006:$U$1006,0))&gt;=100000), " ",IF(INDEX($Q$2:$U$1001,MATCH(ROWS($J$2:J916),$J$2:$J$1001,0),MATCH(COLUMNS($Q$1006:R1006),$Q$1006:$U$1006,0)), HYPERLINK("#",""), HYPERLINK(CONCATENATE("#Metadata!", ADDRESS(INDEX($L$2:$L$1001,MATCH(ROWS($J$2:J916),$J$2:$J$1001,0),0), INDEX($Q$1004:$U$1004,1,MATCH(COLUMNS($Q$1006:R1006),$Q$1006:$U$1006,0)))),"Fix")))</f>
        <v xml:space="preserve"> </v>
      </c>
      <c r="D916" s="3" t="str">
        <f ca="1">IF(OR(INDEX($K$2:$K$1001,MATCH(ROWS($J$2:J916),$J$2:$J$1001,0),1)&gt;=100000,INDEX($Q$1005:$U$1005,1,MATCH(COLUMNS($Q$1006:S1006),$Q$1006:$U$1006,0))&gt;=100000), " ",IF(INDEX($Q$2:$U$1001,MATCH(ROWS($J$2:J916),$J$2:$J$1001,0),MATCH(COLUMNS($Q$1006:S1006),$Q$1006:$U$1006,0)), HYPERLINK("#",""), HYPERLINK(CONCATENATE("#Metadata!", ADDRESS(INDEX($L$2:$L$1001,MATCH(ROWS($J$2:J916),$J$2:$J$1001,0),0), INDEX($Q$1004:$U$1004,1,MATCH(COLUMNS($Q$1006:S1006),$Q$1006:$U$1006,0)))),"Fix")))</f>
        <v xml:space="preserve"> </v>
      </c>
      <c r="E916" s="3" t="str">
        <f ca="1">IF(OR(INDEX($K$2:$K$1001,MATCH(ROWS($J$2:J916),$J$2:$J$1001,0),1)&gt;=100000,INDEX($Q$1005:$U$1005,1,MATCH(COLUMNS($Q$1006:T1006),$Q$1006:$U$1006,0))&gt;=100000), " ",IF(INDEX($Q$2:$U$1001,MATCH(ROWS($J$2:J916),$J$2:$J$1001,0),MATCH(COLUMNS($Q$1006:T1006),$Q$1006:$U$1006,0)), HYPERLINK("#",""), HYPERLINK(CONCATENATE("#Metadata!", ADDRESS(INDEX($L$2:$L$1001,MATCH(ROWS($J$2:J916),$J$2:$J$1001,0),0), INDEX($Q$1004:$U$1004,1,MATCH(COLUMNS($Q$1006:T1006),$Q$1006:$U$1006,0)))),"Fix")))</f>
        <v xml:space="preserve"> </v>
      </c>
      <c r="F916" s="3" t="str">
        <f ca="1">IF(OR(INDEX($K$2:$K$1001,MATCH(ROWS($J$2:J916),$J$2:$J$1001,0),1)&gt;=100000,INDEX($Q$1005:$U$1005,1,MATCH(COLUMNS($Q$1006:U1006),$Q$1006:$U$1006,0))&gt;=100000), " ",IF(INDEX($Q$2:$U$1001,MATCH(ROWS($J$2:J916),$J$2:$J$1001,0),MATCH(COLUMNS($Q$1006:U1006),$Q$1006:$U$1006,0)), HYPERLINK("#",""), HYPERLINK(CONCATENATE("#Metadata!", ADDRESS(INDEX($L$2:$L$1001,MATCH(ROWS($J$2:J916),$J$2:$J$1001,0),0), INDEX($Q$1004:$U$1004,1,MATCH(COLUMNS($Q$1006:U1006),$Q$1006:$U$1006,0)))),"Fix")))</f>
        <v xml:space="preserve"> </v>
      </c>
      <c r="J916">
        <f ca="1"/>
        <v>915</v>
      </c>
      <c r="K916">
        <v>100916</v>
      </c>
      <c r="L916">
        <v>916</v>
      </c>
      <c r="M916" t="b">
        <f t="shared" si="14"/>
        <v>1</v>
      </c>
      <c r="N916" t="b">
        <f>COUNTBLANK(Metadata!B916:F916)=COLUMNS(Metadata!B916:F916)</f>
        <v>1</v>
      </c>
      <c r="O916" t="str">
        <v/>
      </c>
      <c r="Q916" t="b">
        <f ca="1"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R916" t="b">
        <f>IF(Metadata!C916="",FALSE,TRUE)</f>
        <v>0</v>
      </c>
      <c r="S916" t="b">
        <f>OR(AND(IF(Metadata!D916="",FALSE,TRUE),EXACT(Metadata!D916,"missing: not collected")),AND(IF(Metadata!D916="",FALSE,TRUE),OR(EXACT(Metadata!D916,"t"),EXACT(Metadata!D916,"f"))))</f>
        <v>0</v>
      </c>
      <c r="T916" t="b">
        <f>AND(IF(Metadata!E916="",FALSE,TRUE),OR(EXACT(Metadata!E916,"a"),EXACT(Metadata!E916,"b")))</f>
        <v>0</v>
      </c>
      <c r="U916" t="b">
        <f>OR(AND(IF(Metadata!F916="",FALSE,TRUE),OR(EXACT(Metadata!F916,"missing: not collected"),EXACT(Metadata!F916,"missing: not provided"))),AND(IF(Metadata!F916="",FALSE,TRUE),OR(EXACT(Metadata!F916,"lo"),EXACT(Metadata!F916,"med"),EXACT(Metadata!F916,"hi"))))</f>
        <v>0</v>
      </c>
    </row>
    <row r="917" spans="1:21" x14ac:dyDescent="0.2">
      <c r="A917" s="4" t="str">
        <f ca="1">IF(B917=" "," ",HYPERLINK(CONCATENATE("#metadata!",ADDRESS(INDEX($L$2:$L$1001,MATCH(ROWS($J$2:J917),$J$2:$J$1001,0),0),1)),INDEX($O$2:$O$1001,MATCH(ROWS($J$2:J917),$J$2:$J$1001,0),0)))</f>
        <v xml:space="preserve"> </v>
      </c>
      <c r="B917" s="3" t="str">
        <f ca="1">IF(OR(INDEX($K$2:$K$1001,MATCH(ROWS($J$2:J917),$J$2:$J$1001,0),1)&gt;=100000,INDEX($Q$1005:$U$1005,1,MATCH(COLUMNS($Q$1006:Q1006),$Q$1006:$U$1006,0))&gt;=100000), " ",IF(INDEX($Q$2:$U$1001,MATCH(ROWS($J$2:J917),$J$2:$J$1001,0),MATCH(COLUMNS($Q$1006:Q1006),$Q$1006:$U$1006,0)), HYPERLINK("#",""), HYPERLINK(CONCATENATE("#Metadata!", ADDRESS(INDEX($L$2:$L$1001,MATCH(ROWS($J$2:J917),$J$2:$J$1001,0),0), INDEX($Q$1004:$U$1004,1,MATCH(COLUMNS($Q$1006:Q1006),$Q$1006:$U$1006,0)))),"Fix")))</f>
        <v xml:space="preserve"> </v>
      </c>
      <c r="C917" s="3" t="str">
        <f ca="1">IF(OR(INDEX($K$2:$K$1001,MATCH(ROWS($J$2:J917),$J$2:$J$1001,0),1)&gt;=100000,INDEX($Q$1005:$U$1005,1,MATCH(COLUMNS($Q$1006:R1006),$Q$1006:$U$1006,0))&gt;=100000), " ",IF(INDEX($Q$2:$U$1001,MATCH(ROWS($J$2:J917),$J$2:$J$1001,0),MATCH(COLUMNS($Q$1006:R1006),$Q$1006:$U$1006,0)), HYPERLINK("#",""), HYPERLINK(CONCATENATE("#Metadata!", ADDRESS(INDEX($L$2:$L$1001,MATCH(ROWS($J$2:J917),$J$2:$J$1001,0),0), INDEX($Q$1004:$U$1004,1,MATCH(COLUMNS($Q$1006:R1006),$Q$1006:$U$1006,0)))),"Fix")))</f>
        <v xml:space="preserve"> </v>
      </c>
      <c r="D917" s="3" t="str">
        <f ca="1">IF(OR(INDEX($K$2:$K$1001,MATCH(ROWS($J$2:J917),$J$2:$J$1001,0),1)&gt;=100000,INDEX($Q$1005:$U$1005,1,MATCH(COLUMNS($Q$1006:S1006),$Q$1006:$U$1006,0))&gt;=100000), " ",IF(INDEX($Q$2:$U$1001,MATCH(ROWS($J$2:J917),$J$2:$J$1001,0),MATCH(COLUMNS($Q$1006:S1006),$Q$1006:$U$1006,0)), HYPERLINK("#",""), HYPERLINK(CONCATENATE("#Metadata!", ADDRESS(INDEX($L$2:$L$1001,MATCH(ROWS($J$2:J917),$J$2:$J$1001,0),0), INDEX($Q$1004:$U$1004,1,MATCH(COLUMNS($Q$1006:S1006),$Q$1006:$U$1006,0)))),"Fix")))</f>
        <v xml:space="preserve"> </v>
      </c>
      <c r="E917" s="3" t="str">
        <f ca="1">IF(OR(INDEX($K$2:$K$1001,MATCH(ROWS($J$2:J917),$J$2:$J$1001,0),1)&gt;=100000,INDEX($Q$1005:$U$1005,1,MATCH(COLUMNS($Q$1006:T1006),$Q$1006:$U$1006,0))&gt;=100000), " ",IF(INDEX($Q$2:$U$1001,MATCH(ROWS($J$2:J917),$J$2:$J$1001,0),MATCH(COLUMNS($Q$1006:T1006),$Q$1006:$U$1006,0)), HYPERLINK("#",""), HYPERLINK(CONCATENATE("#Metadata!", ADDRESS(INDEX($L$2:$L$1001,MATCH(ROWS($J$2:J917),$J$2:$J$1001,0),0), INDEX($Q$1004:$U$1004,1,MATCH(COLUMNS($Q$1006:T1006),$Q$1006:$U$1006,0)))),"Fix")))</f>
        <v xml:space="preserve"> </v>
      </c>
      <c r="F917" s="3" t="str">
        <f ca="1">IF(OR(INDEX($K$2:$K$1001,MATCH(ROWS($J$2:J917),$J$2:$J$1001,0),1)&gt;=100000,INDEX($Q$1005:$U$1005,1,MATCH(COLUMNS($Q$1006:U1006),$Q$1006:$U$1006,0))&gt;=100000), " ",IF(INDEX($Q$2:$U$1001,MATCH(ROWS($J$2:J917),$J$2:$J$1001,0),MATCH(COLUMNS($Q$1006:U1006),$Q$1006:$U$1006,0)), HYPERLINK("#",""), HYPERLINK(CONCATENATE("#Metadata!", ADDRESS(INDEX($L$2:$L$1001,MATCH(ROWS($J$2:J917),$J$2:$J$1001,0),0), INDEX($Q$1004:$U$1004,1,MATCH(COLUMNS($Q$1006:U1006),$Q$1006:$U$1006,0)))),"Fix")))</f>
        <v xml:space="preserve"> </v>
      </c>
      <c r="J917">
        <f ca="1"/>
        <v>916</v>
      </c>
      <c r="K917">
        <v>100917</v>
      </c>
      <c r="L917">
        <v>917</v>
      </c>
      <c r="M917" t="b">
        <f t="shared" si="14"/>
        <v>1</v>
      </c>
      <c r="N917" t="b">
        <f>COUNTBLANK(Metadata!B917:F917)=COLUMNS(Metadata!B917:F917)</f>
        <v>1</v>
      </c>
      <c r="O917" t="str">
        <v/>
      </c>
      <c r="Q917" t="b">
        <f ca="1"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R917" t="b">
        <f>IF(Metadata!C917="",FALSE,TRUE)</f>
        <v>0</v>
      </c>
      <c r="S917" t="b">
        <f>OR(AND(IF(Metadata!D917="",FALSE,TRUE),EXACT(Metadata!D917,"missing: not collected")),AND(IF(Metadata!D917="",FALSE,TRUE),OR(EXACT(Metadata!D917,"t"),EXACT(Metadata!D917,"f"))))</f>
        <v>0</v>
      </c>
      <c r="T917" t="b">
        <f>AND(IF(Metadata!E917="",FALSE,TRUE),OR(EXACT(Metadata!E917,"a"),EXACT(Metadata!E917,"b")))</f>
        <v>0</v>
      </c>
      <c r="U917" t="b">
        <f>OR(AND(IF(Metadata!F917="",FALSE,TRUE),OR(EXACT(Metadata!F917,"missing: not collected"),EXACT(Metadata!F917,"missing: not provided"))),AND(IF(Metadata!F917="",FALSE,TRUE),OR(EXACT(Metadata!F917,"lo"),EXACT(Metadata!F917,"med"),EXACT(Metadata!F917,"hi"))))</f>
        <v>0</v>
      </c>
    </row>
    <row r="918" spans="1:21" x14ac:dyDescent="0.2">
      <c r="A918" s="4" t="str">
        <f ca="1">IF(B918=" "," ",HYPERLINK(CONCATENATE("#metadata!",ADDRESS(INDEX($L$2:$L$1001,MATCH(ROWS($J$2:J918),$J$2:$J$1001,0),0),1)),INDEX($O$2:$O$1001,MATCH(ROWS($J$2:J918),$J$2:$J$1001,0),0)))</f>
        <v xml:space="preserve"> </v>
      </c>
      <c r="B918" s="3" t="str">
        <f ca="1">IF(OR(INDEX($K$2:$K$1001,MATCH(ROWS($J$2:J918),$J$2:$J$1001,0),1)&gt;=100000,INDEX($Q$1005:$U$1005,1,MATCH(COLUMNS($Q$1006:Q1006),$Q$1006:$U$1006,0))&gt;=100000), " ",IF(INDEX($Q$2:$U$1001,MATCH(ROWS($J$2:J918),$J$2:$J$1001,0),MATCH(COLUMNS($Q$1006:Q1006),$Q$1006:$U$1006,0)), HYPERLINK("#",""), HYPERLINK(CONCATENATE("#Metadata!", ADDRESS(INDEX($L$2:$L$1001,MATCH(ROWS($J$2:J918),$J$2:$J$1001,0),0), INDEX($Q$1004:$U$1004,1,MATCH(COLUMNS($Q$1006:Q1006),$Q$1006:$U$1006,0)))),"Fix")))</f>
        <v xml:space="preserve"> </v>
      </c>
      <c r="C918" s="3" t="str">
        <f ca="1">IF(OR(INDEX($K$2:$K$1001,MATCH(ROWS($J$2:J918),$J$2:$J$1001,0),1)&gt;=100000,INDEX($Q$1005:$U$1005,1,MATCH(COLUMNS($Q$1006:R1006),$Q$1006:$U$1006,0))&gt;=100000), " ",IF(INDEX($Q$2:$U$1001,MATCH(ROWS($J$2:J918),$J$2:$J$1001,0),MATCH(COLUMNS($Q$1006:R1006),$Q$1006:$U$1006,0)), HYPERLINK("#",""), HYPERLINK(CONCATENATE("#Metadata!", ADDRESS(INDEX($L$2:$L$1001,MATCH(ROWS($J$2:J918),$J$2:$J$1001,0),0), INDEX($Q$1004:$U$1004,1,MATCH(COLUMNS($Q$1006:R1006),$Q$1006:$U$1006,0)))),"Fix")))</f>
        <v xml:space="preserve"> </v>
      </c>
      <c r="D918" s="3" t="str">
        <f ca="1">IF(OR(INDEX($K$2:$K$1001,MATCH(ROWS($J$2:J918),$J$2:$J$1001,0),1)&gt;=100000,INDEX($Q$1005:$U$1005,1,MATCH(COLUMNS($Q$1006:S1006),$Q$1006:$U$1006,0))&gt;=100000), " ",IF(INDEX($Q$2:$U$1001,MATCH(ROWS($J$2:J918),$J$2:$J$1001,0),MATCH(COLUMNS($Q$1006:S1006),$Q$1006:$U$1006,0)), HYPERLINK("#",""), HYPERLINK(CONCATENATE("#Metadata!", ADDRESS(INDEX($L$2:$L$1001,MATCH(ROWS($J$2:J918),$J$2:$J$1001,0),0), INDEX($Q$1004:$U$1004,1,MATCH(COLUMNS($Q$1006:S1006),$Q$1006:$U$1006,0)))),"Fix")))</f>
        <v xml:space="preserve"> </v>
      </c>
      <c r="E918" s="3" t="str">
        <f ca="1">IF(OR(INDEX($K$2:$K$1001,MATCH(ROWS($J$2:J918),$J$2:$J$1001,0),1)&gt;=100000,INDEX($Q$1005:$U$1005,1,MATCH(COLUMNS($Q$1006:T1006),$Q$1006:$U$1006,0))&gt;=100000), " ",IF(INDEX($Q$2:$U$1001,MATCH(ROWS($J$2:J918),$J$2:$J$1001,0),MATCH(COLUMNS($Q$1006:T1006),$Q$1006:$U$1006,0)), HYPERLINK("#",""), HYPERLINK(CONCATENATE("#Metadata!", ADDRESS(INDEX($L$2:$L$1001,MATCH(ROWS($J$2:J918),$J$2:$J$1001,0),0), INDEX($Q$1004:$U$1004,1,MATCH(COLUMNS($Q$1006:T1006),$Q$1006:$U$1006,0)))),"Fix")))</f>
        <v xml:space="preserve"> </v>
      </c>
      <c r="F918" s="3" t="str">
        <f ca="1">IF(OR(INDEX($K$2:$K$1001,MATCH(ROWS($J$2:J918),$J$2:$J$1001,0),1)&gt;=100000,INDEX($Q$1005:$U$1005,1,MATCH(COLUMNS($Q$1006:U1006),$Q$1006:$U$1006,0))&gt;=100000), " ",IF(INDEX($Q$2:$U$1001,MATCH(ROWS($J$2:J918),$J$2:$J$1001,0),MATCH(COLUMNS($Q$1006:U1006),$Q$1006:$U$1006,0)), HYPERLINK("#",""), HYPERLINK(CONCATENATE("#Metadata!", ADDRESS(INDEX($L$2:$L$1001,MATCH(ROWS($J$2:J918),$J$2:$J$1001,0),0), INDEX($Q$1004:$U$1004,1,MATCH(COLUMNS($Q$1006:U1006),$Q$1006:$U$1006,0)))),"Fix")))</f>
        <v xml:space="preserve"> </v>
      </c>
      <c r="J918">
        <f ca="1"/>
        <v>917</v>
      </c>
      <c r="K918">
        <v>100918</v>
      </c>
      <c r="L918">
        <v>918</v>
      </c>
      <c r="M918" t="b">
        <f t="shared" si="14"/>
        <v>1</v>
      </c>
      <c r="N918" t="b">
        <f>COUNTBLANK(Metadata!B918:F918)=COLUMNS(Metadata!B918:F918)</f>
        <v>1</v>
      </c>
      <c r="O918" t="str">
        <v/>
      </c>
      <c r="Q918" t="b">
        <f ca="1"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R918" t="b">
        <f>IF(Metadata!C918="",FALSE,TRUE)</f>
        <v>0</v>
      </c>
      <c r="S918" t="b">
        <f>OR(AND(IF(Metadata!D918="",FALSE,TRUE),EXACT(Metadata!D918,"missing: not collected")),AND(IF(Metadata!D918="",FALSE,TRUE),OR(EXACT(Metadata!D918,"t"),EXACT(Metadata!D918,"f"))))</f>
        <v>0</v>
      </c>
      <c r="T918" t="b">
        <f>AND(IF(Metadata!E918="",FALSE,TRUE),OR(EXACT(Metadata!E918,"a"),EXACT(Metadata!E918,"b")))</f>
        <v>0</v>
      </c>
      <c r="U918" t="b">
        <f>OR(AND(IF(Metadata!F918="",FALSE,TRUE),OR(EXACT(Metadata!F918,"missing: not collected"),EXACT(Metadata!F918,"missing: not provided"))),AND(IF(Metadata!F918="",FALSE,TRUE),OR(EXACT(Metadata!F918,"lo"),EXACT(Metadata!F918,"med"),EXACT(Metadata!F918,"hi"))))</f>
        <v>0</v>
      </c>
    </row>
    <row r="919" spans="1:21" x14ac:dyDescent="0.2">
      <c r="A919" s="4" t="str">
        <f ca="1">IF(B919=" "," ",HYPERLINK(CONCATENATE("#metadata!",ADDRESS(INDEX($L$2:$L$1001,MATCH(ROWS($J$2:J919),$J$2:$J$1001,0),0),1)),INDEX($O$2:$O$1001,MATCH(ROWS($J$2:J919),$J$2:$J$1001,0),0)))</f>
        <v xml:space="preserve"> </v>
      </c>
      <c r="B919" s="3" t="str">
        <f ca="1">IF(OR(INDEX($K$2:$K$1001,MATCH(ROWS($J$2:J919),$J$2:$J$1001,0),1)&gt;=100000,INDEX($Q$1005:$U$1005,1,MATCH(COLUMNS($Q$1006:Q1006),$Q$1006:$U$1006,0))&gt;=100000), " ",IF(INDEX($Q$2:$U$1001,MATCH(ROWS($J$2:J919),$J$2:$J$1001,0),MATCH(COLUMNS($Q$1006:Q1006),$Q$1006:$U$1006,0)), HYPERLINK("#",""), HYPERLINK(CONCATENATE("#Metadata!", ADDRESS(INDEX($L$2:$L$1001,MATCH(ROWS($J$2:J919),$J$2:$J$1001,0),0), INDEX($Q$1004:$U$1004,1,MATCH(COLUMNS($Q$1006:Q1006),$Q$1006:$U$1006,0)))),"Fix")))</f>
        <v xml:space="preserve"> </v>
      </c>
      <c r="C919" s="3" t="str">
        <f ca="1">IF(OR(INDEX($K$2:$K$1001,MATCH(ROWS($J$2:J919),$J$2:$J$1001,0),1)&gt;=100000,INDEX($Q$1005:$U$1005,1,MATCH(COLUMNS($Q$1006:R1006),$Q$1006:$U$1006,0))&gt;=100000), " ",IF(INDEX($Q$2:$U$1001,MATCH(ROWS($J$2:J919),$J$2:$J$1001,0),MATCH(COLUMNS($Q$1006:R1006),$Q$1006:$U$1006,0)), HYPERLINK("#",""), HYPERLINK(CONCATENATE("#Metadata!", ADDRESS(INDEX($L$2:$L$1001,MATCH(ROWS($J$2:J919),$J$2:$J$1001,0),0), INDEX($Q$1004:$U$1004,1,MATCH(COLUMNS($Q$1006:R1006),$Q$1006:$U$1006,0)))),"Fix")))</f>
        <v xml:space="preserve"> </v>
      </c>
      <c r="D919" s="3" t="str">
        <f ca="1">IF(OR(INDEX($K$2:$K$1001,MATCH(ROWS($J$2:J919),$J$2:$J$1001,0),1)&gt;=100000,INDEX($Q$1005:$U$1005,1,MATCH(COLUMNS($Q$1006:S1006),$Q$1006:$U$1006,0))&gt;=100000), " ",IF(INDEX($Q$2:$U$1001,MATCH(ROWS($J$2:J919),$J$2:$J$1001,0),MATCH(COLUMNS($Q$1006:S1006),$Q$1006:$U$1006,0)), HYPERLINK("#",""), HYPERLINK(CONCATENATE("#Metadata!", ADDRESS(INDEX($L$2:$L$1001,MATCH(ROWS($J$2:J919),$J$2:$J$1001,0),0), INDEX($Q$1004:$U$1004,1,MATCH(COLUMNS($Q$1006:S1006),$Q$1006:$U$1006,0)))),"Fix")))</f>
        <v xml:space="preserve"> </v>
      </c>
      <c r="E919" s="3" t="str">
        <f ca="1">IF(OR(INDEX($K$2:$K$1001,MATCH(ROWS($J$2:J919),$J$2:$J$1001,0),1)&gt;=100000,INDEX($Q$1005:$U$1005,1,MATCH(COLUMNS($Q$1006:T1006),$Q$1006:$U$1006,0))&gt;=100000), " ",IF(INDEX($Q$2:$U$1001,MATCH(ROWS($J$2:J919),$J$2:$J$1001,0),MATCH(COLUMNS($Q$1006:T1006),$Q$1006:$U$1006,0)), HYPERLINK("#",""), HYPERLINK(CONCATENATE("#Metadata!", ADDRESS(INDEX($L$2:$L$1001,MATCH(ROWS($J$2:J919),$J$2:$J$1001,0),0), INDEX($Q$1004:$U$1004,1,MATCH(COLUMNS($Q$1006:T1006),$Q$1006:$U$1006,0)))),"Fix")))</f>
        <v xml:space="preserve"> </v>
      </c>
      <c r="F919" s="3" t="str">
        <f ca="1">IF(OR(INDEX($K$2:$K$1001,MATCH(ROWS($J$2:J919),$J$2:$J$1001,0),1)&gt;=100000,INDEX($Q$1005:$U$1005,1,MATCH(COLUMNS($Q$1006:U1006),$Q$1006:$U$1006,0))&gt;=100000), " ",IF(INDEX($Q$2:$U$1001,MATCH(ROWS($J$2:J919),$J$2:$J$1001,0),MATCH(COLUMNS($Q$1006:U1006),$Q$1006:$U$1006,0)), HYPERLINK("#",""), HYPERLINK(CONCATENATE("#Metadata!", ADDRESS(INDEX($L$2:$L$1001,MATCH(ROWS($J$2:J919),$J$2:$J$1001,0),0), INDEX($Q$1004:$U$1004,1,MATCH(COLUMNS($Q$1006:U1006),$Q$1006:$U$1006,0)))),"Fix")))</f>
        <v xml:space="preserve"> </v>
      </c>
      <c r="J919">
        <f ca="1"/>
        <v>918</v>
      </c>
      <c r="K919">
        <v>100919</v>
      </c>
      <c r="L919">
        <v>919</v>
      </c>
      <c r="M919" t="b">
        <f t="shared" si="14"/>
        <v>1</v>
      </c>
      <c r="N919" t="b">
        <f>COUNTBLANK(Metadata!B919:F919)=COLUMNS(Metadata!B919:F919)</f>
        <v>1</v>
      </c>
      <c r="O919" t="str">
        <v/>
      </c>
      <c r="Q919" t="b">
        <f ca="1"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R919" t="b">
        <f>IF(Metadata!C919="",FALSE,TRUE)</f>
        <v>0</v>
      </c>
      <c r="S919" t="b">
        <f>OR(AND(IF(Metadata!D919="",FALSE,TRUE),EXACT(Metadata!D919,"missing: not collected")),AND(IF(Metadata!D919="",FALSE,TRUE),OR(EXACT(Metadata!D919,"t"),EXACT(Metadata!D919,"f"))))</f>
        <v>0</v>
      </c>
      <c r="T919" t="b">
        <f>AND(IF(Metadata!E919="",FALSE,TRUE),OR(EXACT(Metadata!E919,"a"),EXACT(Metadata!E919,"b")))</f>
        <v>0</v>
      </c>
      <c r="U919" t="b">
        <f>OR(AND(IF(Metadata!F919="",FALSE,TRUE),OR(EXACT(Metadata!F919,"missing: not collected"),EXACT(Metadata!F919,"missing: not provided"))),AND(IF(Metadata!F919="",FALSE,TRUE),OR(EXACT(Metadata!F919,"lo"),EXACT(Metadata!F919,"med"),EXACT(Metadata!F919,"hi"))))</f>
        <v>0</v>
      </c>
    </row>
    <row r="920" spans="1:21" x14ac:dyDescent="0.2">
      <c r="A920" s="4" t="str">
        <f ca="1">IF(B920=" "," ",HYPERLINK(CONCATENATE("#metadata!",ADDRESS(INDEX($L$2:$L$1001,MATCH(ROWS($J$2:J920),$J$2:$J$1001,0),0),1)),INDEX($O$2:$O$1001,MATCH(ROWS($J$2:J920),$J$2:$J$1001,0),0)))</f>
        <v xml:space="preserve"> </v>
      </c>
      <c r="B920" s="3" t="str">
        <f ca="1">IF(OR(INDEX($K$2:$K$1001,MATCH(ROWS($J$2:J920),$J$2:$J$1001,0),1)&gt;=100000,INDEX($Q$1005:$U$1005,1,MATCH(COLUMNS($Q$1006:Q1006),$Q$1006:$U$1006,0))&gt;=100000), " ",IF(INDEX($Q$2:$U$1001,MATCH(ROWS($J$2:J920),$J$2:$J$1001,0),MATCH(COLUMNS($Q$1006:Q1006),$Q$1006:$U$1006,0)), HYPERLINK("#",""), HYPERLINK(CONCATENATE("#Metadata!", ADDRESS(INDEX($L$2:$L$1001,MATCH(ROWS($J$2:J920),$J$2:$J$1001,0),0), INDEX($Q$1004:$U$1004,1,MATCH(COLUMNS($Q$1006:Q1006),$Q$1006:$U$1006,0)))),"Fix")))</f>
        <v xml:space="preserve"> </v>
      </c>
      <c r="C920" s="3" t="str">
        <f ca="1">IF(OR(INDEX($K$2:$K$1001,MATCH(ROWS($J$2:J920),$J$2:$J$1001,0),1)&gt;=100000,INDEX($Q$1005:$U$1005,1,MATCH(COLUMNS($Q$1006:R1006),$Q$1006:$U$1006,0))&gt;=100000), " ",IF(INDEX($Q$2:$U$1001,MATCH(ROWS($J$2:J920),$J$2:$J$1001,0),MATCH(COLUMNS($Q$1006:R1006),$Q$1006:$U$1006,0)), HYPERLINK("#",""), HYPERLINK(CONCATENATE("#Metadata!", ADDRESS(INDEX($L$2:$L$1001,MATCH(ROWS($J$2:J920),$J$2:$J$1001,0),0), INDEX($Q$1004:$U$1004,1,MATCH(COLUMNS($Q$1006:R1006),$Q$1006:$U$1006,0)))),"Fix")))</f>
        <v xml:space="preserve"> </v>
      </c>
      <c r="D920" s="3" t="str">
        <f ca="1">IF(OR(INDEX($K$2:$K$1001,MATCH(ROWS($J$2:J920),$J$2:$J$1001,0),1)&gt;=100000,INDEX($Q$1005:$U$1005,1,MATCH(COLUMNS($Q$1006:S1006),$Q$1006:$U$1006,0))&gt;=100000), " ",IF(INDEX($Q$2:$U$1001,MATCH(ROWS($J$2:J920),$J$2:$J$1001,0),MATCH(COLUMNS($Q$1006:S1006),$Q$1006:$U$1006,0)), HYPERLINK("#",""), HYPERLINK(CONCATENATE("#Metadata!", ADDRESS(INDEX($L$2:$L$1001,MATCH(ROWS($J$2:J920),$J$2:$J$1001,0),0), INDEX($Q$1004:$U$1004,1,MATCH(COLUMNS($Q$1006:S1006),$Q$1006:$U$1006,0)))),"Fix")))</f>
        <v xml:space="preserve"> </v>
      </c>
      <c r="E920" s="3" t="str">
        <f ca="1">IF(OR(INDEX($K$2:$K$1001,MATCH(ROWS($J$2:J920),$J$2:$J$1001,0),1)&gt;=100000,INDEX($Q$1005:$U$1005,1,MATCH(COLUMNS($Q$1006:T1006),$Q$1006:$U$1006,0))&gt;=100000), " ",IF(INDEX($Q$2:$U$1001,MATCH(ROWS($J$2:J920),$J$2:$J$1001,0),MATCH(COLUMNS($Q$1006:T1006),$Q$1006:$U$1006,0)), HYPERLINK("#",""), HYPERLINK(CONCATENATE("#Metadata!", ADDRESS(INDEX($L$2:$L$1001,MATCH(ROWS($J$2:J920),$J$2:$J$1001,0),0), INDEX($Q$1004:$U$1004,1,MATCH(COLUMNS($Q$1006:T1006),$Q$1006:$U$1006,0)))),"Fix")))</f>
        <v xml:space="preserve"> </v>
      </c>
      <c r="F920" s="3" t="str">
        <f ca="1">IF(OR(INDEX($K$2:$K$1001,MATCH(ROWS($J$2:J920),$J$2:$J$1001,0),1)&gt;=100000,INDEX($Q$1005:$U$1005,1,MATCH(COLUMNS($Q$1006:U1006),$Q$1006:$U$1006,0))&gt;=100000), " ",IF(INDEX($Q$2:$U$1001,MATCH(ROWS($J$2:J920),$J$2:$J$1001,0),MATCH(COLUMNS($Q$1006:U1006),$Q$1006:$U$1006,0)), HYPERLINK("#",""), HYPERLINK(CONCATENATE("#Metadata!", ADDRESS(INDEX($L$2:$L$1001,MATCH(ROWS($J$2:J920),$J$2:$J$1001,0),0), INDEX($Q$1004:$U$1004,1,MATCH(COLUMNS($Q$1006:U1006),$Q$1006:$U$1006,0)))),"Fix")))</f>
        <v xml:space="preserve"> </v>
      </c>
      <c r="J920">
        <f ca="1"/>
        <v>919</v>
      </c>
      <c r="K920">
        <v>100920</v>
      </c>
      <c r="L920">
        <v>920</v>
      </c>
      <c r="M920" t="b">
        <f t="shared" si="14"/>
        <v>1</v>
      </c>
      <c r="N920" t="b">
        <f>COUNTBLANK(Metadata!B920:F920)=COLUMNS(Metadata!B920:F920)</f>
        <v>1</v>
      </c>
      <c r="O920" t="str">
        <v/>
      </c>
      <c r="Q920" t="b">
        <f ca="1"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R920" t="b">
        <f>IF(Metadata!C920="",FALSE,TRUE)</f>
        <v>0</v>
      </c>
      <c r="S920" t="b">
        <f>OR(AND(IF(Metadata!D920="",FALSE,TRUE),EXACT(Metadata!D920,"missing: not collected")),AND(IF(Metadata!D920="",FALSE,TRUE),OR(EXACT(Metadata!D920,"t"),EXACT(Metadata!D920,"f"))))</f>
        <v>0</v>
      </c>
      <c r="T920" t="b">
        <f>AND(IF(Metadata!E920="",FALSE,TRUE),OR(EXACT(Metadata!E920,"a"),EXACT(Metadata!E920,"b")))</f>
        <v>0</v>
      </c>
      <c r="U920" t="b">
        <f>OR(AND(IF(Metadata!F920="",FALSE,TRUE),OR(EXACT(Metadata!F920,"missing: not collected"),EXACT(Metadata!F920,"missing: not provided"))),AND(IF(Metadata!F920="",FALSE,TRUE),OR(EXACT(Metadata!F920,"lo"),EXACT(Metadata!F920,"med"),EXACT(Metadata!F920,"hi"))))</f>
        <v>0</v>
      </c>
    </row>
    <row r="921" spans="1:21" x14ac:dyDescent="0.2">
      <c r="A921" s="4" t="str">
        <f ca="1">IF(B921=" "," ",HYPERLINK(CONCATENATE("#metadata!",ADDRESS(INDEX($L$2:$L$1001,MATCH(ROWS($J$2:J921),$J$2:$J$1001,0),0),1)),INDEX($O$2:$O$1001,MATCH(ROWS($J$2:J921),$J$2:$J$1001,0),0)))</f>
        <v xml:space="preserve"> </v>
      </c>
      <c r="B921" s="3" t="str">
        <f ca="1">IF(OR(INDEX($K$2:$K$1001,MATCH(ROWS($J$2:J921),$J$2:$J$1001,0),1)&gt;=100000,INDEX($Q$1005:$U$1005,1,MATCH(COLUMNS($Q$1006:Q1006),$Q$1006:$U$1006,0))&gt;=100000), " ",IF(INDEX($Q$2:$U$1001,MATCH(ROWS($J$2:J921),$J$2:$J$1001,0),MATCH(COLUMNS($Q$1006:Q1006),$Q$1006:$U$1006,0)), HYPERLINK("#",""), HYPERLINK(CONCATENATE("#Metadata!", ADDRESS(INDEX($L$2:$L$1001,MATCH(ROWS($J$2:J921),$J$2:$J$1001,0),0), INDEX($Q$1004:$U$1004,1,MATCH(COLUMNS($Q$1006:Q1006),$Q$1006:$U$1006,0)))),"Fix")))</f>
        <v xml:space="preserve"> </v>
      </c>
      <c r="C921" s="3" t="str">
        <f ca="1">IF(OR(INDEX($K$2:$K$1001,MATCH(ROWS($J$2:J921),$J$2:$J$1001,0),1)&gt;=100000,INDEX($Q$1005:$U$1005,1,MATCH(COLUMNS($Q$1006:R1006),$Q$1006:$U$1006,0))&gt;=100000), " ",IF(INDEX($Q$2:$U$1001,MATCH(ROWS($J$2:J921),$J$2:$J$1001,0),MATCH(COLUMNS($Q$1006:R1006),$Q$1006:$U$1006,0)), HYPERLINK("#",""), HYPERLINK(CONCATENATE("#Metadata!", ADDRESS(INDEX($L$2:$L$1001,MATCH(ROWS($J$2:J921),$J$2:$J$1001,0),0), INDEX($Q$1004:$U$1004,1,MATCH(COLUMNS($Q$1006:R1006),$Q$1006:$U$1006,0)))),"Fix")))</f>
        <v xml:space="preserve"> </v>
      </c>
      <c r="D921" s="3" t="str">
        <f ca="1">IF(OR(INDEX($K$2:$K$1001,MATCH(ROWS($J$2:J921),$J$2:$J$1001,0),1)&gt;=100000,INDEX($Q$1005:$U$1005,1,MATCH(COLUMNS($Q$1006:S1006),$Q$1006:$U$1006,0))&gt;=100000), " ",IF(INDEX($Q$2:$U$1001,MATCH(ROWS($J$2:J921),$J$2:$J$1001,0),MATCH(COLUMNS($Q$1006:S1006),$Q$1006:$U$1006,0)), HYPERLINK("#",""), HYPERLINK(CONCATENATE("#Metadata!", ADDRESS(INDEX($L$2:$L$1001,MATCH(ROWS($J$2:J921),$J$2:$J$1001,0),0), INDEX($Q$1004:$U$1004,1,MATCH(COLUMNS($Q$1006:S1006),$Q$1006:$U$1006,0)))),"Fix")))</f>
        <v xml:space="preserve"> </v>
      </c>
      <c r="E921" s="3" t="str">
        <f ca="1">IF(OR(INDEX($K$2:$K$1001,MATCH(ROWS($J$2:J921),$J$2:$J$1001,0),1)&gt;=100000,INDEX($Q$1005:$U$1005,1,MATCH(COLUMNS($Q$1006:T1006),$Q$1006:$U$1006,0))&gt;=100000), " ",IF(INDEX($Q$2:$U$1001,MATCH(ROWS($J$2:J921),$J$2:$J$1001,0),MATCH(COLUMNS($Q$1006:T1006),$Q$1006:$U$1006,0)), HYPERLINK("#",""), HYPERLINK(CONCATENATE("#Metadata!", ADDRESS(INDEX($L$2:$L$1001,MATCH(ROWS($J$2:J921),$J$2:$J$1001,0),0), INDEX($Q$1004:$U$1004,1,MATCH(COLUMNS($Q$1006:T1006),$Q$1006:$U$1006,0)))),"Fix")))</f>
        <v xml:space="preserve"> </v>
      </c>
      <c r="F921" s="3" t="str">
        <f ca="1">IF(OR(INDEX($K$2:$K$1001,MATCH(ROWS($J$2:J921),$J$2:$J$1001,0),1)&gt;=100000,INDEX($Q$1005:$U$1005,1,MATCH(COLUMNS($Q$1006:U1006),$Q$1006:$U$1006,0))&gt;=100000), " ",IF(INDEX($Q$2:$U$1001,MATCH(ROWS($J$2:J921),$J$2:$J$1001,0),MATCH(COLUMNS($Q$1006:U1006),$Q$1006:$U$1006,0)), HYPERLINK("#",""), HYPERLINK(CONCATENATE("#Metadata!", ADDRESS(INDEX($L$2:$L$1001,MATCH(ROWS($J$2:J921),$J$2:$J$1001,0),0), INDEX($Q$1004:$U$1004,1,MATCH(COLUMNS($Q$1006:U1006),$Q$1006:$U$1006,0)))),"Fix")))</f>
        <v xml:space="preserve"> </v>
      </c>
      <c r="J921">
        <f ca="1"/>
        <v>920</v>
      </c>
      <c r="K921">
        <v>100921</v>
      </c>
      <c r="L921">
        <v>921</v>
      </c>
      <c r="M921" t="b">
        <f t="shared" si="14"/>
        <v>1</v>
      </c>
      <c r="N921" t="b">
        <f>COUNTBLANK(Metadata!B921:F921)=COLUMNS(Metadata!B921:F921)</f>
        <v>1</v>
      </c>
      <c r="O921" t="str">
        <v/>
      </c>
      <c r="Q921" t="b">
        <f ca="1"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R921" t="b">
        <f>IF(Metadata!C921="",FALSE,TRUE)</f>
        <v>0</v>
      </c>
      <c r="S921" t="b">
        <f>OR(AND(IF(Metadata!D921="",FALSE,TRUE),EXACT(Metadata!D921,"missing: not collected")),AND(IF(Metadata!D921="",FALSE,TRUE),OR(EXACT(Metadata!D921,"t"),EXACT(Metadata!D921,"f"))))</f>
        <v>0</v>
      </c>
      <c r="T921" t="b">
        <f>AND(IF(Metadata!E921="",FALSE,TRUE),OR(EXACT(Metadata!E921,"a"),EXACT(Metadata!E921,"b")))</f>
        <v>0</v>
      </c>
      <c r="U921" t="b">
        <f>OR(AND(IF(Metadata!F921="",FALSE,TRUE),OR(EXACT(Metadata!F921,"missing: not collected"),EXACT(Metadata!F921,"missing: not provided"))),AND(IF(Metadata!F921="",FALSE,TRUE),OR(EXACT(Metadata!F921,"lo"),EXACT(Metadata!F921,"med"),EXACT(Metadata!F921,"hi"))))</f>
        <v>0</v>
      </c>
    </row>
    <row r="922" spans="1:21" x14ac:dyDescent="0.2">
      <c r="A922" s="4" t="str">
        <f ca="1">IF(B922=" "," ",HYPERLINK(CONCATENATE("#metadata!",ADDRESS(INDEX($L$2:$L$1001,MATCH(ROWS($J$2:J922),$J$2:$J$1001,0),0),1)),INDEX($O$2:$O$1001,MATCH(ROWS($J$2:J922),$J$2:$J$1001,0),0)))</f>
        <v xml:space="preserve"> </v>
      </c>
      <c r="B922" s="3" t="str">
        <f ca="1">IF(OR(INDEX($K$2:$K$1001,MATCH(ROWS($J$2:J922),$J$2:$J$1001,0),1)&gt;=100000,INDEX($Q$1005:$U$1005,1,MATCH(COLUMNS($Q$1006:Q1006),$Q$1006:$U$1006,0))&gt;=100000), " ",IF(INDEX($Q$2:$U$1001,MATCH(ROWS($J$2:J922),$J$2:$J$1001,0),MATCH(COLUMNS($Q$1006:Q1006),$Q$1006:$U$1006,0)), HYPERLINK("#",""), HYPERLINK(CONCATENATE("#Metadata!", ADDRESS(INDEX($L$2:$L$1001,MATCH(ROWS($J$2:J922),$J$2:$J$1001,0),0), INDEX($Q$1004:$U$1004,1,MATCH(COLUMNS($Q$1006:Q1006),$Q$1006:$U$1006,0)))),"Fix")))</f>
        <v xml:space="preserve"> </v>
      </c>
      <c r="C922" s="3" t="str">
        <f ca="1">IF(OR(INDEX($K$2:$K$1001,MATCH(ROWS($J$2:J922),$J$2:$J$1001,0),1)&gt;=100000,INDEX($Q$1005:$U$1005,1,MATCH(COLUMNS($Q$1006:R1006),$Q$1006:$U$1006,0))&gt;=100000), " ",IF(INDEX($Q$2:$U$1001,MATCH(ROWS($J$2:J922),$J$2:$J$1001,0),MATCH(COLUMNS($Q$1006:R1006),$Q$1006:$U$1006,0)), HYPERLINK("#",""), HYPERLINK(CONCATENATE("#Metadata!", ADDRESS(INDEX($L$2:$L$1001,MATCH(ROWS($J$2:J922),$J$2:$J$1001,0),0), INDEX($Q$1004:$U$1004,1,MATCH(COLUMNS($Q$1006:R1006),$Q$1006:$U$1006,0)))),"Fix")))</f>
        <v xml:space="preserve"> </v>
      </c>
      <c r="D922" s="3" t="str">
        <f ca="1">IF(OR(INDEX($K$2:$K$1001,MATCH(ROWS($J$2:J922),$J$2:$J$1001,0),1)&gt;=100000,INDEX($Q$1005:$U$1005,1,MATCH(COLUMNS($Q$1006:S1006),$Q$1006:$U$1006,0))&gt;=100000), " ",IF(INDEX($Q$2:$U$1001,MATCH(ROWS($J$2:J922),$J$2:$J$1001,0),MATCH(COLUMNS($Q$1006:S1006),$Q$1006:$U$1006,0)), HYPERLINK("#",""), HYPERLINK(CONCATENATE("#Metadata!", ADDRESS(INDEX($L$2:$L$1001,MATCH(ROWS($J$2:J922),$J$2:$J$1001,0),0), INDEX($Q$1004:$U$1004,1,MATCH(COLUMNS($Q$1006:S1006),$Q$1006:$U$1006,0)))),"Fix")))</f>
        <v xml:space="preserve"> </v>
      </c>
      <c r="E922" s="3" t="str">
        <f ca="1">IF(OR(INDEX($K$2:$K$1001,MATCH(ROWS($J$2:J922),$J$2:$J$1001,0),1)&gt;=100000,INDEX($Q$1005:$U$1005,1,MATCH(COLUMNS($Q$1006:T1006),$Q$1006:$U$1006,0))&gt;=100000), " ",IF(INDEX($Q$2:$U$1001,MATCH(ROWS($J$2:J922),$J$2:$J$1001,0),MATCH(COLUMNS($Q$1006:T1006),$Q$1006:$U$1006,0)), HYPERLINK("#",""), HYPERLINK(CONCATENATE("#Metadata!", ADDRESS(INDEX($L$2:$L$1001,MATCH(ROWS($J$2:J922),$J$2:$J$1001,0),0), INDEX($Q$1004:$U$1004,1,MATCH(COLUMNS($Q$1006:T1006),$Q$1006:$U$1006,0)))),"Fix")))</f>
        <v xml:space="preserve"> </v>
      </c>
      <c r="F922" s="3" t="str">
        <f ca="1">IF(OR(INDEX($K$2:$K$1001,MATCH(ROWS($J$2:J922),$J$2:$J$1001,0),1)&gt;=100000,INDEX($Q$1005:$U$1005,1,MATCH(COLUMNS($Q$1006:U1006),$Q$1006:$U$1006,0))&gt;=100000), " ",IF(INDEX($Q$2:$U$1001,MATCH(ROWS($J$2:J922),$J$2:$J$1001,0),MATCH(COLUMNS($Q$1006:U1006),$Q$1006:$U$1006,0)), HYPERLINK("#",""), HYPERLINK(CONCATENATE("#Metadata!", ADDRESS(INDEX($L$2:$L$1001,MATCH(ROWS($J$2:J922),$J$2:$J$1001,0),0), INDEX($Q$1004:$U$1004,1,MATCH(COLUMNS($Q$1006:U1006),$Q$1006:$U$1006,0)))),"Fix")))</f>
        <v xml:space="preserve"> </v>
      </c>
      <c r="J922">
        <f ca="1"/>
        <v>921</v>
      </c>
      <c r="K922">
        <v>100922</v>
      </c>
      <c r="L922">
        <v>922</v>
      </c>
      <c r="M922" t="b">
        <f t="shared" si="14"/>
        <v>1</v>
      </c>
      <c r="N922" t="b">
        <f>COUNTBLANK(Metadata!B922:F922)=COLUMNS(Metadata!B922:F922)</f>
        <v>1</v>
      </c>
      <c r="O922" t="str">
        <v/>
      </c>
      <c r="Q922" t="b">
        <f ca="1"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R922" t="b">
        <f>IF(Metadata!C922="",FALSE,TRUE)</f>
        <v>0</v>
      </c>
      <c r="S922" t="b">
        <f>OR(AND(IF(Metadata!D922="",FALSE,TRUE),EXACT(Metadata!D922,"missing: not collected")),AND(IF(Metadata!D922="",FALSE,TRUE),OR(EXACT(Metadata!D922,"t"),EXACT(Metadata!D922,"f"))))</f>
        <v>0</v>
      </c>
      <c r="T922" t="b">
        <f>AND(IF(Metadata!E922="",FALSE,TRUE),OR(EXACT(Metadata!E922,"a"),EXACT(Metadata!E922,"b")))</f>
        <v>0</v>
      </c>
      <c r="U922" t="b">
        <f>OR(AND(IF(Metadata!F922="",FALSE,TRUE),OR(EXACT(Metadata!F922,"missing: not collected"),EXACT(Metadata!F922,"missing: not provided"))),AND(IF(Metadata!F922="",FALSE,TRUE),OR(EXACT(Metadata!F922,"lo"),EXACT(Metadata!F922,"med"),EXACT(Metadata!F922,"hi"))))</f>
        <v>0</v>
      </c>
    </row>
    <row r="923" spans="1:21" x14ac:dyDescent="0.2">
      <c r="A923" s="4" t="str">
        <f ca="1">IF(B923=" "," ",HYPERLINK(CONCATENATE("#metadata!",ADDRESS(INDEX($L$2:$L$1001,MATCH(ROWS($J$2:J923),$J$2:$J$1001,0),0),1)),INDEX($O$2:$O$1001,MATCH(ROWS($J$2:J923),$J$2:$J$1001,0),0)))</f>
        <v xml:space="preserve"> </v>
      </c>
      <c r="B923" s="3" t="str">
        <f ca="1">IF(OR(INDEX($K$2:$K$1001,MATCH(ROWS($J$2:J923),$J$2:$J$1001,0),1)&gt;=100000,INDEX($Q$1005:$U$1005,1,MATCH(COLUMNS($Q$1006:Q1006),$Q$1006:$U$1006,0))&gt;=100000), " ",IF(INDEX($Q$2:$U$1001,MATCH(ROWS($J$2:J923),$J$2:$J$1001,0),MATCH(COLUMNS($Q$1006:Q1006),$Q$1006:$U$1006,0)), HYPERLINK("#",""), HYPERLINK(CONCATENATE("#Metadata!", ADDRESS(INDEX($L$2:$L$1001,MATCH(ROWS($J$2:J923),$J$2:$J$1001,0),0), INDEX($Q$1004:$U$1004,1,MATCH(COLUMNS($Q$1006:Q1006),$Q$1006:$U$1006,0)))),"Fix")))</f>
        <v xml:space="preserve"> </v>
      </c>
      <c r="C923" s="3" t="str">
        <f ca="1">IF(OR(INDEX($K$2:$K$1001,MATCH(ROWS($J$2:J923),$J$2:$J$1001,0),1)&gt;=100000,INDEX($Q$1005:$U$1005,1,MATCH(COLUMNS($Q$1006:R1006),$Q$1006:$U$1006,0))&gt;=100000), " ",IF(INDEX($Q$2:$U$1001,MATCH(ROWS($J$2:J923),$J$2:$J$1001,0),MATCH(COLUMNS($Q$1006:R1006),$Q$1006:$U$1006,0)), HYPERLINK("#",""), HYPERLINK(CONCATENATE("#Metadata!", ADDRESS(INDEX($L$2:$L$1001,MATCH(ROWS($J$2:J923),$J$2:$J$1001,0),0), INDEX($Q$1004:$U$1004,1,MATCH(COLUMNS($Q$1006:R1006),$Q$1006:$U$1006,0)))),"Fix")))</f>
        <v xml:space="preserve"> </v>
      </c>
      <c r="D923" s="3" t="str">
        <f ca="1">IF(OR(INDEX($K$2:$K$1001,MATCH(ROWS($J$2:J923),$J$2:$J$1001,0),1)&gt;=100000,INDEX($Q$1005:$U$1005,1,MATCH(COLUMNS($Q$1006:S1006),$Q$1006:$U$1006,0))&gt;=100000), " ",IF(INDEX($Q$2:$U$1001,MATCH(ROWS($J$2:J923),$J$2:$J$1001,0),MATCH(COLUMNS($Q$1006:S1006),$Q$1006:$U$1006,0)), HYPERLINK("#",""), HYPERLINK(CONCATENATE("#Metadata!", ADDRESS(INDEX($L$2:$L$1001,MATCH(ROWS($J$2:J923),$J$2:$J$1001,0),0), INDEX($Q$1004:$U$1004,1,MATCH(COLUMNS($Q$1006:S1006),$Q$1006:$U$1006,0)))),"Fix")))</f>
        <v xml:space="preserve"> </v>
      </c>
      <c r="E923" s="3" t="str">
        <f ca="1">IF(OR(INDEX($K$2:$K$1001,MATCH(ROWS($J$2:J923),$J$2:$J$1001,0),1)&gt;=100000,INDEX($Q$1005:$U$1005,1,MATCH(COLUMNS($Q$1006:T1006),$Q$1006:$U$1006,0))&gt;=100000), " ",IF(INDEX($Q$2:$U$1001,MATCH(ROWS($J$2:J923),$J$2:$J$1001,0),MATCH(COLUMNS($Q$1006:T1006),$Q$1006:$U$1006,0)), HYPERLINK("#",""), HYPERLINK(CONCATENATE("#Metadata!", ADDRESS(INDEX($L$2:$L$1001,MATCH(ROWS($J$2:J923),$J$2:$J$1001,0),0), INDEX($Q$1004:$U$1004,1,MATCH(COLUMNS($Q$1006:T1006),$Q$1006:$U$1006,0)))),"Fix")))</f>
        <v xml:space="preserve"> </v>
      </c>
      <c r="F923" s="3" t="str">
        <f ca="1">IF(OR(INDEX($K$2:$K$1001,MATCH(ROWS($J$2:J923),$J$2:$J$1001,0),1)&gt;=100000,INDEX($Q$1005:$U$1005,1,MATCH(COLUMNS($Q$1006:U1006),$Q$1006:$U$1006,0))&gt;=100000), " ",IF(INDEX($Q$2:$U$1001,MATCH(ROWS($J$2:J923),$J$2:$J$1001,0),MATCH(COLUMNS($Q$1006:U1006),$Q$1006:$U$1006,0)), HYPERLINK("#",""), HYPERLINK(CONCATENATE("#Metadata!", ADDRESS(INDEX($L$2:$L$1001,MATCH(ROWS($J$2:J923),$J$2:$J$1001,0),0), INDEX($Q$1004:$U$1004,1,MATCH(COLUMNS($Q$1006:U1006),$Q$1006:$U$1006,0)))),"Fix")))</f>
        <v xml:space="preserve"> </v>
      </c>
      <c r="J923">
        <f ca="1"/>
        <v>922</v>
      </c>
      <c r="K923">
        <v>100923</v>
      </c>
      <c r="L923">
        <v>923</v>
      </c>
      <c r="M923" t="b">
        <f t="shared" si="14"/>
        <v>1</v>
      </c>
      <c r="N923" t="b">
        <f>COUNTBLANK(Metadata!B923:F923)=COLUMNS(Metadata!B923:F923)</f>
        <v>1</v>
      </c>
      <c r="O923" t="str">
        <v/>
      </c>
      <c r="Q923" t="b">
        <f ca="1"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R923" t="b">
        <f>IF(Metadata!C923="",FALSE,TRUE)</f>
        <v>0</v>
      </c>
      <c r="S923" t="b">
        <f>OR(AND(IF(Metadata!D923="",FALSE,TRUE),EXACT(Metadata!D923,"missing: not collected")),AND(IF(Metadata!D923="",FALSE,TRUE),OR(EXACT(Metadata!D923,"t"),EXACT(Metadata!D923,"f"))))</f>
        <v>0</v>
      </c>
      <c r="T923" t="b">
        <f>AND(IF(Metadata!E923="",FALSE,TRUE),OR(EXACT(Metadata!E923,"a"),EXACT(Metadata!E923,"b")))</f>
        <v>0</v>
      </c>
      <c r="U923" t="b">
        <f>OR(AND(IF(Metadata!F923="",FALSE,TRUE),OR(EXACT(Metadata!F923,"missing: not collected"),EXACT(Metadata!F923,"missing: not provided"))),AND(IF(Metadata!F923="",FALSE,TRUE),OR(EXACT(Metadata!F923,"lo"),EXACT(Metadata!F923,"med"),EXACT(Metadata!F923,"hi"))))</f>
        <v>0</v>
      </c>
    </row>
    <row r="924" spans="1:21" x14ac:dyDescent="0.2">
      <c r="A924" s="4" t="str">
        <f ca="1">IF(B924=" "," ",HYPERLINK(CONCATENATE("#metadata!",ADDRESS(INDEX($L$2:$L$1001,MATCH(ROWS($J$2:J924),$J$2:$J$1001,0),0),1)),INDEX($O$2:$O$1001,MATCH(ROWS($J$2:J924),$J$2:$J$1001,0),0)))</f>
        <v xml:space="preserve"> </v>
      </c>
      <c r="B924" s="3" t="str">
        <f ca="1">IF(OR(INDEX($K$2:$K$1001,MATCH(ROWS($J$2:J924),$J$2:$J$1001,0),1)&gt;=100000,INDEX($Q$1005:$U$1005,1,MATCH(COLUMNS($Q$1006:Q1006),$Q$1006:$U$1006,0))&gt;=100000), " ",IF(INDEX($Q$2:$U$1001,MATCH(ROWS($J$2:J924),$J$2:$J$1001,0),MATCH(COLUMNS($Q$1006:Q1006),$Q$1006:$U$1006,0)), HYPERLINK("#",""), HYPERLINK(CONCATENATE("#Metadata!", ADDRESS(INDEX($L$2:$L$1001,MATCH(ROWS($J$2:J924),$J$2:$J$1001,0),0), INDEX($Q$1004:$U$1004,1,MATCH(COLUMNS($Q$1006:Q1006),$Q$1006:$U$1006,0)))),"Fix")))</f>
        <v xml:space="preserve"> </v>
      </c>
      <c r="C924" s="3" t="str">
        <f ca="1">IF(OR(INDEX($K$2:$K$1001,MATCH(ROWS($J$2:J924),$J$2:$J$1001,0),1)&gt;=100000,INDEX($Q$1005:$U$1005,1,MATCH(COLUMNS($Q$1006:R1006),$Q$1006:$U$1006,0))&gt;=100000), " ",IF(INDEX($Q$2:$U$1001,MATCH(ROWS($J$2:J924),$J$2:$J$1001,0),MATCH(COLUMNS($Q$1006:R1006),$Q$1006:$U$1006,0)), HYPERLINK("#",""), HYPERLINK(CONCATENATE("#Metadata!", ADDRESS(INDEX($L$2:$L$1001,MATCH(ROWS($J$2:J924),$J$2:$J$1001,0),0), INDEX($Q$1004:$U$1004,1,MATCH(COLUMNS($Q$1006:R1006),$Q$1006:$U$1006,0)))),"Fix")))</f>
        <v xml:space="preserve"> </v>
      </c>
      <c r="D924" s="3" t="str">
        <f ca="1">IF(OR(INDEX($K$2:$K$1001,MATCH(ROWS($J$2:J924),$J$2:$J$1001,0),1)&gt;=100000,INDEX($Q$1005:$U$1005,1,MATCH(COLUMNS($Q$1006:S1006),$Q$1006:$U$1006,0))&gt;=100000), " ",IF(INDEX($Q$2:$U$1001,MATCH(ROWS($J$2:J924),$J$2:$J$1001,0),MATCH(COLUMNS($Q$1006:S1006),$Q$1006:$U$1006,0)), HYPERLINK("#",""), HYPERLINK(CONCATENATE("#Metadata!", ADDRESS(INDEX($L$2:$L$1001,MATCH(ROWS($J$2:J924),$J$2:$J$1001,0),0), INDEX($Q$1004:$U$1004,1,MATCH(COLUMNS($Q$1006:S1006),$Q$1006:$U$1006,0)))),"Fix")))</f>
        <v xml:space="preserve"> </v>
      </c>
      <c r="E924" s="3" t="str">
        <f ca="1">IF(OR(INDEX($K$2:$K$1001,MATCH(ROWS($J$2:J924),$J$2:$J$1001,0),1)&gt;=100000,INDEX($Q$1005:$U$1005,1,MATCH(COLUMNS($Q$1006:T1006),$Q$1006:$U$1006,0))&gt;=100000), " ",IF(INDEX($Q$2:$U$1001,MATCH(ROWS($J$2:J924),$J$2:$J$1001,0),MATCH(COLUMNS($Q$1006:T1006),$Q$1006:$U$1006,0)), HYPERLINK("#",""), HYPERLINK(CONCATENATE("#Metadata!", ADDRESS(INDEX($L$2:$L$1001,MATCH(ROWS($J$2:J924),$J$2:$J$1001,0),0), INDEX($Q$1004:$U$1004,1,MATCH(COLUMNS($Q$1006:T1006),$Q$1006:$U$1006,0)))),"Fix")))</f>
        <v xml:space="preserve"> </v>
      </c>
      <c r="F924" s="3" t="str">
        <f ca="1">IF(OR(INDEX($K$2:$K$1001,MATCH(ROWS($J$2:J924),$J$2:$J$1001,0),1)&gt;=100000,INDEX($Q$1005:$U$1005,1,MATCH(COLUMNS($Q$1006:U1006),$Q$1006:$U$1006,0))&gt;=100000), " ",IF(INDEX($Q$2:$U$1001,MATCH(ROWS($J$2:J924),$J$2:$J$1001,0),MATCH(COLUMNS($Q$1006:U1006),$Q$1006:$U$1006,0)), HYPERLINK("#",""), HYPERLINK(CONCATENATE("#Metadata!", ADDRESS(INDEX($L$2:$L$1001,MATCH(ROWS($J$2:J924),$J$2:$J$1001,0),0), INDEX($Q$1004:$U$1004,1,MATCH(COLUMNS($Q$1006:U1006),$Q$1006:$U$1006,0)))),"Fix")))</f>
        <v xml:space="preserve"> </v>
      </c>
      <c r="J924">
        <f ca="1"/>
        <v>923</v>
      </c>
      <c r="K924">
        <v>100924</v>
      </c>
      <c r="L924">
        <v>924</v>
      </c>
      <c r="M924" t="b">
        <f t="shared" si="14"/>
        <v>1</v>
      </c>
      <c r="N924" t="b">
        <f>COUNTBLANK(Metadata!B924:F924)=COLUMNS(Metadata!B924:F924)</f>
        <v>1</v>
      </c>
      <c r="O924" t="str">
        <v/>
      </c>
      <c r="Q924" t="b">
        <f ca="1"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R924" t="b">
        <f>IF(Metadata!C924="",FALSE,TRUE)</f>
        <v>0</v>
      </c>
      <c r="S924" t="b">
        <f>OR(AND(IF(Metadata!D924="",FALSE,TRUE),EXACT(Metadata!D924,"missing: not collected")),AND(IF(Metadata!D924="",FALSE,TRUE),OR(EXACT(Metadata!D924,"t"),EXACT(Metadata!D924,"f"))))</f>
        <v>0</v>
      </c>
      <c r="T924" t="b">
        <f>AND(IF(Metadata!E924="",FALSE,TRUE),OR(EXACT(Metadata!E924,"a"),EXACT(Metadata!E924,"b")))</f>
        <v>0</v>
      </c>
      <c r="U924" t="b">
        <f>OR(AND(IF(Metadata!F924="",FALSE,TRUE),OR(EXACT(Metadata!F924,"missing: not collected"),EXACT(Metadata!F924,"missing: not provided"))),AND(IF(Metadata!F924="",FALSE,TRUE),OR(EXACT(Metadata!F924,"lo"),EXACT(Metadata!F924,"med"),EXACT(Metadata!F924,"hi"))))</f>
        <v>0</v>
      </c>
    </row>
    <row r="925" spans="1:21" x14ac:dyDescent="0.2">
      <c r="A925" s="4" t="str">
        <f ca="1">IF(B925=" "," ",HYPERLINK(CONCATENATE("#metadata!",ADDRESS(INDEX($L$2:$L$1001,MATCH(ROWS($J$2:J925),$J$2:$J$1001,0),0),1)),INDEX($O$2:$O$1001,MATCH(ROWS($J$2:J925),$J$2:$J$1001,0),0)))</f>
        <v xml:space="preserve"> </v>
      </c>
      <c r="B925" s="3" t="str">
        <f ca="1">IF(OR(INDEX($K$2:$K$1001,MATCH(ROWS($J$2:J925),$J$2:$J$1001,0),1)&gt;=100000,INDEX($Q$1005:$U$1005,1,MATCH(COLUMNS($Q$1006:Q1006),$Q$1006:$U$1006,0))&gt;=100000), " ",IF(INDEX($Q$2:$U$1001,MATCH(ROWS($J$2:J925),$J$2:$J$1001,0),MATCH(COLUMNS($Q$1006:Q1006),$Q$1006:$U$1006,0)), HYPERLINK("#",""), HYPERLINK(CONCATENATE("#Metadata!", ADDRESS(INDEX($L$2:$L$1001,MATCH(ROWS($J$2:J925),$J$2:$J$1001,0),0), INDEX($Q$1004:$U$1004,1,MATCH(COLUMNS($Q$1006:Q1006),$Q$1006:$U$1006,0)))),"Fix")))</f>
        <v xml:space="preserve"> </v>
      </c>
      <c r="C925" s="3" t="str">
        <f ca="1">IF(OR(INDEX($K$2:$K$1001,MATCH(ROWS($J$2:J925),$J$2:$J$1001,0),1)&gt;=100000,INDEX($Q$1005:$U$1005,1,MATCH(COLUMNS($Q$1006:R1006),$Q$1006:$U$1006,0))&gt;=100000), " ",IF(INDEX($Q$2:$U$1001,MATCH(ROWS($J$2:J925),$J$2:$J$1001,0),MATCH(COLUMNS($Q$1006:R1006),$Q$1006:$U$1006,0)), HYPERLINK("#",""), HYPERLINK(CONCATENATE("#Metadata!", ADDRESS(INDEX($L$2:$L$1001,MATCH(ROWS($J$2:J925),$J$2:$J$1001,0),0), INDEX($Q$1004:$U$1004,1,MATCH(COLUMNS($Q$1006:R1006),$Q$1006:$U$1006,0)))),"Fix")))</f>
        <v xml:space="preserve"> </v>
      </c>
      <c r="D925" s="3" t="str">
        <f ca="1">IF(OR(INDEX($K$2:$K$1001,MATCH(ROWS($J$2:J925),$J$2:$J$1001,0),1)&gt;=100000,INDEX($Q$1005:$U$1005,1,MATCH(COLUMNS($Q$1006:S1006),$Q$1006:$U$1006,0))&gt;=100000), " ",IF(INDEX($Q$2:$U$1001,MATCH(ROWS($J$2:J925),$J$2:$J$1001,0),MATCH(COLUMNS($Q$1006:S1006),$Q$1006:$U$1006,0)), HYPERLINK("#",""), HYPERLINK(CONCATENATE("#Metadata!", ADDRESS(INDEX($L$2:$L$1001,MATCH(ROWS($J$2:J925),$J$2:$J$1001,0),0), INDEX($Q$1004:$U$1004,1,MATCH(COLUMNS($Q$1006:S1006),$Q$1006:$U$1006,0)))),"Fix")))</f>
        <v xml:space="preserve"> </v>
      </c>
      <c r="E925" s="3" t="str">
        <f ca="1">IF(OR(INDEX($K$2:$K$1001,MATCH(ROWS($J$2:J925),$J$2:$J$1001,0),1)&gt;=100000,INDEX($Q$1005:$U$1005,1,MATCH(COLUMNS($Q$1006:T1006),$Q$1006:$U$1006,0))&gt;=100000), " ",IF(INDEX($Q$2:$U$1001,MATCH(ROWS($J$2:J925),$J$2:$J$1001,0),MATCH(COLUMNS($Q$1006:T1006),$Q$1006:$U$1006,0)), HYPERLINK("#",""), HYPERLINK(CONCATENATE("#Metadata!", ADDRESS(INDEX($L$2:$L$1001,MATCH(ROWS($J$2:J925),$J$2:$J$1001,0),0), INDEX($Q$1004:$U$1004,1,MATCH(COLUMNS($Q$1006:T1006),$Q$1006:$U$1006,0)))),"Fix")))</f>
        <v xml:space="preserve"> </v>
      </c>
      <c r="F925" s="3" t="str">
        <f ca="1">IF(OR(INDEX($K$2:$K$1001,MATCH(ROWS($J$2:J925),$J$2:$J$1001,0),1)&gt;=100000,INDEX($Q$1005:$U$1005,1,MATCH(COLUMNS($Q$1006:U1006),$Q$1006:$U$1006,0))&gt;=100000), " ",IF(INDEX($Q$2:$U$1001,MATCH(ROWS($J$2:J925),$J$2:$J$1001,0),MATCH(COLUMNS($Q$1006:U1006),$Q$1006:$U$1006,0)), HYPERLINK("#",""), HYPERLINK(CONCATENATE("#Metadata!", ADDRESS(INDEX($L$2:$L$1001,MATCH(ROWS($J$2:J925),$J$2:$J$1001,0),0), INDEX($Q$1004:$U$1004,1,MATCH(COLUMNS($Q$1006:U1006),$Q$1006:$U$1006,0)))),"Fix")))</f>
        <v xml:space="preserve"> </v>
      </c>
      <c r="J925">
        <f ca="1"/>
        <v>924</v>
      </c>
      <c r="K925">
        <v>100925</v>
      </c>
      <c r="L925">
        <v>925</v>
      </c>
      <c r="M925" t="b">
        <f t="shared" si="14"/>
        <v>1</v>
      </c>
      <c r="N925" t="b">
        <f>COUNTBLANK(Metadata!B925:F925)=COLUMNS(Metadata!B925:F925)</f>
        <v>1</v>
      </c>
      <c r="O925" t="str">
        <v/>
      </c>
      <c r="Q925" t="b">
        <f ca="1"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R925" t="b">
        <f>IF(Metadata!C925="",FALSE,TRUE)</f>
        <v>0</v>
      </c>
      <c r="S925" t="b">
        <f>OR(AND(IF(Metadata!D925="",FALSE,TRUE),EXACT(Metadata!D925,"missing: not collected")),AND(IF(Metadata!D925="",FALSE,TRUE),OR(EXACT(Metadata!D925,"t"),EXACT(Metadata!D925,"f"))))</f>
        <v>0</v>
      </c>
      <c r="T925" t="b">
        <f>AND(IF(Metadata!E925="",FALSE,TRUE),OR(EXACT(Metadata!E925,"a"),EXACT(Metadata!E925,"b")))</f>
        <v>0</v>
      </c>
      <c r="U925" t="b">
        <f>OR(AND(IF(Metadata!F925="",FALSE,TRUE),OR(EXACT(Metadata!F925,"missing: not collected"),EXACT(Metadata!F925,"missing: not provided"))),AND(IF(Metadata!F925="",FALSE,TRUE),OR(EXACT(Metadata!F925,"lo"),EXACT(Metadata!F925,"med"),EXACT(Metadata!F925,"hi"))))</f>
        <v>0</v>
      </c>
    </row>
    <row r="926" spans="1:21" x14ac:dyDescent="0.2">
      <c r="A926" s="4" t="str">
        <f ca="1">IF(B926=" "," ",HYPERLINK(CONCATENATE("#metadata!",ADDRESS(INDEX($L$2:$L$1001,MATCH(ROWS($J$2:J926),$J$2:$J$1001,0),0),1)),INDEX($O$2:$O$1001,MATCH(ROWS($J$2:J926),$J$2:$J$1001,0),0)))</f>
        <v xml:space="preserve"> </v>
      </c>
      <c r="B926" s="3" t="str">
        <f ca="1">IF(OR(INDEX($K$2:$K$1001,MATCH(ROWS($J$2:J926),$J$2:$J$1001,0),1)&gt;=100000,INDEX($Q$1005:$U$1005,1,MATCH(COLUMNS($Q$1006:Q1006),$Q$1006:$U$1006,0))&gt;=100000), " ",IF(INDEX($Q$2:$U$1001,MATCH(ROWS($J$2:J926),$J$2:$J$1001,0),MATCH(COLUMNS($Q$1006:Q1006),$Q$1006:$U$1006,0)), HYPERLINK("#",""), HYPERLINK(CONCATENATE("#Metadata!", ADDRESS(INDEX($L$2:$L$1001,MATCH(ROWS($J$2:J926),$J$2:$J$1001,0),0), INDEX($Q$1004:$U$1004,1,MATCH(COLUMNS($Q$1006:Q1006),$Q$1006:$U$1006,0)))),"Fix")))</f>
        <v xml:space="preserve"> </v>
      </c>
      <c r="C926" s="3" t="str">
        <f ca="1">IF(OR(INDEX($K$2:$K$1001,MATCH(ROWS($J$2:J926),$J$2:$J$1001,0),1)&gt;=100000,INDEX($Q$1005:$U$1005,1,MATCH(COLUMNS($Q$1006:R1006),$Q$1006:$U$1006,0))&gt;=100000), " ",IF(INDEX($Q$2:$U$1001,MATCH(ROWS($J$2:J926),$J$2:$J$1001,0),MATCH(COLUMNS($Q$1006:R1006),$Q$1006:$U$1006,0)), HYPERLINK("#",""), HYPERLINK(CONCATENATE("#Metadata!", ADDRESS(INDEX($L$2:$L$1001,MATCH(ROWS($J$2:J926),$J$2:$J$1001,0),0), INDEX($Q$1004:$U$1004,1,MATCH(COLUMNS($Q$1006:R1006),$Q$1006:$U$1006,0)))),"Fix")))</f>
        <v xml:space="preserve"> </v>
      </c>
      <c r="D926" s="3" t="str">
        <f ca="1">IF(OR(INDEX($K$2:$K$1001,MATCH(ROWS($J$2:J926),$J$2:$J$1001,0),1)&gt;=100000,INDEX($Q$1005:$U$1005,1,MATCH(COLUMNS($Q$1006:S1006),$Q$1006:$U$1006,0))&gt;=100000), " ",IF(INDEX($Q$2:$U$1001,MATCH(ROWS($J$2:J926),$J$2:$J$1001,0),MATCH(COLUMNS($Q$1006:S1006),$Q$1006:$U$1006,0)), HYPERLINK("#",""), HYPERLINK(CONCATENATE("#Metadata!", ADDRESS(INDEX($L$2:$L$1001,MATCH(ROWS($J$2:J926),$J$2:$J$1001,0),0), INDEX($Q$1004:$U$1004,1,MATCH(COLUMNS($Q$1006:S1006),$Q$1006:$U$1006,0)))),"Fix")))</f>
        <v xml:space="preserve"> </v>
      </c>
      <c r="E926" s="3" t="str">
        <f ca="1">IF(OR(INDEX($K$2:$K$1001,MATCH(ROWS($J$2:J926),$J$2:$J$1001,0),1)&gt;=100000,INDEX($Q$1005:$U$1005,1,MATCH(COLUMNS($Q$1006:T1006),$Q$1006:$U$1006,0))&gt;=100000), " ",IF(INDEX($Q$2:$U$1001,MATCH(ROWS($J$2:J926),$J$2:$J$1001,0),MATCH(COLUMNS($Q$1006:T1006),$Q$1006:$U$1006,0)), HYPERLINK("#",""), HYPERLINK(CONCATENATE("#Metadata!", ADDRESS(INDEX($L$2:$L$1001,MATCH(ROWS($J$2:J926),$J$2:$J$1001,0),0), INDEX($Q$1004:$U$1004,1,MATCH(COLUMNS($Q$1006:T1006),$Q$1006:$U$1006,0)))),"Fix")))</f>
        <v xml:space="preserve"> </v>
      </c>
      <c r="F926" s="3" t="str">
        <f ca="1">IF(OR(INDEX($K$2:$K$1001,MATCH(ROWS($J$2:J926),$J$2:$J$1001,0),1)&gt;=100000,INDEX($Q$1005:$U$1005,1,MATCH(COLUMNS($Q$1006:U1006),$Q$1006:$U$1006,0))&gt;=100000), " ",IF(INDEX($Q$2:$U$1001,MATCH(ROWS($J$2:J926),$J$2:$J$1001,0),MATCH(COLUMNS($Q$1006:U1006),$Q$1006:$U$1006,0)), HYPERLINK("#",""), HYPERLINK(CONCATENATE("#Metadata!", ADDRESS(INDEX($L$2:$L$1001,MATCH(ROWS($J$2:J926),$J$2:$J$1001,0),0), INDEX($Q$1004:$U$1004,1,MATCH(COLUMNS($Q$1006:U1006),$Q$1006:$U$1006,0)))),"Fix")))</f>
        <v xml:space="preserve"> </v>
      </c>
      <c r="J926">
        <f ca="1"/>
        <v>925</v>
      </c>
      <c r="K926">
        <v>100926</v>
      </c>
      <c r="L926">
        <v>926</v>
      </c>
      <c r="M926" t="b">
        <f t="shared" si="14"/>
        <v>1</v>
      </c>
      <c r="N926" t="b">
        <f>COUNTBLANK(Metadata!B926:F926)=COLUMNS(Metadata!B926:F926)</f>
        <v>1</v>
      </c>
      <c r="O926" t="str">
        <v/>
      </c>
      <c r="Q926" t="b">
        <f ca="1"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R926" t="b">
        <f>IF(Metadata!C926="",FALSE,TRUE)</f>
        <v>0</v>
      </c>
      <c r="S926" t="b">
        <f>OR(AND(IF(Metadata!D926="",FALSE,TRUE),EXACT(Metadata!D926,"missing: not collected")),AND(IF(Metadata!D926="",FALSE,TRUE),OR(EXACT(Metadata!D926,"t"),EXACT(Metadata!D926,"f"))))</f>
        <v>0</v>
      </c>
      <c r="T926" t="b">
        <f>AND(IF(Metadata!E926="",FALSE,TRUE),OR(EXACT(Metadata!E926,"a"),EXACT(Metadata!E926,"b")))</f>
        <v>0</v>
      </c>
      <c r="U926" t="b">
        <f>OR(AND(IF(Metadata!F926="",FALSE,TRUE),OR(EXACT(Metadata!F926,"missing: not collected"),EXACT(Metadata!F926,"missing: not provided"))),AND(IF(Metadata!F926="",FALSE,TRUE),OR(EXACT(Metadata!F926,"lo"),EXACT(Metadata!F926,"med"),EXACT(Metadata!F926,"hi"))))</f>
        <v>0</v>
      </c>
    </row>
    <row r="927" spans="1:21" x14ac:dyDescent="0.2">
      <c r="A927" s="4" t="str">
        <f ca="1">IF(B927=" "," ",HYPERLINK(CONCATENATE("#metadata!",ADDRESS(INDEX($L$2:$L$1001,MATCH(ROWS($J$2:J927),$J$2:$J$1001,0),0),1)),INDEX($O$2:$O$1001,MATCH(ROWS($J$2:J927),$J$2:$J$1001,0),0)))</f>
        <v xml:space="preserve"> </v>
      </c>
      <c r="B927" s="3" t="str">
        <f ca="1">IF(OR(INDEX($K$2:$K$1001,MATCH(ROWS($J$2:J927),$J$2:$J$1001,0),1)&gt;=100000,INDEX($Q$1005:$U$1005,1,MATCH(COLUMNS($Q$1006:Q1006),$Q$1006:$U$1006,0))&gt;=100000), " ",IF(INDEX($Q$2:$U$1001,MATCH(ROWS($J$2:J927),$J$2:$J$1001,0),MATCH(COLUMNS($Q$1006:Q1006),$Q$1006:$U$1006,0)), HYPERLINK("#",""), HYPERLINK(CONCATENATE("#Metadata!", ADDRESS(INDEX($L$2:$L$1001,MATCH(ROWS($J$2:J927),$J$2:$J$1001,0),0), INDEX($Q$1004:$U$1004,1,MATCH(COLUMNS($Q$1006:Q1006),$Q$1006:$U$1006,0)))),"Fix")))</f>
        <v xml:space="preserve"> </v>
      </c>
      <c r="C927" s="3" t="str">
        <f ca="1">IF(OR(INDEX($K$2:$K$1001,MATCH(ROWS($J$2:J927),$J$2:$J$1001,0),1)&gt;=100000,INDEX($Q$1005:$U$1005,1,MATCH(COLUMNS($Q$1006:R1006),$Q$1006:$U$1006,0))&gt;=100000), " ",IF(INDEX($Q$2:$U$1001,MATCH(ROWS($J$2:J927),$J$2:$J$1001,0),MATCH(COLUMNS($Q$1006:R1006),$Q$1006:$U$1006,0)), HYPERLINK("#",""), HYPERLINK(CONCATENATE("#Metadata!", ADDRESS(INDEX($L$2:$L$1001,MATCH(ROWS($J$2:J927),$J$2:$J$1001,0),0), INDEX($Q$1004:$U$1004,1,MATCH(COLUMNS($Q$1006:R1006),$Q$1006:$U$1006,0)))),"Fix")))</f>
        <v xml:space="preserve"> </v>
      </c>
      <c r="D927" s="3" t="str">
        <f ca="1">IF(OR(INDEX($K$2:$K$1001,MATCH(ROWS($J$2:J927),$J$2:$J$1001,0),1)&gt;=100000,INDEX($Q$1005:$U$1005,1,MATCH(COLUMNS($Q$1006:S1006),$Q$1006:$U$1006,0))&gt;=100000), " ",IF(INDEX($Q$2:$U$1001,MATCH(ROWS($J$2:J927),$J$2:$J$1001,0),MATCH(COLUMNS($Q$1006:S1006),$Q$1006:$U$1006,0)), HYPERLINK("#",""), HYPERLINK(CONCATENATE("#Metadata!", ADDRESS(INDEX($L$2:$L$1001,MATCH(ROWS($J$2:J927),$J$2:$J$1001,0),0), INDEX($Q$1004:$U$1004,1,MATCH(COLUMNS($Q$1006:S1006),$Q$1006:$U$1006,0)))),"Fix")))</f>
        <v xml:space="preserve"> </v>
      </c>
      <c r="E927" s="3" t="str">
        <f ca="1">IF(OR(INDEX($K$2:$K$1001,MATCH(ROWS($J$2:J927),$J$2:$J$1001,0),1)&gt;=100000,INDEX($Q$1005:$U$1005,1,MATCH(COLUMNS($Q$1006:T1006),$Q$1006:$U$1006,0))&gt;=100000), " ",IF(INDEX($Q$2:$U$1001,MATCH(ROWS($J$2:J927),$J$2:$J$1001,0),MATCH(COLUMNS($Q$1006:T1006),$Q$1006:$U$1006,0)), HYPERLINK("#",""), HYPERLINK(CONCATENATE("#Metadata!", ADDRESS(INDEX($L$2:$L$1001,MATCH(ROWS($J$2:J927),$J$2:$J$1001,0),0), INDEX($Q$1004:$U$1004,1,MATCH(COLUMNS($Q$1006:T1006),$Q$1006:$U$1006,0)))),"Fix")))</f>
        <v xml:space="preserve"> </v>
      </c>
      <c r="F927" s="3" t="str">
        <f ca="1">IF(OR(INDEX($K$2:$K$1001,MATCH(ROWS($J$2:J927),$J$2:$J$1001,0),1)&gt;=100000,INDEX($Q$1005:$U$1005,1,MATCH(COLUMNS($Q$1006:U1006),$Q$1006:$U$1006,0))&gt;=100000), " ",IF(INDEX($Q$2:$U$1001,MATCH(ROWS($J$2:J927),$J$2:$J$1001,0),MATCH(COLUMNS($Q$1006:U1006),$Q$1006:$U$1006,0)), HYPERLINK("#",""), HYPERLINK(CONCATENATE("#Metadata!", ADDRESS(INDEX($L$2:$L$1001,MATCH(ROWS($J$2:J927),$J$2:$J$1001,0),0), INDEX($Q$1004:$U$1004,1,MATCH(COLUMNS($Q$1006:U1006),$Q$1006:$U$1006,0)))),"Fix")))</f>
        <v xml:space="preserve"> </v>
      </c>
      <c r="J927">
        <f ca="1"/>
        <v>926</v>
      </c>
      <c r="K927">
        <v>100927</v>
      </c>
      <c r="L927">
        <v>927</v>
      </c>
      <c r="M927" t="b">
        <f t="shared" si="14"/>
        <v>1</v>
      </c>
      <c r="N927" t="b">
        <f>COUNTBLANK(Metadata!B927:F927)=COLUMNS(Metadata!B927:F927)</f>
        <v>1</v>
      </c>
      <c r="O927" t="str">
        <v/>
      </c>
      <c r="Q927" t="b">
        <f ca="1"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R927" t="b">
        <f>IF(Metadata!C927="",FALSE,TRUE)</f>
        <v>0</v>
      </c>
      <c r="S927" t="b">
        <f>OR(AND(IF(Metadata!D927="",FALSE,TRUE),EXACT(Metadata!D927,"missing: not collected")),AND(IF(Metadata!D927="",FALSE,TRUE),OR(EXACT(Metadata!D927,"t"),EXACT(Metadata!D927,"f"))))</f>
        <v>0</v>
      </c>
      <c r="T927" t="b">
        <f>AND(IF(Metadata!E927="",FALSE,TRUE),OR(EXACT(Metadata!E927,"a"),EXACT(Metadata!E927,"b")))</f>
        <v>0</v>
      </c>
      <c r="U927" t="b">
        <f>OR(AND(IF(Metadata!F927="",FALSE,TRUE),OR(EXACT(Metadata!F927,"missing: not collected"),EXACT(Metadata!F927,"missing: not provided"))),AND(IF(Metadata!F927="",FALSE,TRUE),OR(EXACT(Metadata!F927,"lo"),EXACT(Metadata!F927,"med"),EXACT(Metadata!F927,"hi"))))</f>
        <v>0</v>
      </c>
    </row>
    <row r="928" spans="1:21" x14ac:dyDescent="0.2">
      <c r="A928" s="4" t="str">
        <f ca="1">IF(B928=" "," ",HYPERLINK(CONCATENATE("#metadata!",ADDRESS(INDEX($L$2:$L$1001,MATCH(ROWS($J$2:J928),$J$2:$J$1001,0),0),1)),INDEX($O$2:$O$1001,MATCH(ROWS($J$2:J928),$J$2:$J$1001,0),0)))</f>
        <v xml:space="preserve"> </v>
      </c>
      <c r="B928" s="3" t="str">
        <f ca="1">IF(OR(INDEX($K$2:$K$1001,MATCH(ROWS($J$2:J928),$J$2:$J$1001,0),1)&gt;=100000,INDEX($Q$1005:$U$1005,1,MATCH(COLUMNS($Q$1006:Q1006),$Q$1006:$U$1006,0))&gt;=100000), " ",IF(INDEX($Q$2:$U$1001,MATCH(ROWS($J$2:J928),$J$2:$J$1001,0),MATCH(COLUMNS($Q$1006:Q1006),$Q$1006:$U$1006,0)), HYPERLINK("#",""), HYPERLINK(CONCATENATE("#Metadata!", ADDRESS(INDEX($L$2:$L$1001,MATCH(ROWS($J$2:J928),$J$2:$J$1001,0),0), INDEX($Q$1004:$U$1004,1,MATCH(COLUMNS($Q$1006:Q1006),$Q$1006:$U$1006,0)))),"Fix")))</f>
        <v xml:space="preserve"> </v>
      </c>
      <c r="C928" s="3" t="str">
        <f ca="1">IF(OR(INDEX($K$2:$K$1001,MATCH(ROWS($J$2:J928),$J$2:$J$1001,0),1)&gt;=100000,INDEX($Q$1005:$U$1005,1,MATCH(COLUMNS($Q$1006:R1006),$Q$1006:$U$1006,0))&gt;=100000), " ",IF(INDEX($Q$2:$U$1001,MATCH(ROWS($J$2:J928),$J$2:$J$1001,0),MATCH(COLUMNS($Q$1006:R1006),$Q$1006:$U$1006,0)), HYPERLINK("#",""), HYPERLINK(CONCATENATE("#Metadata!", ADDRESS(INDEX($L$2:$L$1001,MATCH(ROWS($J$2:J928),$J$2:$J$1001,0),0), INDEX($Q$1004:$U$1004,1,MATCH(COLUMNS($Q$1006:R1006),$Q$1006:$U$1006,0)))),"Fix")))</f>
        <v xml:space="preserve"> </v>
      </c>
      <c r="D928" s="3" t="str">
        <f ca="1">IF(OR(INDEX($K$2:$K$1001,MATCH(ROWS($J$2:J928),$J$2:$J$1001,0),1)&gt;=100000,INDEX($Q$1005:$U$1005,1,MATCH(COLUMNS($Q$1006:S1006),$Q$1006:$U$1006,0))&gt;=100000), " ",IF(INDEX($Q$2:$U$1001,MATCH(ROWS($J$2:J928),$J$2:$J$1001,0),MATCH(COLUMNS($Q$1006:S1006),$Q$1006:$U$1006,0)), HYPERLINK("#",""), HYPERLINK(CONCATENATE("#Metadata!", ADDRESS(INDEX($L$2:$L$1001,MATCH(ROWS($J$2:J928),$J$2:$J$1001,0),0), INDEX($Q$1004:$U$1004,1,MATCH(COLUMNS($Q$1006:S1006),$Q$1006:$U$1006,0)))),"Fix")))</f>
        <v xml:space="preserve"> </v>
      </c>
      <c r="E928" s="3" t="str">
        <f ca="1">IF(OR(INDEX($K$2:$K$1001,MATCH(ROWS($J$2:J928),$J$2:$J$1001,0),1)&gt;=100000,INDEX($Q$1005:$U$1005,1,MATCH(COLUMNS($Q$1006:T1006),$Q$1006:$U$1006,0))&gt;=100000), " ",IF(INDEX($Q$2:$U$1001,MATCH(ROWS($J$2:J928),$J$2:$J$1001,0),MATCH(COLUMNS($Q$1006:T1006),$Q$1006:$U$1006,0)), HYPERLINK("#",""), HYPERLINK(CONCATENATE("#Metadata!", ADDRESS(INDEX($L$2:$L$1001,MATCH(ROWS($J$2:J928),$J$2:$J$1001,0),0), INDEX($Q$1004:$U$1004,1,MATCH(COLUMNS($Q$1006:T1006),$Q$1006:$U$1006,0)))),"Fix")))</f>
        <v xml:space="preserve"> </v>
      </c>
      <c r="F928" s="3" t="str">
        <f ca="1">IF(OR(INDEX($K$2:$K$1001,MATCH(ROWS($J$2:J928),$J$2:$J$1001,0),1)&gt;=100000,INDEX($Q$1005:$U$1005,1,MATCH(COLUMNS($Q$1006:U1006),$Q$1006:$U$1006,0))&gt;=100000), " ",IF(INDEX($Q$2:$U$1001,MATCH(ROWS($J$2:J928),$J$2:$J$1001,0),MATCH(COLUMNS($Q$1006:U1006),$Q$1006:$U$1006,0)), HYPERLINK("#",""), HYPERLINK(CONCATENATE("#Metadata!", ADDRESS(INDEX($L$2:$L$1001,MATCH(ROWS($J$2:J928),$J$2:$J$1001,0),0), INDEX($Q$1004:$U$1004,1,MATCH(COLUMNS($Q$1006:U1006),$Q$1006:$U$1006,0)))),"Fix")))</f>
        <v xml:space="preserve"> </v>
      </c>
      <c r="J928">
        <f ca="1"/>
        <v>927</v>
      </c>
      <c r="K928">
        <v>100928</v>
      </c>
      <c r="L928">
        <v>928</v>
      </c>
      <c r="M928" t="b">
        <f t="shared" si="14"/>
        <v>1</v>
      </c>
      <c r="N928" t="b">
        <f>COUNTBLANK(Metadata!B928:F928)=COLUMNS(Metadata!B928:F928)</f>
        <v>1</v>
      </c>
      <c r="O928" t="str">
        <v/>
      </c>
      <c r="Q928" t="b">
        <f ca="1"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R928" t="b">
        <f>IF(Metadata!C928="",FALSE,TRUE)</f>
        <v>0</v>
      </c>
      <c r="S928" t="b">
        <f>OR(AND(IF(Metadata!D928="",FALSE,TRUE),EXACT(Metadata!D928,"missing: not collected")),AND(IF(Metadata!D928="",FALSE,TRUE),OR(EXACT(Metadata!D928,"t"),EXACT(Metadata!D928,"f"))))</f>
        <v>0</v>
      </c>
      <c r="T928" t="b">
        <f>AND(IF(Metadata!E928="",FALSE,TRUE),OR(EXACT(Metadata!E928,"a"),EXACT(Metadata!E928,"b")))</f>
        <v>0</v>
      </c>
      <c r="U928" t="b">
        <f>OR(AND(IF(Metadata!F928="",FALSE,TRUE),OR(EXACT(Metadata!F928,"missing: not collected"),EXACT(Metadata!F928,"missing: not provided"))),AND(IF(Metadata!F928="",FALSE,TRUE),OR(EXACT(Metadata!F928,"lo"),EXACT(Metadata!F928,"med"),EXACT(Metadata!F928,"hi"))))</f>
        <v>0</v>
      </c>
    </row>
    <row r="929" spans="1:21" x14ac:dyDescent="0.2">
      <c r="A929" s="4" t="str">
        <f ca="1">IF(B929=" "," ",HYPERLINK(CONCATENATE("#metadata!",ADDRESS(INDEX($L$2:$L$1001,MATCH(ROWS($J$2:J929),$J$2:$J$1001,0),0),1)),INDEX($O$2:$O$1001,MATCH(ROWS($J$2:J929),$J$2:$J$1001,0),0)))</f>
        <v xml:space="preserve"> </v>
      </c>
      <c r="B929" s="3" t="str">
        <f ca="1">IF(OR(INDEX($K$2:$K$1001,MATCH(ROWS($J$2:J929),$J$2:$J$1001,0),1)&gt;=100000,INDEX($Q$1005:$U$1005,1,MATCH(COLUMNS($Q$1006:Q1006),$Q$1006:$U$1006,0))&gt;=100000), " ",IF(INDEX($Q$2:$U$1001,MATCH(ROWS($J$2:J929),$J$2:$J$1001,0),MATCH(COLUMNS($Q$1006:Q1006),$Q$1006:$U$1006,0)), HYPERLINK("#",""), HYPERLINK(CONCATENATE("#Metadata!", ADDRESS(INDEX($L$2:$L$1001,MATCH(ROWS($J$2:J929),$J$2:$J$1001,0),0), INDEX($Q$1004:$U$1004,1,MATCH(COLUMNS($Q$1006:Q1006),$Q$1006:$U$1006,0)))),"Fix")))</f>
        <v xml:space="preserve"> </v>
      </c>
      <c r="C929" s="3" t="str">
        <f ca="1">IF(OR(INDEX($K$2:$K$1001,MATCH(ROWS($J$2:J929),$J$2:$J$1001,0),1)&gt;=100000,INDEX($Q$1005:$U$1005,1,MATCH(COLUMNS($Q$1006:R1006),$Q$1006:$U$1006,0))&gt;=100000), " ",IF(INDEX($Q$2:$U$1001,MATCH(ROWS($J$2:J929),$J$2:$J$1001,0),MATCH(COLUMNS($Q$1006:R1006),$Q$1006:$U$1006,0)), HYPERLINK("#",""), HYPERLINK(CONCATENATE("#Metadata!", ADDRESS(INDEX($L$2:$L$1001,MATCH(ROWS($J$2:J929),$J$2:$J$1001,0),0), INDEX($Q$1004:$U$1004,1,MATCH(COLUMNS($Q$1006:R1006),$Q$1006:$U$1006,0)))),"Fix")))</f>
        <v xml:space="preserve"> </v>
      </c>
      <c r="D929" s="3" t="str">
        <f ca="1">IF(OR(INDEX($K$2:$K$1001,MATCH(ROWS($J$2:J929),$J$2:$J$1001,0),1)&gt;=100000,INDEX($Q$1005:$U$1005,1,MATCH(COLUMNS($Q$1006:S1006),$Q$1006:$U$1006,0))&gt;=100000), " ",IF(INDEX($Q$2:$U$1001,MATCH(ROWS($J$2:J929),$J$2:$J$1001,0),MATCH(COLUMNS($Q$1006:S1006),$Q$1006:$U$1006,0)), HYPERLINK("#",""), HYPERLINK(CONCATENATE("#Metadata!", ADDRESS(INDEX($L$2:$L$1001,MATCH(ROWS($J$2:J929),$J$2:$J$1001,0),0), INDEX($Q$1004:$U$1004,1,MATCH(COLUMNS($Q$1006:S1006),$Q$1006:$U$1006,0)))),"Fix")))</f>
        <v xml:space="preserve"> </v>
      </c>
      <c r="E929" s="3" t="str">
        <f ca="1">IF(OR(INDEX($K$2:$K$1001,MATCH(ROWS($J$2:J929),$J$2:$J$1001,0),1)&gt;=100000,INDEX($Q$1005:$U$1005,1,MATCH(COLUMNS($Q$1006:T1006),$Q$1006:$U$1006,0))&gt;=100000), " ",IF(INDEX($Q$2:$U$1001,MATCH(ROWS($J$2:J929),$J$2:$J$1001,0),MATCH(COLUMNS($Q$1006:T1006),$Q$1006:$U$1006,0)), HYPERLINK("#",""), HYPERLINK(CONCATENATE("#Metadata!", ADDRESS(INDEX($L$2:$L$1001,MATCH(ROWS($J$2:J929),$J$2:$J$1001,0),0), INDEX($Q$1004:$U$1004,1,MATCH(COLUMNS($Q$1006:T1006),$Q$1006:$U$1006,0)))),"Fix")))</f>
        <v xml:space="preserve"> </v>
      </c>
      <c r="F929" s="3" t="str">
        <f ca="1">IF(OR(INDEX($K$2:$K$1001,MATCH(ROWS($J$2:J929),$J$2:$J$1001,0),1)&gt;=100000,INDEX($Q$1005:$U$1005,1,MATCH(COLUMNS($Q$1006:U1006),$Q$1006:$U$1006,0))&gt;=100000), " ",IF(INDEX($Q$2:$U$1001,MATCH(ROWS($J$2:J929),$J$2:$J$1001,0),MATCH(COLUMNS($Q$1006:U1006),$Q$1006:$U$1006,0)), HYPERLINK("#",""), HYPERLINK(CONCATENATE("#Metadata!", ADDRESS(INDEX($L$2:$L$1001,MATCH(ROWS($J$2:J929),$J$2:$J$1001,0),0), INDEX($Q$1004:$U$1004,1,MATCH(COLUMNS($Q$1006:U1006),$Q$1006:$U$1006,0)))),"Fix")))</f>
        <v xml:space="preserve"> </v>
      </c>
      <c r="J929">
        <f ca="1"/>
        <v>928</v>
      </c>
      <c r="K929">
        <v>100929</v>
      </c>
      <c r="L929">
        <v>929</v>
      </c>
      <c r="M929" t="b">
        <f t="shared" si="14"/>
        <v>1</v>
      </c>
      <c r="N929" t="b">
        <f>COUNTBLANK(Metadata!B929:F929)=COLUMNS(Metadata!B929:F929)</f>
        <v>1</v>
      </c>
      <c r="O929" t="str">
        <v/>
      </c>
      <c r="Q929" t="b">
        <f ca="1"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R929" t="b">
        <f>IF(Metadata!C929="",FALSE,TRUE)</f>
        <v>0</v>
      </c>
      <c r="S929" t="b">
        <f>OR(AND(IF(Metadata!D929="",FALSE,TRUE),EXACT(Metadata!D929,"missing: not collected")),AND(IF(Metadata!D929="",FALSE,TRUE),OR(EXACT(Metadata!D929,"t"),EXACT(Metadata!D929,"f"))))</f>
        <v>0</v>
      </c>
      <c r="T929" t="b">
        <f>AND(IF(Metadata!E929="",FALSE,TRUE),OR(EXACT(Metadata!E929,"a"),EXACT(Metadata!E929,"b")))</f>
        <v>0</v>
      </c>
      <c r="U929" t="b">
        <f>OR(AND(IF(Metadata!F929="",FALSE,TRUE),OR(EXACT(Metadata!F929,"missing: not collected"),EXACT(Metadata!F929,"missing: not provided"))),AND(IF(Metadata!F929="",FALSE,TRUE),OR(EXACT(Metadata!F929,"lo"),EXACT(Metadata!F929,"med"),EXACT(Metadata!F929,"hi"))))</f>
        <v>0</v>
      </c>
    </row>
    <row r="930" spans="1:21" x14ac:dyDescent="0.2">
      <c r="A930" s="4" t="str">
        <f ca="1">IF(B930=" "," ",HYPERLINK(CONCATENATE("#metadata!",ADDRESS(INDEX($L$2:$L$1001,MATCH(ROWS($J$2:J930),$J$2:$J$1001,0),0),1)),INDEX($O$2:$O$1001,MATCH(ROWS($J$2:J930),$J$2:$J$1001,0),0)))</f>
        <v xml:space="preserve"> </v>
      </c>
      <c r="B930" s="3" t="str">
        <f ca="1">IF(OR(INDEX($K$2:$K$1001,MATCH(ROWS($J$2:J930),$J$2:$J$1001,0),1)&gt;=100000,INDEX($Q$1005:$U$1005,1,MATCH(COLUMNS($Q$1006:Q1006),$Q$1006:$U$1006,0))&gt;=100000), " ",IF(INDEX($Q$2:$U$1001,MATCH(ROWS($J$2:J930),$J$2:$J$1001,0),MATCH(COLUMNS($Q$1006:Q1006),$Q$1006:$U$1006,0)), HYPERLINK("#",""), HYPERLINK(CONCATENATE("#Metadata!", ADDRESS(INDEX($L$2:$L$1001,MATCH(ROWS($J$2:J930),$J$2:$J$1001,0),0), INDEX($Q$1004:$U$1004,1,MATCH(COLUMNS($Q$1006:Q1006),$Q$1006:$U$1006,0)))),"Fix")))</f>
        <v xml:space="preserve"> </v>
      </c>
      <c r="C930" s="3" t="str">
        <f ca="1">IF(OR(INDEX($K$2:$K$1001,MATCH(ROWS($J$2:J930),$J$2:$J$1001,0),1)&gt;=100000,INDEX($Q$1005:$U$1005,1,MATCH(COLUMNS($Q$1006:R1006),$Q$1006:$U$1006,0))&gt;=100000), " ",IF(INDEX($Q$2:$U$1001,MATCH(ROWS($J$2:J930),$J$2:$J$1001,0),MATCH(COLUMNS($Q$1006:R1006),$Q$1006:$U$1006,0)), HYPERLINK("#",""), HYPERLINK(CONCATENATE("#Metadata!", ADDRESS(INDEX($L$2:$L$1001,MATCH(ROWS($J$2:J930),$J$2:$J$1001,0),0), INDEX($Q$1004:$U$1004,1,MATCH(COLUMNS($Q$1006:R1006),$Q$1006:$U$1006,0)))),"Fix")))</f>
        <v xml:space="preserve"> </v>
      </c>
      <c r="D930" s="3" t="str">
        <f ca="1">IF(OR(INDEX($K$2:$K$1001,MATCH(ROWS($J$2:J930),$J$2:$J$1001,0),1)&gt;=100000,INDEX($Q$1005:$U$1005,1,MATCH(COLUMNS($Q$1006:S1006),$Q$1006:$U$1006,0))&gt;=100000), " ",IF(INDEX($Q$2:$U$1001,MATCH(ROWS($J$2:J930),$J$2:$J$1001,0),MATCH(COLUMNS($Q$1006:S1006),$Q$1006:$U$1006,0)), HYPERLINK("#",""), HYPERLINK(CONCATENATE("#Metadata!", ADDRESS(INDEX($L$2:$L$1001,MATCH(ROWS($J$2:J930),$J$2:$J$1001,0),0), INDEX($Q$1004:$U$1004,1,MATCH(COLUMNS($Q$1006:S1006),$Q$1006:$U$1006,0)))),"Fix")))</f>
        <v xml:space="preserve"> </v>
      </c>
      <c r="E930" s="3" t="str">
        <f ca="1">IF(OR(INDEX($K$2:$K$1001,MATCH(ROWS($J$2:J930),$J$2:$J$1001,0),1)&gt;=100000,INDEX($Q$1005:$U$1005,1,MATCH(COLUMNS($Q$1006:T1006),$Q$1006:$U$1006,0))&gt;=100000), " ",IF(INDEX($Q$2:$U$1001,MATCH(ROWS($J$2:J930),$J$2:$J$1001,0),MATCH(COLUMNS($Q$1006:T1006),$Q$1006:$U$1006,0)), HYPERLINK("#",""), HYPERLINK(CONCATENATE("#Metadata!", ADDRESS(INDEX($L$2:$L$1001,MATCH(ROWS($J$2:J930),$J$2:$J$1001,0),0), INDEX($Q$1004:$U$1004,1,MATCH(COLUMNS($Q$1006:T1006),$Q$1006:$U$1006,0)))),"Fix")))</f>
        <v xml:space="preserve"> </v>
      </c>
      <c r="F930" s="3" t="str">
        <f ca="1">IF(OR(INDEX($K$2:$K$1001,MATCH(ROWS($J$2:J930),$J$2:$J$1001,0),1)&gt;=100000,INDEX($Q$1005:$U$1005,1,MATCH(COLUMNS($Q$1006:U1006),$Q$1006:$U$1006,0))&gt;=100000), " ",IF(INDEX($Q$2:$U$1001,MATCH(ROWS($J$2:J930),$J$2:$J$1001,0),MATCH(COLUMNS($Q$1006:U1006),$Q$1006:$U$1006,0)), HYPERLINK("#",""), HYPERLINK(CONCATENATE("#Metadata!", ADDRESS(INDEX($L$2:$L$1001,MATCH(ROWS($J$2:J930),$J$2:$J$1001,0),0), INDEX($Q$1004:$U$1004,1,MATCH(COLUMNS($Q$1006:U1006),$Q$1006:$U$1006,0)))),"Fix")))</f>
        <v xml:space="preserve"> </v>
      </c>
      <c r="J930">
        <f ca="1"/>
        <v>929</v>
      </c>
      <c r="K930">
        <v>100930</v>
      </c>
      <c r="L930">
        <v>930</v>
      </c>
      <c r="M930" t="b">
        <f t="shared" si="14"/>
        <v>1</v>
      </c>
      <c r="N930" t="b">
        <f>COUNTBLANK(Metadata!B930:F930)=COLUMNS(Metadata!B930:F930)</f>
        <v>1</v>
      </c>
      <c r="O930" t="str">
        <v/>
      </c>
      <c r="Q930" t="b">
        <f ca="1"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R930" t="b">
        <f>IF(Metadata!C930="",FALSE,TRUE)</f>
        <v>0</v>
      </c>
      <c r="S930" t="b">
        <f>OR(AND(IF(Metadata!D930="",FALSE,TRUE),EXACT(Metadata!D930,"missing: not collected")),AND(IF(Metadata!D930="",FALSE,TRUE),OR(EXACT(Metadata!D930,"t"),EXACT(Metadata!D930,"f"))))</f>
        <v>0</v>
      </c>
      <c r="T930" t="b">
        <f>AND(IF(Metadata!E930="",FALSE,TRUE),OR(EXACT(Metadata!E930,"a"),EXACT(Metadata!E930,"b")))</f>
        <v>0</v>
      </c>
      <c r="U930" t="b">
        <f>OR(AND(IF(Metadata!F930="",FALSE,TRUE),OR(EXACT(Metadata!F930,"missing: not collected"),EXACT(Metadata!F930,"missing: not provided"))),AND(IF(Metadata!F930="",FALSE,TRUE),OR(EXACT(Metadata!F930,"lo"),EXACT(Metadata!F930,"med"),EXACT(Metadata!F930,"hi"))))</f>
        <v>0</v>
      </c>
    </row>
    <row r="931" spans="1:21" x14ac:dyDescent="0.2">
      <c r="A931" s="4" t="str">
        <f ca="1">IF(B931=" "," ",HYPERLINK(CONCATENATE("#metadata!",ADDRESS(INDEX($L$2:$L$1001,MATCH(ROWS($J$2:J931),$J$2:$J$1001,0),0),1)),INDEX($O$2:$O$1001,MATCH(ROWS($J$2:J931),$J$2:$J$1001,0),0)))</f>
        <v xml:space="preserve"> </v>
      </c>
      <c r="B931" s="3" t="str">
        <f ca="1">IF(OR(INDEX($K$2:$K$1001,MATCH(ROWS($J$2:J931),$J$2:$J$1001,0),1)&gt;=100000,INDEX($Q$1005:$U$1005,1,MATCH(COLUMNS($Q$1006:Q1006),$Q$1006:$U$1006,0))&gt;=100000), " ",IF(INDEX($Q$2:$U$1001,MATCH(ROWS($J$2:J931),$J$2:$J$1001,0),MATCH(COLUMNS($Q$1006:Q1006),$Q$1006:$U$1006,0)), HYPERLINK("#",""), HYPERLINK(CONCATENATE("#Metadata!", ADDRESS(INDEX($L$2:$L$1001,MATCH(ROWS($J$2:J931),$J$2:$J$1001,0),0), INDEX($Q$1004:$U$1004,1,MATCH(COLUMNS($Q$1006:Q1006),$Q$1006:$U$1006,0)))),"Fix")))</f>
        <v xml:space="preserve"> </v>
      </c>
      <c r="C931" s="3" t="str">
        <f ca="1">IF(OR(INDEX($K$2:$K$1001,MATCH(ROWS($J$2:J931),$J$2:$J$1001,0),1)&gt;=100000,INDEX($Q$1005:$U$1005,1,MATCH(COLUMNS($Q$1006:R1006),$Q$1006:$U$1006,0))&gt;=100000), " ",IF(INDEX($Q$2:$U$1001,MATCH(ROWS($J$2:J931),$J$2:$J$1001,0),MATCH(COLUMNS($Q$1006:R1006),$Q$1006:$U$1006,0)), HYPERLINK("#",""), HYPERLINK(CONCATENATE("#Metadata!", ADDRESS(INDEX($L$2:$L$1001,MATCH(ROWS($J$2:J931),$J$2:$J$1001,0),0), INDEX($Q$1004:$U$1004,1,MATCH(COLUMNS($Q$1006:R1006),$Q$1006:$U$1006,0)))),"Fix")))</f>
        <v xml:space="preserve"> </v>
      </c>
      <c r="D931" s="3" t="str">
        <f ca="1">IF(OR(INDEX($K$2:$K$1001,MATCH(ROWS($J$2:J931),$J$2:$J$1001,0),1)&gt;=100000,INDEX($Q$1005:$U$1005,1,MATCH(COLUMNS($Q$1006:S1006),$Q$1006:$U$1006,0))&gt;=100000), " ",IF(INDEX($Q$2:$U$1001,MATCH(ROWS($J$2:J931),$J$2:$J$1001,0),MATCH(COLUMNS($Q$1006:S1006),$Q$1006:$U$1006,0)), HYPERLINK("#",""), HYPERLINK(CONCATENATE("#Metadata!", ADDRESS(INDEX($L$2:$L$1001,MATCH(ROWS($J$2:J931),$J$2:$J$1001,0),0), INDEX($Q$1004:$U$1004,1,MATCH(COLUMNS($Q$1006:S1006),$Q$1006:$U$1006,0)))),"Fix")))</f>
        <v xml:space="preserve"> </v>
      </c>
      <c r="E931" s="3" t="str">
        <f ca="1">IF(OR(INDEX($K$2:$K$1001,MATCH(ROWS($J$2:J931),$J$2:$J$1001,0),1)&gt;=100000,INDEX($Q$1005:$U$1005,1,MATCH(COLUMNS($Q$1006:T1006),$Q$1006:$U$1006,0))&gt;=100000), " ",IF(INDEX($Q$2:$U$1001,MATCH(ROWS($J$2:J931),$J$2:$J$1001,0),MATCH(COLUMNS($Q$1006:T1006),$Q$1006:$U$1006,0)), HYPERLINK("#",""), HYPERLINK(CONCATENATE("#Metadata!", ADDRESS(INDEX($L$2:$L$1001,MATCH(ROWS($J$2:J931),$J$2:$J$1001,0),0), INDEX($Q$1004:$U$1004,1,MATCH(COLUMNS($Q$1006:T1006),$Q$1006:$U$1006,0)))),"Fix")))</f>
        <v xml:space="preserve"> </v>
      </c>
      <c r="F931" s="3" t="str">
        <f ca="1">IF(OR(INDEX($K$2:$K$1001,MATCH(ROWS($J$2:J931),$J$2:$J$1001,0),1)&gt;=100000,INDEX($Q$1005:$U$1005,1,MATCH(COLUMNS($Q$1006:U1006),$Q$1006:$U$1006,0))&gt;=100000), " ",IF(INDEX($Q$2:$U$1001,MATCH(ROWS($J$2:J931),$J$2:$J$1001,0),MATCH(COLUMNS($Q$1006:U1006),$Q$1006:$U$1006,0)), HYPERLINK("#",""), HYPERLINK(CONCATENATE("#Metadata!", ADDRESS(INDEX($L$2:$L$1001,MATCH(ROWS($J$2:J931),$J$2:$J$1001,0),0), INDEX($Q$1004:$U$1004,1,MATCH(COLUMNS($Q$1006:U1006),$Q$1006:$U$1006,0)))),"Fix")))</f>
        <v xml:space="preserve"> </v>
      </c>
      <c r="J931">
        <f ca="1"/>
        <v>930</v>
      </c>
      <c r="K931">
        <v>100931</v>
      </c>
      <c r="L931">
        <v>931</v>
      </c>
      <c r="M931" t="b">
        <f t="shared" si="14"/>
        <v>1</v>
      </c>
      <c r="N931" t="b">
        <f>COUNTBLANK(Metadata!B931:F931)=COLUMNS(Metadata!B931:F931)</f>
        <v>1</v>
      </c>
      <c r="O931" t="str">
        <v/>
      </c>
      <c r="Q931" t="b">
        <f ca="1"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R931" t="b">
        <f>IF(Metadata!C931="",FALSE,TRUE)</f>
        <v>0</v>
      </c>
      <c r="S931" t="b">
        <f>OR(AND(IF(Metadata!D931="",FALSE,TRUE),EXACT(Metadata!D931,"missing: not collected")),AND(IF(Metadata!D931="",FALSE,TRUE),OR(EXACT(Metadata!D931,"t"),EXACT(Metadata!D931,"f"))))</f>
        <v>0</v>
      </c>
      <c r="T931" t="b">
        <f>AND(IF(Metadata!E931="",FALSE,TRUE),OR(EXACT(Metadata!E931,"a"),EXACT(Metadata!E931,"b")))</f>
        <v>0</v>
      </c>
      <c r="U931" t="b">
        <f>OR(AND(IF(Metadata!F931="",FALSE,TRUE),OR(EXACT(Metadata!F931,"missing: not collected"),EXACT(Metadata!F931,"missing: not provided"))),AND(IF(Metadata!F931="",FALSE,TRUE),OR(EXACT(Metadata!F931,"lo"),EXACT(Metadata!F931,"med"),EXACT(Metadata!F931,"hi"))))</f>
        <v>0</v>
      </c>
    </row>
    <row r="932" spans="1:21" x14ac:dyDescent="0.2">
      <c r="A932" s="4" t="str">
        <f ca="1">IF(B932=" "," ",HYPERLINK(CONCATENATE("#metadata!",ADDRESS(INDEX($L$2:$L$1001,MATCH(ROWS($J$2:J932),$J$2:$J$1001,0),0),1)),INDEX($O$2:$O$1001,MATCH(ROWS($J$2:J932),$J$2:$J$1001,0),0)))</f>
        <v xml:space="preserve"> </v>
      </c>
      <c r="B932" s="3" t="str">
        <f ca="1">IF(OR(INDEX($K$2:$K$1001,MATCH(ROWS($J$2:J932),$J$2:$J$1001,0),1)&gt;=100000,INDEX($Q$1005:$U$1005,1,MATCH(COLUMNS($Q$1006:Q1006),$Q$1006:$U$1006,0))&gt;=100000), " ",IF(INDEX($Q$2:$U$1001,MATCH(ROWS($J$2:J932),$J$2:$J$1001,0),MATCH(COLUMNS($Q$1006:Q1006),$Q$1006:$U$1006,0)), HYPERLINK("#",""), HYPERLINK(CONCATENATE("#Metadata!", ADDRESS(INDEX($L$2:$L$1001,MATCH(ROWS($J$2:J932),$J$2:$J$1001,0),0), INDEX($Q$1004:$U$1004,1,MATCH(COLUMNS($Q$1006:Q1006),$Q$1006:$U$1006,0)))),"Fix")))</f>
        <v xml:space="preserve"> </v>
      </c>
      <c r="C932" s="3" t="str">
        <f ca="1">IF(OR(INDEX($K$2:$K$1001,MATCH(ROWS($J$2:J932),$J$2:$J$1001,0),1)&gt;=100000,INDEX($Q$1005:$U$1005,1,MATCH(COLUMNS($Q$1006:R1006),$Q$1006:$U$1006,0))&gt;=100000), " ",IF(INDEX($Q$2:$U$1001,MATCH(ROWS($J$2:J932),$J$2:$J$1001,0),MATCH(COLUMNS($Q$1006:R1006),$Q$1006:$U$1006,0)), HYPERLINK("#",""), HYPERLINK(CONCATENATE("#Metadata!", ADDRESS(INDEX($L$2:$L$1001,MATCH(ROWS($J$2:J932),$J$2:$J$1001,0),0), INDEX($Q$1004:$U$1004,1,MATCH(COLUMNS($Q$1006:R1006),$Q$1006:$U$1006,0)))),"Fix")))</f>
        <v xml:space="preserve"> </v>
      </c>
      <c r="D932" s="3" t="str">
        <f ca="1">IF(OR(INDEX($K$2:$K$1001,MATCH(ROWS($J$2:J932),$J$2:$J$1001,0),1)&gt;=100000,INDEX($Q$1005:$U$1005,1,MATCH(COLUMNS($Q$1006:S1006),$Q$1006:$U$1006,0))&gt;=100000), " ",IF(INDEX($Q$2:$U$1001,MATCH(ROWS($J$2:J932),$J$2:$J$1001,0),MATCH(COLUMNS($Q$1006:S1006),$Q$1006:$U$1006,0)), HYPERLINK("#",""), HYPERLINK(CONCATENATE("#Metadata!", ADDRESS(INDEX($L$2:$L$1001,MATCH(ROWS($J$2:J932),$J$2:$J$1001,0),0), INDEX($Q$1004:$U$1004,1,MATCH(COLUMNS($Q$1006:S1006),$Q$1006:$U$1006,0)))),"Fix")))</f>
        <v xml:space="preserve"> </v>
      </c>
      <c r="E932" s="3" t="str">
        <f ca="1">IF(OR(INDEX($K$2:$K$1001,MATCH(ROWS($J$2:J932),$J$2:$J$1001,0),1)&gt;=100000,INDEX($Q$1005:$U$1005,1,MATCH(COLUMNS($Q$1006:T1006),$Q$1006:$U$1006,0))&gt;=100000), " ",IF(INDEX($Q$2:$U$1001,MATCH(ROWS($J$2:J932),$J$2:$J$1001,0),MATCH(COLUMNS($Q$1006:T1006),$Q$1006:$U$1006,0)), HYPERLINK("#",""), HYPERLINK(CONCATENATE("#Metadata!", ADDRESS(INDEX($L$2:$L$1001,MATCH(ROWS($J$2:J932),$J$2:$J$1001,0),0), INDEX($Q$1004:$U$1004,1,MATCH(COLUMNS($Q$1006:T1006),$Q$1006:$U$1006,0)))),"Fix")))</f>
        <v xml:space="preserve"> </v>
      </c>
      <c r="F932" s="3" t="str">
        <f ca="1">IF(OR(INDEX($K$2:$K$1001,MATCH(ROWS($J$2:J932),$J$2:$J$1001,0),1)&gt;=100000,INDEX($Q$1005:$U$1005,1,MATCH(COLUMNS($Q$1006:U1006),$Q$1006:$U$1006,0))&gt;=100000), " ",IF(INDEX($Q$2:$U$1001,MATCH(ROWS($J$2:J932),$J$2:$J$1001,0),MATCH(COLUMNS($Q$1006:U1006),$Q$1006:$U$1006,0)), HYPERLINK("#",""), HYPERLINK(CONCATENATE("#Metadata!", ADDRESS(INDEX($L$2:$L$1001,MATCH(ROWS($J$2:J932),$J$2:$J$1001,0),0), INDEX($Q$1004:$U$1004,1,MATCH(COLUMNS($Q$1006:U1006),$Q$1006:$U$1006,0)))),"Fix")))</f>
        <v xml:space="preserve"> </v>
      </c>
      <c r="J932">
        <f ca="1"/>
        <v>931</v>
      </c>
      <c r="K932">
        <v>100932</v>
      </c>
      <c r="L932">
        <v>932</v>
      </c>
      <c r="M932" t="b">
        <f t="shared" si="14"/>
        <v>1</v>
      </c>
      <c r="N932" t="b">
        <f>COUNTBLANK(Metadata!B932:F932)=COLUMNS(Metadata!B932:F932)</f>
        <v>1</v>
      </c>
      <c r="O932" t="str">
        <v/>
      </c>
      <c r="Q932" t="b">
        <f ca="1"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R932" t="b">
        <f>IF(Metadata!C932="",FALSE,TRUE)</f>
        <v>0</v>
      </c>
      <c r="S932" t="b">
        <f>OR(AND(IF(Metadata!D932="",FALSE,TRUE),EXACT(Metadata!D932,"missing: not collected")),AND(IF(Metadata!D932="",FALSE,TRUE),OR(EXACT(Metadata!D932,"t"),EXACT(Metadata!D932,"f"))))</f>
        <v>0</v>
      </c>
      <c r="T932" t="b">
        <f>AND(IF(Metadata!E932="",FALSE,TRUE),OR(EXACT(Metadata!E932,"a"),EXACT(Metadata!E932,"b")))</f>
        <v>0</v>
      </c>
      <c r="U932" t="b">
        <f>OR(AND(IF(Metadata!F932="",FALSE,TRUE),OR(EXACT(Metadata!F932,"missing: not collected"),EXACT(Metadata!F932,"missing: not provided"))),AND(IF(Metadata!F932="",FALSE,TRUE),OR(EXACT(Metadata!F932,"lo"),EXACT(Metadata!F932,"med"),EXACT(Metadata!F932,"hi"))))</f>
        <v>0</v>
      </c>
    </row>
    <row r="933" spans="1:21" x14ac:dyDescent="0.2">
      <c r="A933" s="4" t="str">
        <f ca="1">IF(B933=" "," ",HYPERLINK(CONCATENATE("#metadata!",ADDRESS(INDEX($L$2:$L$1001,MATCH(ROWS($J$2:J933),$J$2:$J$1001,0),0),1)),INDEX($O$2:$O$1001,MATCH(ROWS($J$2:J933),$J$2:$J$1001,0),0)))</f>
        <v xml:space="preserve"> </v>
      </c>
      <c r="B933" s="3" t="str">
        <f ca="1">IF(OR(INDEX($K$2:$K$1001,MATCH(ROWS($J$2:J933),$J$2:$J$1001,0),1)&gt;=100000,INDEX($Q$1005:$U$1005,1,MATCH(COLUMNS($Q$1006:Q1006),$Q$1006:$U$1006,0))&gt;=100000), " ",IF(INDEX($Q$2:$U$1001,MATCH(ROWS($J$2:J933),$J$2:$J$1001,0),MATCH(COLUMNS($Q$1006:Q1006),$Q$1006:$U$1006,0)), HYPERLINK("#",""), HYPERLINK(CONCATENATE("#Metadata!", ADDRESS(INDEX($L$2:$L$1001,MATCH(ROWS($J$2:J933),$J$2:$J$1001,0),0), INDEX($Q$1004:$U$1004,1,MATCH(COLUMNS($Q$1006:Q1006),$Q$1006:$U$1006,0)))),"Fix")))</f>
        <v xml:space="preserve"> </v>
      </c>
      <c r="C933" s="3" t="str">
        <f ca="1">IF(OR(INDEX($K$2:$K$1001,MATCH(ROWS($J$2:J933),$J$2:$J$1001,0),1)&gt;=100000,INDEX($Q$1005:$U$1005,1,MATCH(COLUMNS($Q$1006:R1006),$Q$1006:$U$1006,0))&gt;=100000), " ",IF(INDEX($Q$2:$U$1001,MATCH(ROWS($J$2:J933),$J$2:$J$1001,0),MATCH(COLUMNS($Q$1006:R1006),$Q$1006:$U$1006,0)), HYPERLINK("#",""), HYPERLINK(CONCATENATE("#Metadata!", ADDRESS(INDEX($L$2:$L$1001,MATCH(ROWS($J$2:J933),$J$2:$J$1001,0),0), INDEX($Q$1004:$U$1004,1,MATCH(COLUMNS($Q$1006:R1006),$Q$1006:$U$1006,0)))),"Fix")))</f>
        <v xml:space="preserve"> </v>
      </c>
      <c r="D933" s="3" t="str">
        <f ca="1">IF(OR(INDEX($K$2:$K$1001,MATCH(ROWS($J$2:J933),$J$2:$J$1001,0),1)&gt;=100000,INDEX($Q$1005:$U$1005,1,MATCH(COLUMNS($Q$1006:S1006),$Q$1006:$U$1006,0))&gt;=100000), " ",IF(INDEX($Q$2:$U$1001,MATCH(ROWS($J$2:J933),$J$2:$J$1001,0),MATCH(COLUMNS($Q$1006:S1006),$Q$1006:$U$1006,0)), HYPERLINK("#",""), HYPERLINK(CONCATENATE("#Metadata!", ADDRESS(INDEX($L$2:$L$1001,MATCH(ROWS($J$2:J933),$J$2:$J$1001,0),0), INDEX($Q$1004:$U$1004,1,MATCH(COLUMNS($Q$1006:S1006),$Q$1006:$U$1006,0)))),"Fix")))</f>
        <v xml:space="preserve"> </v>
      </c>
      <c r="E933" s="3" t="str">
        <f ca="1">IF(OR(INDEX($K$2:$K$1001,MATCH(ROWS($J$2:J933),$J$2:$J$1001,0),1)&gt;=100000,INDEX($Q$1005:$U$1005,1,MATCH(COLUMNS($Q$1006:T1006),$Q$1006:$U$1006,0))&gt;=100000), " ",IF(INDEX($Q$2:$U$1001,MATCH(ROWS($J$2:J933),$J$2:$J$1001,0),MATCH(COLUMNS($Q$1006:T1006),$Q$1006:$U$1006,0)), HYPERLINK("#",""), HYPERLINK(CONCATENATE("#Metadata!", ADDRESS(INDEX($L$2:$L$1001,MATCH(ROWS($J$2:J933),$J$2:$J$1001,0),0), INDEX($Q$1004:$U$1004,1,MATCH(COLUMNS($Q$1006:T1006),$Q$1006:$U$1006,0)))),"Fix")))</f>
        <v xml:space="preserve"> </v>
      </c>
      <c r="F933" s="3" t="str">
        <f ca="1">IF(OR(INDEX($K$2:$K$1001,MATCH(ROWS($J$2:J933),$J$2:$J$1001,0),1)&gt;=100000,INDEX($Q$1005:$U$1005,1,MATCH(COLUMNS($Q$1006:U1006),$Q$1006:$U$1006,0))&gt;=100000), " ",IF(INDEX($Q$2:$U$1001,MATCH(ROWS($J$2:J933),$J$2:$J$1001,0),MATCH(COLUMNS($Q$1006:U1006),$Q$1006:$U$1006,0)), HYPERLINK("#",""), HYPERLINK(CONCATENATE("#Metadata!", ADDRESS(INDEX($L$2:$L$1001,MATCH(ROWS($J$2:J933),$J$2:$J$1001,0),0), INDEX($Q$1004:$U$1004,1,MATCH(COLUMNS($Q$1006:U1006),$Q$1006:$U$1006,0)))),"Fix")))</f>
        <v xml:space="preserve"> </v>
      </c>
      <c r="J933">
        <f ca="1"/>
        <v>932</v>
      </c>
      <c r="K933">
        <v>100933</v>
      </c>
      <c r="L933">
        <v>933</v>
      </c>
      <c r="M933" t="b">
        <f t="shared" si="14"/>
        <v>1</v>
      </c>
      <c r="N933" t="b">
        <f>COUNTBLANK(Metadata!B933:F933)=COLUMNS(Metadata!B933:F933)</f>
        <v>1</v>
      </c>
      <c r="O933" t="str">
        <v/>
      </c>
      <c r="Q933" t="b">
        <f ca="1"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R933" t="b">
        <f>IF(Metadata!C933="",FALSE,TRUE)</f>
        <v>0</v>
      </c>
      <c r="S933" t="b">
        <f>OR(AND(IF(Metadata!D933="",FALSE,TRUE),EXACT(Metadata!D933,"missing: not collected")),AND(IF(Metadata!D933="",FALSE,TRUE),OR(EXACT(Metadata!D933,"t"),EXACT(Metadata!D933,"f"))))</f>
        <v>0</v>
      </c>
      <c r="T933" t="b">
        <f>AND(IF(Metadata!E933="",FALSE,TRUE),OR(EXACT(Metadata!E933,"a"),EXACT(Metadata!E933,"b")))</f>
        <v>0</v>
      </c>
      <c r="U933" t="b">
        <f>OR(AND(IF(Metadata!F933="",FALSE,TRUE),OR(EXACT(Metadata!F933,"missing: not collected"),EXACT(Metadata!F933,"missing: not provided"))),AND(IF(Metadata!F933="",FALSE,TRUE),OR(EXACT(Metadata!F933,"lo"),EXACT(Metadata!F933,"med"),EXACT(Metadata!F933,"hi"))))</f>
        <v>0</v>
      </c>
    </row>
    <row r="934" spans="1:21" x14ac:dyDescent="0.2">
      <c r="A934" s="4" t="str">
        <f ca="1">IF(B934=" "," ",HYPERLINK(CONCATENATE("#metadata!",ADDRESS(INDEX($L$2:$L$1001,MATCH(ROWS($J$2:J934),$J$2:$J$1001,0),0),1)),INDEX($O$2:$O$1001,MATCH(ROWS($J$2:J934),$J$2:$J$1001,0),0)))</f>
        <v xml:space="preserve"> </v>
      </c>
      <c r="B934" s="3" t="str">
        <f ca="1">IF(OR(INDEX($K$2:$K$1001,MATCH(ROWS($J$2:J934),$J$2:$J$1001,0),1)&gt;=100000,INDEX($Q$1005:$U$1005,1,MATCH(COLUMNS($Q$1006:Q1006),$Q$1006:$U$1006,0))&gt;=100000), " ",IF(INDEX($Q$2:$U$1001,MATCH(ROWS($J$2:J934),$J$2:$J$1001,0),MATCH(COLUMNS($Q$1006:Q1006),$Q$1006:$U$1006,0)), HYPERLINK("#",""), HYPERLINK(CONCATENATE("#Metadata!", ADDRESS(INDEX($L$2:$L$1001,MATCH(ROWS($J$2:J934),$J$2:$J$1001,0),0), INDEX($Q$1004:$U$1004,1,MATCH(COLUMNS($Q$1006:Q1006),$Q$1006:$U$1006,0)))),"Fix")))</f>
        <v xml:space="preserve"> </v>
      </c>
      <c r="C934" s="3" t="str">
        <f ca="1">IF(OR(INDEX($K$2:$K$1001,MATCH(ROWS($J$2:J934),$J$2:$J$1001,0),1)&gt;=100000,INDEX($Q$1005:$U$1005,1,MATCH(COLUMNS($Q$1006:R1006),$Q$1006:$U$1006,0))&gt;=100000), " ",IF(INDEX($Q$2:$U$1001,MATCH(ROWS($J$2:J934),$J$2:$J$1001,0),MATCH(COLUMNS($Q$1006:R1006),$Q$1006:$U$1006,0)), HYPERLINK("#",""), HYPERLINK(CONCATENATE("#Metadata!", ADDRESS(INDEX($L$2:$L$1001,MATCH(ROWS($J$2:J934),$J$2:$J$1001,0),0), INDEX($Q$1004:$U$1004,1,MATCH(COLUMNS($Q$1006:R1006),$Q$1006:$U$1006,0)))),"Fix")))</f>
        <v xml:space="preserve"> </v>
      </c>
      <c r="D934" s="3" t="str">
        <f ca="1">IF(OR(INDEX($K$2:$K$1001,MATCH(ROWS($J$2:J934),$J$2:$J$1001,0),1)&gt;=100000,INDEX($Q$1005:$U$1005,1,MATCH(COLUMNS($Q$1006:S1006),$Q$1006:$U$1006,0))&gt;=100000), " ",IF(INDEX($Q$2:$U$1001,MATCH(ROWS($J$2:J934),$J$2:$J$1001,0),MATCH(COLUMNS($Q$1006:S1006),$Q$1006:$U$1006,0)), HYPERLINK("#",""), HYPERLINK(CONCATENATE("#Metadata!", ADDRESS(INDEX($L$2:$L$1001,MATCH(ROWS($J$2:J934),$J$2:$J$1001,0),0), INDEX($Q$1004:$U$1004,1,MATCH(COLUMNS($Q$1006:S1006),$Q$1006:$U$1006,0)))),"Fix")))</f>
        <v xml:space="preserve"> </v>
      </c>
      <c r="E934" s="3" t="str">
        <f ca="1">IF(OR(INDEX($K$2:$K$1001,MATCH(ROWS($J$2:J934),$J$2:$J$1001,0),1)&gt;=100000,INDEX($Q$1005:$U$1005,1,MATCH(COLUMNS($Q$1006:T1006),$Q$1006:$U$1006,0))&gt;=100000), " ",IF(INDEX($Q$2:$U$1001,MATCH(ROWS($J$2:J934),$J$2:$J$1001,0),MATCH(COLUMNS($Q$1006:T1006),$Q$1006:$U$1006,0)), HYPERLINK("#",""), HYPERLINK(CONCATENATE("#Metadata!", ADDRESS(INDEX($L$2:$L$1001,MATCH(ROWS($J$2:J934),$J$2:$J$1001,0),0), INDEX($Q$1004:$U$1004,1,MATCH(COLUMNS($Q$1006:T1006),$Q$1006:$U$1006,0)))),"Fix")))</f>
        <v xml:space="preserve"> </v>
      </c>
      <c r="F934" s="3" t="str">
        <f ca="1">IF(OR(INDEX($K$2:$K$1001,MATCH(ROWS($J$2:J934),$J$2:$J$1001,0),1)&gt;=100000,INDEX($Q$1005:$U$1005,1,MATCH(COLUMNS($Q$1006:U1006),$Q$1006:$U$1006,0))&gt;=100000), " ",IF(INDEX($Q$2:$U$1001,MATCH(ROWS($J$2:J934),$J$2:$J$1001,0),MATCH(COLUMNS($Q$1006:U1006),$Q$1006:$U$1006,0)), HYPERLINK("#",""), HYPERLINK(CONCATENATE("#Metadata!", ADDRESS(INDEX($L$2:$L$1001,MATCH(ROWS($J$2:J934),$J$2:$J$1001,0),0), INDEX($Q$1004:$U$1004,1,MATCH(COLUMNS($Q$1006:U1006),$Q$1006:$U$1006,0)))),"Fix")))</f>
        <v xml:space="preserve"> </v>
      </c>
      <c r="J934">
        <f ca="1"/>
        <v>933</v>
      </c>
      <c r="K934">
        <v>100934</v>
      </c>
      <c r="L934">
        <v>934</v>
      </c>
      <c r="M934" t="b">
        <f t="shared" si="14"/>
        <v>1</v>
      </c>
      <c r="N934" t="b">
        <f>COUNTBLANK(Metadata!B934:F934)=COLUMNS(Metadata!B934:F934)</f>
        <v>1</v>
      </c>
      <c r="O934" t="str">
        <v/>
      </c>
      <c r="Q934" t="b">
        <f ca="1"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R934" t="b">
        <f>IF(Metadata!C934="",FALSE,TRUE)</f>
        <v>0</v>
      </c>
      <c r="S934" t="b">
        <f>OR(AND(IF(Metadata!D934="",FALSE,TRUE),EXACT(Metadata!D934,"missing: not collected")),AND(IF(Metadata!D934="",FALSE,TRUE),OR(EXACT(Metadata!D934,"t"),EXACT(Metadata!D934,"f"))))</f>
        <v>0</v>
      </c>
      <c r="T934" t="b">
        <f>AND(IF(Metadata!E934="",FALSE,TRUE),OR(EXACT(Metadata!E934,"a"),EXACT(Metadata!E934,"b")))</f>
        <v>0</v>
      </c>
      <c r="U934" t="b">
        <f>OR(AND(IF(Metadata!F934="",FALSE,TRUE),OR(EXACT(Metadata!F934,"missing: not collected"),EXACT(Metadata!F934,"missing: not provided"))),AND(IF(Metadata!F934="",FALSE,TRUE),OR(EXACT(Metadata!F934,"lo"),EXACT(Metadata!F934,"med"),EXACT(Metadata!F934,"hi"))))</f>
        <v>0</v>
      </c>
    </row>
    <row r="935" spans="1:21" x14ac:dyDescent="0.2">
      <c r="A935" s="4" t="str">
        <f ca="1">IF(B935=" "," ",HYPERLINK(CONCATENATE("#metadata!",ADDRESS(INDEX($L$2:$L$1001,MATCH(ROWS($J$2:J935),$J$2:$J$1001,0),0),1)),INDEX($O$2:$O$1001,MATCH(ROWS($J$2:J935),$J$2:$J$1001,0),0)))</f>
        <v xml:space="preserve"> </v>
      </c>
      <c r="B935" s="3" t="str">
        <f ca="1">IF(OR(INDEX($K$2:$K$1001,MATCH(ROWS($J$2:J935),$J$2:$J$1001,0),1)&gt;=100000,INDEX($Q$1005:$U$1005,1,MATCH(COLUMNS($Q$1006:Q1006),$Q$1006:$U$1006,0))&gt;=100000), " ",IF(INDEX($Q$2:$U$1001,MATCH(ROWS($J$2:J935),$J$2:$J$1001,0),MATCH(COLUMNS($Q$1006:Q1006),$Q$1006:$U$1006,0)), HYPERLINK("#",""), HYPERLINK(CONCATENATE("#Metadata!", ADDRESS(INDEX($L$2:$L$1001,MATCH(ROWS($J$2:J935),$J$2:$J$1001,0),0), INDEX($Q$1004:$U$1004,1,MATCH(COLUMNS($Q$1006:Q1006),$Q$1006:$U$1006,0)))),"Fix")))</f>
        <v xml:space="preserve"> </v>
      </c>
      <c r="C935" s="3" t="str">
        <f ca="1">IF(OR(INDEX($K$2:$K$1001,MATCH(ROWS($J$2:J935),$J$2:$J$1001,0),1)&gt;=100000,INDEX($Q$1005:$U$1005,1,MATCH(COLUMNS($Q$1006:R1006),$Q$1006:$U$1006,0))&gt;=100000), " ",IF(INDEX($Q$2:$U$1001,MATCH(ROWS($J$2:J935),$J$2:$J$1001,0),MATCH(COLUMNS($Q$1006:R1006),$Q$1006:$U$1006,0)), HYPERLINK("#",""), HYPERLINK(CONCATENATE("#Metadata!", ADDRESS(INDEX($L$2:$L$1001,MATCH(ROWS($J$2:J935),$J$2:$J$1001,0),0), INDEX($Q$1004:$U$1004,1,MATCH(COLUMNS($Q$1006:R1006),$Q$1006:$U$1006,0)))),"Fix")))</f>
        <v xml:space="preserve"> </v>
      </c>
      <c r="D935" s="3" t="str">
        <f ca="1">IF(OR(INDEX($K$2:$K$1001,MATCH(ROWS($J$2:J935),$J$2:$J$1001,0),1)&gt;=100000,INDEX($Q$1005:$U$1005,1,MATCH(COLUMNS($Q$1006:S1006),$Q$1006:$U$1006,0))&gt;=100000), " ",IF(INDEX($Q$2:$U$1001,MATCH(ROWS($J$2:J935),$J$2:$J$1001,0),MATCH(COLUMNS($Q$1006:S1006),$Q$1006:$U$1006,0)), HYPERLINK("#",""), HYPERLINK(CONCATENATE("#Metadata!", ADDRESS(INDEX($L$2:$L$1001,MATCH(ROWS($J$2:J935),$J$2:$J$1001,0),0), INDEX($Q$1004:$U$1004,1,MATCH(COLUMNS($Q$1006:S1006),$Q$1006:$U$1006,0)))),"Fix")))</f>
        <v xml:space="preserve"> </v>
      </c>
      <c r="E935" s="3" t="str">
        <f ca="1">IF(OR(INDEX($K$2:$K$1001,MATCH(ROWS($J$2:J935),$J$2:$J$1001,0),1)&gt;=100000,INDEX($Q$1005:$U$1005,1,MATCH(COLUMNS($Q$1006:T1006),$Q$1006:$U$1006,0))&gt;=100000), " ",IF(INDEX($Q$2:$U$1001,MATCH(ROWS($J$2:J935),$J$2:$J$1001,0),MATCH(COLUMNS($Q$1006:T1006),$Q$1006:$U$1006,0)), HYPERLINK("#",""), HYPERLINK(CONCATENATE("#Metadata!", ADDRESS(INDEX($L$2:$L$1001,MATCH(ROWS($J$2:J935),$J$2:$J$1001,0),0), INDEX($Q$1004:$U$1004,1,MATCH(COLUMNS($Q$1006:T1006),$Q$1006:$U$1006,0)))),"Fix")))</f>
        <v xml:space="preserve"> </v>
      </c>
      <c r="F935" s="3" t="str">
        <f ca="1">IF(OR(INDEX($K$2:$K$1001,MATCH(ROWS($J$2:J935),$J$2:$J$1001,0),1)&gt;=100000,INDEX($Q$1005:$U$1005,1,MATCH(COLUMNS($Q$1006:U1006),$Q$1006:$U$1006,0))&gt;=100000), " ",IF(INDEX($Q$2:$U$1001,MATCH(ROWS($J$2:J935),$J$2:$J$1001,0),MATCH(COLUMNS($Q$1006:U1006),$Q$1006:$U$1006,0)), HYPERLINK("#",""), HYPERLINK(CONCATENATE("#Metadata!", ADDRESS(INDEX($L$2:$L$1001,MATCH(ROWS($J$2:J935),$J$2:$J$1001,0),0), INDEX($Q$1004:$U$1004,1,MATCH(COLUMNS($Q$1006:U1006),$Q$1006:$U$1006,0)))),"Fix")))</f>
        <v xml:space="preserve"> </v>
      </c>
      <c r="J935">
        <f ca="1"/>
        <v>934</v>
      </c>
      <c r="K935">
        <v>100935</v>
      </c>
      <c r="L935">
        <v>935</v>
      </c>
      <c r="M935" t="b">
        <f t="shared" si="14"/>
        <v>1</v>
      </c>
      <c r="N935" t="b">
        <f>COUNTBLANK(Metadata!B935:F935)=COLUMNS(Metadata!B935:F935)</f>
        <v>1</v>
      </c>
      <c r="O935" t="str">
        <v/>
      </c>
      <c r="Q935" t="b">
        <f ca="1"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R935" t="b">
        <f>IF(Metadata!C935="",FALSE,TRUE)</f>
        <v>0</v>
      </c>
      <c r="S935" t="b">
        <f>OR(AND(IF(Metadata!D935="",FALSE,TRUE),EXACT(Metadata!D935,"missing: not collected")),AND(IF(Metadata!D935="",FALSE,TRUE),OR(EXACT(Metadata!D935,"t"),EXACT(Metadata!D935,"f"))))</f>
        <v>0</v>
      </c>
      <c r="T935" t="b">
        <f>AND(IF(Metadata!E935="",FALSE,TRUE),OR(EXACT(Metadata!E935,"a"),EXACT(Metadata!E935,"b")))</f>
        <v>0</v>
      </c>
      <c r="U935" t="b">
        <f>OR(AND(IF(Metadata!F935="",FALSE,TRUE),OR(EXACT(Metadata!F935,"missing: not collected"),EXACT(Metadata!F935,"missing: not provided"))),AND(IF(Metadata!F935="",FALSE,TRUE),OR(EXACT(Metadata!F935,"lo"),EXACT(Metadata!F935,"med"),EXACT(Metadata!F935,"hi"))))</f>
        <v>0</v>
      </c>
    </row>
    <row r="936" spans="1:21" x14ac:dyDescent="0.2">
      <c r="A936" s="4" t="str">
        <f ca="1">IF(B936=" "," ",HYPERLINK(CONCATENATE("#metadata!",ADDRESS(INDEX($L$2:$L$1001,MATCH(ROWS($J$2:J936),$J$2:$J$1001,0),0),1)),INDEX($O$2:$O$1001,MATCH(ROWS($J$2:J936),$J$2:$J$1001,0),0)))</f>
        <v xml:space="preserve"> </v>
      </c>
      <c r="B936" s="3" t="str">
        <f ca="1">IF(OR(INDEX($K$2:$K$1001,MATCH(ROWS($J$2:J936),$J$2:$J$1001,0),1)&gt;=100000,INDEX($Q$1005:$U$1005,1,MATCH(COLUMNS($Q$1006:Q1006),$Q$1006:$U$1006,0))&gt;=100000), " ",IF(INDEX($Q$2:$U$1001,MATCH(ROWS($J$2:J936),$J$2:$J$1001,0),MATCH(COLUMNS($Q$1006:Q1006),$Q$1006:$U$1006,0)), HYPERLINK("#",""), HYPERLINK(CONCATENATE("#Metadata!", ADDRESS(INDEX($L$2:$L$1001,MATCH(ROWS($J$2:J936),$J$2:$J$1001,0),0), INDEX($Q$1004:$U$1004,1,MATCH(COLUMNS($Q$1006:Q1006),$Q$1006:$U$1006,0)))),"Fix")))</f>
        <v xml:space="preserve"> </v>
      </c>
      <c r="C936" s="3" t="str">
        <f ca="1">IF(OR(INDEX($K$2:$K$1001,MATCH(ROWS($J$2:J936),$J$2:$J$1001,0),1)&gt;=100000,INDEX($Q$1005:$U$1005,1,MATCH(COLUMNS($Q$1006:R1006),$Q$1006:$U$1006,0))&gt;=100000), " ",IF(INDEX($Q$2:$U$1001,MATCH(ROWS($J$2:J936),$J$2:$J$1001,0),MATCH(COLUMNS($Q$1006:R1006),$Q$1006:$U$1006,0)), HYPERLINK("#",""), HYPERLINK(CONCATENATE("#Metadata!", ADDRESS(INDEX($L$2:$L$1001,MATCH(ROWS($J$2:J936),$J$2:$J$1001,0),0), INDEX($Q$1004:$U$1004,1,MATCH(COLUMNS($Q$1006:R1006),$Q$1006:$U$1006,0)))),"Fix")))</f>
        <v xml:space="preserve"> </v>
      </c>
      <c r="D936" s="3" t="str">
        <f ca="1">IF(OR(INDEX($K$2:$K$1001,MATCH(ROWS($J$2:J936),$J$2:$J$1001,0),1)&gt;=100000,INDEX($Q$1005:$U$1005,1,MATCH(COLUMNS($Q$1006:S1006),$Q$1006:$U$1006,0))&gt;=100000), " ",IF(INDEX($Q$2:$U$1001,MATCH(ROWS($J$2:J936),$J$2:$J$1001,0),MATCH(COLUMNS($Q$1006:S1006),$Q$1006:$U$1006,0)), HYPERLINK("#",""), HYPERLINK(CONCATENATE("#Metadata!", ADDRESS(INDEX($L$2:$L$1001,MATCH(ROWS($J$2:J936),$J$2:$J$1001,0),0), INDEX($Q$1004:$U$1004,1,MATCH(COLUMNS($Q$1006:S1006),$Q$1006:$U$1006,0)))),"Fix")))</f>
        <v xml:space="preserve"> </v>
      </c>
      <c r="E936" s="3" t="str">
        <f ca="1">IF(OR(INDEX($K$2:$K$1001,MATCH(ROWS($J$2:J936),$J$2:$J$1001,0),1)&gt;=100000,INDEX($Q$1005:$U$1005,1,MATCH(COLUMNS($Q$1006:T1006),$Q$1006:$U$1006,0))&gt;=100000), " ",IF(INDEX($Q$2:$U$1001,MATCH(ROWS($J$2:J936),$J$2:$J$1001,0),MATCH(COLUMNS($Q$1006:T1006),$Q$1006:$U$1006,0)), HYPERLINK("#",""), HYPERLINK(CONCATENATE("#Metadata!", ADDRESS(INDEX($L$2:$L$1001,MATCH(ROWS($J$2:J936),$J$2:$J$1001,0),0), INDEX($Q$1004:$U$1004,1,MATCH(COLUMNS($Q$1006:T1006),$Q$1006:$U$1006,0)))),"Fix")))</f>
        <v xml:space="preserve"> </v>
      </c>
      <c r="F936" s="3" t="str">
        <f ca="1">IF(OR(INDEX($K$2:$K$1001,MATCH(ROWS($J$2:J936),$J$2:$J$1001,0),1)&gt;=100000,INDEX($Q$1005:$U$1005,1,MATCH(COLUMNS($Q$1006:U1006),$Q$1006:$U$1006,0))&gt;=100000), " ",IF(INDEX($Q$2:$U$1001,MATCH(ROWS($J$2:J936),$J$2:$J$1001,0),MATCH(COLUMNS($Q$1006:U1006),$Q$1006:$U$1006,0)), HYPERLINK("#",""), HYPERLINK(CONCATENATE("#Metadata!", ADDRESS(INDEX($L$2:$L$1001,MATCH(ROWS($J$2:J936),$J$2:$J$1001,0),0), INDEX($Q$1004:$U$1004,1,MATCH(COLUMNS($Q$1006:U1006),$Q$1006:$U$1006,0)))),"Fix")))</f>
        <v xml:space="preserve"> </v>
      </c>
      <c r="J936">
        <f ca="1"/>
        <v>935</v>
      </c>
      <c r="K936">
        <v>100936</v>
      </c>
      <c r="L936">
        <v>936</v>
      </c>
      <c r="M936" t="b">
        <f t="shared" si="14"/>
        <v>1</v>
      </c>
      <c r="N936" t="b">
        <f>COUNTBLANK(Metadata!B936:F936)=COLUMNS(Metadata!B936:F936)</f>
        <v>1</v>
      </c>
      <c r="O936" t="str">
        <v/>
      </c>
      <c r="Q936" t="b">
        <f ca="1"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R936" t="b">
        <f>IF(Metadata!C936="",FALSE,TRUE)</f>
        <v>0</v>
      </c>
      <c r="S936" t="b">
        <f>OR(AND(IF(Metadata!D936="",FALSE,TRUE),EXACT(Metadata!D936,"missing: not collected")),AND(IF(Metadata!D936="",FALSE,TRUE),OR(EXACT(Metadata!D936,"t"),EXACT(Metadata!D936,"f"))))</f>
        <v>0</v>
      </c>
      <c r="T936" t="b">
        <f>AND(IF(Metadata!E936="",FALSE,TRUE),OR(EXACT(Metadata!E936,"a"),EXACT(Metadata!E936,"b")))</f>
        <v>0</v>
      </c>
      <c r="U936" t="b">
        <f>OR(AND(IF(Metadata!F936="",FALSE,TRUE),OR(EXACT(Metadata!F936,"missing: not collected"),EXACT(Metadata!F936,"missing: not provided"))),AND(IF(Metadata!F936="",FALSE,TRUE),OR(EXACT(Metadata!F936,"lo"),EXACT(Metadata!F936,"med"),EXACT(Metadata!F936,"hi"))))</f>
        <v>0</v>
      </c>
    </row>
    <row r="937" spans="1:21" x14ac:dyDescent="0.2">
      <c r="A937" s="4" t="str">
        <f ca="1">IF(B937=" "," ",HYPERLINK(CONCATENATE("#metadata!",ADDRESS(INDEX($L$2:$L$1001,MATCH(ROWS($J$2:J937),$J$2:$J$1001,0),0),1)),INDEX($O$2:$O$1001,MATCH(ROWS($J$2:J937),$J$2:$J$1001,0),0)))</f>
        <v xml:space="preserve"> </v>
      </c>
      <c r="B937" s="3" t="str">
        <f ca="1">IF(OR(INDEX($K$2:$K$1001,MATCH(ROWS($J$2:J937),$J$2:$J$1001,0),1)&gt;=100000,INDEX($Q$1005:$U$1005,1,MATCH(COLUMNS($Q$1006:Q1006),$Q$1006:$U$1006,0))&gt;=100000), " ",IF(INDEX($Q$2:$U$1001,MATCH(ROWS($J$2:J937),$J$2:$J$1001,0),MATCH(COLUMNS($Q$1006:Q1006),$Q$1006:$U$1006,0)), HYPERLINK("#",""), HYPERLINK(CONCATENATE("#Metadata!", ADDRESS(INDEX($L$2:$L$1001,MATCH(ROWS($J$2:J937),$J$2:$J$1001,0),0), INDEX($Q$1004:$U$1004,1,MATCH(COLUMNS($Q$1006:Q1006),$Q$1006:$U$1006,0)))),"Fix")))</f>
        <v xml:space="preserve"> </v>
      </c>
      <c r="C937" s="3" t="str">
        <f ca="1">IF(OR(INDEX($K$2:$K$1001,MATCH(ROWS($J$2:J937),$J$2:$J$1001,0),1)&gt;=100000,INDEX($Q$1005:$U$1005,1,MATCH(COLUMNS($Q$1006:R1006),$Q$1006:$U$1006,0))&gt;=100000), " ",IF(INDEX($Q$2:$U$1001,MATCH(ROWS($J$2:J937),$J$2:$J$1001,0),MATCH(COLUMNS($Q$1006:R1006),$Q$1006:$U$1006,0)), HYPERLINK("#",""), HYPERLINK(CONCATENATE("#Metadata!", ADDRESS(INDEX($L$2:$L$1001,MATCH(ROWS($J$2:J937),$J$2:$J$1001,0),0), INDEX($Q$1004:$U$1004,1,MATCH(COLUMNS($Q$1006:R1006),$Q$1006:$U$1006,0)))),"Fix")))</f>
        <v xml:space="preserve"> </v>
      </c>
      <c r="D937" s="3" t="str">
        <f ca="1">IF(OR(INDEX($K$2:$K$1001,MATCH(ROWS($J$2:J937),$J$2:$J$1001,0),1)&gt;=100000,INDEX($Q$1005:$U$1005,1,MATCH(COLUMNS($Q$1006:S1006),$Q$1006:$U$1006,0))&gt;=100000), " ",IF(INDEX($Q$2:$U$1001,MATCH(ROWS($J$2:J937),$J$2:$J$1001,0),MATCH(COLUMNS($Q$1006:S1006),$Q$1006:$U$1006,0)), HYPERLINK("#",""), HYPERLINK(CONCATENATE("#Metadata!", ADDRESS(INDEX($L$2:$L$1001,MATCH(ROWS($J$2:J937),$J$2:$J$1001,0),0), INDEX($Q$1004:$U$1004,1,MATCH(COLUMNS($Q$1006:S1006),$Q$1006:$U$1006,0)))),"Fix")))</f>
        <v xml:space="preserve"> </v>
      </c>
      <c r="E937" s="3" t="str">
        <f ca="1">IF(OR(INDEX($K$2:$K$1001,MATCH(ROWS($J$2:J937),$J$2:$J$1001,0),1)&gt;=100000,INDEX($Q$1005:$U$1005,1,MATCH(COLUMNS($Q$1006:T1006),$Q$1006:$U$1006,0))&gt;=100000), " ",IF(INDEX($Q$2:$U$1001,MATCH(ROWS($J$2:J937),$J$2:$J$1001,0),MATCH(COLUMNS($Q$1006:T1006),$Q$1006:$U$1006,0)), HYPERLINK("#",""), HYPERLINK(CONCATENATE("#Metadata!", ADDRESS(INDEX($L$2:$L$1001,MATCH(ROWS($J$2:J937),$J$2:$J$1001,0),0), INDEX($Q$1004:$U$1004,1,MATCH(COLUMNS($Q$1006:T1006),$Q$1006:$U$1006,0)))),"Fix")))</f>
        <v xml:space="preserve"> </v>
      </c>
      <c r="F937" s="3" t="str">
        <f ca="1">IF(OR(INDEX($K$2:$K$1001,MATCH(ROWS($J$2:J937),$J$2:$J$1001,0),1)&gt;=100000,INDEX($Q$1005:$U$1005,1,MATCH(COLUMNS($Q$1006:U1006),$Q$1006:$U$1006,0))&gt;=100000), " ",IF(INDEX($Q$2:$U$1001,MATCH(ROWS($J$2:J937),$J$2:$J$1001,0),MATCH(COLUMNS($Q$1006:U1006),$Q$1006:$U$1006,0)), HYPERLINK("#",""), HYPERLINK(CONCATENATE("#Metadata!", ADDRESS(INDEX($L$2:$L$1001,MATCH(ROWS($J$2:J937),$J$2:$J$1001,0),0), INDEX($Q$1004:$U$1004,1,MATCH(COLUMNS($Q$1006:U1006),$Q$1006:$U$1006,0)))),"Fix")))</f>
        <v xml:space="preserve"> </v>
      </c>
      <c r="J937">
        <f ca="1"/>
        <v>936</v>
      </c>
      <c r="K937">
        <v>100937</v>
      </c>
      <c r="L937">
        <v>937</v>
      </c>
      <c r="M937" t="b">
        <f t="shared" si="14"/>
        <v>1</v>
      </c>
      <c r="N937" t="b">
        <f>COUNTBLANK(Metadata!B937:F937)=COLUMNS(Metadata!B937:F937)</f>
        <v>1</v>
      </c>
      <c r="O937" t="str">
        <v/>
      </c>
      <c r="Q937" t="b">
        <f ca="1"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R937" t="b">
        <f>IF(Metadata!C937="",FALSE,TRUE)</f>
        <v>0</v>
      </c>
      <c r="S937" t="b">
        <f>OR(AND(IF(Metadata!D937="",FALSE,TRUE),EXACT(Metadata!D937,"missing: not collected")),AND(IF(Metadata!D937="",FALSE,TRUE),OR(EXACT(Metadata!D937,"t"),EXACT(Metadata!D937,"f"))))</f>
        <v>0</v>
      </c>
      <c r="T937" t="b">
        <f>AND(IF(Metadata!E937="",FALSE,TRUE),OR(EXACT(Metadata!E937,"a"),EXACT(Metadata!E937,"b")))</f>
        <v>0</v>
      </c>
      <c r="U937" t="b">
        <f>OR(AND(IF(Metadata!F937="",FALSE,TRUE),OR(EXACT(Metadata!F937,"missing: not collected"),EXACT(Metadata!F937,"missing: not provided"))),AND(IF(Metadata!F937="",FALSE,TRUE),OR(EXACT(Metadata!F937,"lo"),EXACT(Metadata!F937,"med"),EXACT(Metadata!F937,"hi"))))</f>
        <v>0</v>
      </c>
    </row>
    <row r="938" spans="1:21" x14ac:dyDescent="0.2">
      <c r="A938" s="4" t="str">
        <f ca="1">IF(B938=" "," ",HYPERLINK(CONCATENATE("#metadata!",ADDRESS(INDEX($L$2:$L$1001,MATCH(ROWS($J$2:J938),$J$2:$J$1001,0),0),1)),INDEX($O$2:$O$1001,MATCH(ROWS($J$2:J938),$J$2:$J$1001,0),0)))</f>
        <v xml:space="preserve"> </v>
      </c>
      <c r="B938" s="3" t="str">
        <f ca="1">IF(OR(INDEX($K$2:$K$1001,MATCH(ROWS($J$2:J938),$J$2:$J$1001,0),1)&gt;=100000,INDEX($Q$1005:$U$1005,1,MATCH(COLUMNS($Q$1006:Q1006),$Q$1006:$U$1006,0))&gt;=100000), " ",IF(INDEX($Q$2:$U$1001,MATCH(ROWS($J$2:J938),$J$2:$J$1001,0),MATCH(COLUMNS($Q$1006:Q1006),$Q$1006:$U$1006,0)), HYPERLINK("#",""), HYPERLINK(CONCATENATE("#Metadata!", ADDRESS(INDEX($L$2:$L$1001,MATCH(ROWS($J$2:J938),$J$2:$J$1001,0),0), INDEX($Q$1004:$U$1004,1,MATCH(COLUMNS($Q$1006:Q1006),$Q$1006:$U$1006,0)))),"Fix")))</f>
        <v xml:space="preserve"> </v>
      </c>
      <c r="C938" s="3" t="str">
        <f ca="1">IF(OR(INDEX($K$2:$K$1001,MATCH(ROWS($J$2:J938),$J$2:$J$1001,0),1)&gt;=100000,INDEX($Q$1005:$U$1005,1,MATCH(COLUMNS($Q$1006:R1006),$Q$1006:$U$1006,0))&gt;=100000), " ",IF(INDEX($Q$2:$U$1001,MATCH(ROWS($J$2:J938),$J$2:$J$1001,0),MATCH(COLUMNS($Q$1006:R1006),$Q$1006:$U$1006,0)), HYPERLINK("#",""), HYPERLINK(CONCATENATE("#Metadata!", ADDRESS(INDEX($L$2:$L$1001,MATCH(ROWS($J$2:J938),$J$2:$J$1001,0),0), INDEX($Q$1004:$U$1004,1,MATCH(COLUMNS($Q$1006:R1006),$Q$1006:$U$1006,0)))),"Fix")))</f>
        <v xml:space="preserve"> </v>
      </c>
      <c r="D938" s="3" t="str">
        <f ca="1">IF(OR(INDEX($K$2:$K$1001,MATCH(ROWS($J$2:J938),$J$2:$J$1001,0),1)&gt;=100000,INDEX($Q$1005:$U$1005,1,MATCH(COLUMNS($Q$1006:S1006),$Q$1006:$U$1006,0))&gt;=100000), " ",IF(INDEX($Q$2:$U$1001,MATCH(ROWS($J$2:J938),$J$2:$J$1001,0),MATCH(COLUMNS($Q$1006:S1006),$Q$1006:$U$1006,0)), HYPERLINK("#",""), HYPERLINK(CONCATENATE("#Metadata!", ADDRESS(INDEX($L$2:$L$1001,MATCH(ROWS($J$2:J938),$J$2:$J$1001,0),0), INDEX($Q$1004:$U$1004,1,MATCH(COLUMNS($Q$1006:S1006),$Q$1006:$U$1006,0)))),"Fix")))</f>
        <v xml:space="preserve"> </v>
      </c>
      <c r="E938" s="3" t="str">
        <f ca="1">IF(OR(INDEX($K$2:$K$1001,MATCH(ROWS($J$2:J938),$J$2:$J$1001,0),1)&gt;=100000,INDEX($Q$1005:$U$1005,1,MATCH(COLUMNS($Q$1006:T1006),$Q$1006:$U$1006,0))&gt;=100000), " ",IF(INDEX($Q$2:$U$1001,MATCH(ROWS($J$2:J938),$J$2:$J$1001,0),MATCH(COLUMNS($Q$1006:T1006),$Q$1006:$U$1006,0)), HYPERLINK("#",""), HYPERLINK(CONCATENATE("#Metadata!", ADDRESS(INDEX($L$2:$L$1001,MATCH(ROWS($J$2:J938),$J$2:$J$1001,0),0), INDEX($Q$1004:$U$1004,1,MATCH(COLUMNS($Q$1006:T1006),$Q$1006:$U$1006,0)))),"Fix")))</f>
        <v xml:space="preserve"> </v>
      </c>
      <c r="F938" s="3" t="str">
        <f ca="1">IF(OR(INDEX($K$2:$K$1001,MATCH(ROWS($J$2:J938),$J$2:$J$1001,0),1)&gt;=100000,INDEX($Q$1005:$U$1005,1,MATCH(COLUMNS($Q$1006:U1006),$Q$1006:$U$1006,0))&gt;=100000), " ",IF(INDEX($Q$2:$U$1001,MATCH(ROWS($J$2:J938),$J$2:$J$1001,0),MATCH(COLUMNS($Q$1006:U1006),$Q$1006:$U$1006,0)), HYPERLINK("#",""), HYPERLINK(CONCATENATE("#Metadata!", ADDRESS(INDEX($L$2:$L$1001,MATCH(ROWS($J$2:J938),$J$2:$J$1001,0),0), INDEX($Q$1004:$U$1004,1,MATCH(COLUMNS($Q$1006:U1006),$Q$1006:$U$1006,0)))),"Fix")))</f>
        <v xml:space="preserve"> </v>
      </c>
      <c r="J938">
        <f ca="1"/>
        <v>937</v>
      </c>
      <c r="K938">
        <v>100938</v>
      </c>
      <c r="L938">
        <v>938</v>
      </c>
      <c r="M938" t="b">
        <f t="shared" si="14"/>
        <v>1</v>
      </c>
      <c r="N938" t="b">
        <f>COUNTBLANK(Metadata!B938:F938)=COLUMNS(Metadata!B938:F938)</f>
        <v>1</v>
      </c>
      <c r="O938" t="str">
        <v/>
      </c>
      <c r="Q938" t="b">
        <f ca="1"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R938" t="b">
        <f>IF(Metadata!C938="",FALSE,TRUE)</f>
        <v>0</v>
      </c>
      <c r="S938" t="b">
        <f>OR(AND(IF(Metadata!D938="",FALSE,TRUE),EXACT(Metadata!D938,"missing: not collected")),AND(IF(Metadata!D938="",FALSE,TRUE),OR(EXACT(Metadata!D938,"t"),EXACT(Metadata!D938,"f"))))</f>
        <v>0</v>
      </c>
      <c r="T938" t="b">
        <f>AND(IF(Metadata!E938="",FALSE,TRUE),OR(EXACT(Metadata!E938,"a"),EXACT(Metadata!E938,"b")))</f>
        <v>0</v>
      </c>
      <c r="U938" t="b">
        <f>OR(AND(IF(Metadata!F938="",FALSE,TRUE),OR(EXACT(Metadata!F938,"missing: not collected"),EXACT(Metadata!F938,"missing: not provided"))),AND(IF(Metadata!F938="",FALSE,TRUE),OR(EXACT(Metadata!F938,"lo"),EXACT(Metadata!F938,"med"),EXACT(Metadata!F938,"hi"))))</f>
        <v>0</v>
      </c>
    </row>
    <row r="939" spans="1:21" x14ac:dyDescent="0.2">
      <c r="A939" s="4" t="str">
        <f ca="1">IF(B939=" "," ",HYPERLINK(CONCATENATE("#metadata!",ADDRESS(INDEX($L$2:$L$1001,MATCH(ROWS($J$2:J939),$J$2:$J$1001,0),0),1)),INDEX($O$2:$O$1001,MATCH(ROWS($J$2:J939),$J$2:$J$1001,0),0)))</f>
        <v xml:space="preserve"> </v>
      </c>
      <c r="B939" s="3" t="str">
        <f ca="1">IF(OR(INDEX($K$2:$K$1001,MATCH(ROWS($J$2:J939),$J$2:$J$1001,0),1)&gt;=100000,INDEX($Q$1005:$U$1005,1,MATCH(COLUMNS($Q$1006:Q1006),$Q$1006:$U$1006,0))&gt;=100000), " ",IF(INDEX($Q$2:$U$1001,MATCH(ROWS($J$2:J939),$J$2:$J$1001,0),MATCH(COLUMNS($Q$1006:Q1006),$Q$1006:$U$1006,0)), HYPERLINK("#",""), HYPERLINK(CONCATENATE("#Metadata!", ADDRESS(INDEX($L$2:$L$1001,MATCH(ROWS($J$2:J939),$J$2:$J$1001,0),0), INDEX($Q$1004:$U$1004,1,MATCH(COLUMNS($Q$1006:Q1006),$Q$1006:$U$1006,0)))),"Fix")))</f>
        <v xml:space="preserve"> </v>
      </c>
      <c r="C939" s="3" t="str">
        <f ca="1">IF(OR(INDEX($K$2:$K$1001,MATCH(ROWS($J$2:J939),$J$2:$J$1001,0),1)&gt;=100000,INDEX($Q$1005:$U$1005,1,MATCH(COLUMNS($Q$1006:R1006),$Q$1006:$U$1006,0))&gt;=100000), " ",IF(INDEX($Q$2:$U$1001,MATCH(ROWS($J$2:J939),$J$2:$J$1001,0),MATCH(COLUMNS($Q$1006:R1006),$Q$1006:$U$1006,0)), HYPERLINK("#",""), HYPERLINK(CONCATENATE("#Metadata!", ADDRESS(INDEX($L$2:$L$1001,MATCH(ROWS($J$2:J939),$J$2:$J$1001,0),0), INDEX($Q$1004:$U$1004,1,MATCH(COLUMNS($Q$1006:R1006),$Q$1006:$U$1006,0)))),"Fix")))</f>
        <v xml:space="preserve"> </v>
      </c>
      <c r="D939" s="3" t="str">
        <f ca="1">IF(OR(INDEX($K$2:$K$1001,MATCH(ROWS($J$2:J939),$J$2:$J$1001,0),1)&gt;=100000,INDEX($Q$1005:$U$1005,1,MATCH(COLUMNS($Q$1006:S1006),$Q$1006:$U$1006,0))&gt;=100000), " ",IF(INDEX($Q$2:$U$1001,MATCH(ROWS($J$2:J939),$J$2:$J$1001,0),MATCH(COLUMNS($Q$1006:S1006),$Q$1006:$U$1006,0)), HYPERLINK("#",""), HYPERLINK(CONCATENATE("#Metadata!", ADDRESS(INDEX($L$2:$L$1001,MATCH(ROWS($J$2:J939),$J$2:$J$1001,0),0), INDEX($Q$1004:$U$1004,1,MATCH(COLUMNS($Q$1006:S1006),$Q$1006:$U$1006,0)))),"Fix")))</f>
        <v xml:space="preserve"> </v>
      </c>
      <c r="E939" s="3" t="str">
        <f ca="1">IF(OR(INDEX($K$2:$K$1001,MATCH(ROWS($J$2:J939),$J$2:$J$1001,0),1)&gt;=100000,INDEX($Q$1005:$U$1005,1,MATCH(COLUMNS($Q$1006:T1006),$Q$1006:$U$1006,0))&gt;=100000), " ",IF(INDEX($Q$2:$U$1001,MATCH(ROWS($J$2:J939),$J$2:$J$1001,0),MATCH(COLUMNS($Q$1006:T1006),$Q$1006:$U$1006,0)), HYPERLINK("#",""), HYPERLINK(CONCATENATE("#Metadata!", ADDRESS(INDEX($L$2:$L$1001,MATCH(ROWS($J$2:J939),$J$2:$J$1001,0),0), INDEX($Q$1004:$U$1004,1,MATCH(COLUMNS($Q$1006:T1006),$Q$1006:$U$1006,0)))),"Fix")))</f>
        <v xml:space="preserve"> </v>
      </c>
      <c r="F939" s="3" t="str">
        <f ca="1">IF(OR(INDEX($K$2:$K$1001,MATCH(ROWS($J$2:J939),$J$2:$J$1001,0),1)&gt;=100000,INDEX($Q$1005:$U$1005,1,MATCH(COLUMNS($Q$1006:U1006),$Q$1006:$U$1006,0))&gt;=100000), " ",IF(INDEX($Q$2:$U$1001,MATCH(ROWS($J$2:J939),$J$2:$J$1001,0),MATCH(COLUMNS($Q$1006:U1006),$Q$1006:$U$1006,0)), HYPERLINK("#",""), HYPERLINK(CONCATENATE("#Metadata!", ADDRESS(INDEX($L$2:$L$1001,MATCH(ROWS($J$2:J939),$J$2:$J$1001,0),0), INDEX($Q$1004:$U$1004,1,MATCH(COLUMNS($Q$1006:U1006),$Q$1006:$U$1006,0)))),"Fix")))</f>
        <v xml:space="preserve"> </v>
      </c>
      <c r="J939">
        <f ca="1"/>
        <v>938</v>
      </c>
      <c r="K939">
        <v>100939</v>
      </c>
      <c r="L939">
        <v>939</v>
      </c>
      <c r="M939" t="b">
        <f t="shared" si="14"/>
        <v>1</v>
      </c>
      <c r="N939" t="b">
        <f>COUNTBLANK(Metadata!B939:F939)=COLUMNS(Metadata!B939:F939)</f>
        <v>1</v>
      </c>
      <c r="O939" t="str">
        <v/>
      </c>
      <c r="Q939" t="b">
        <f ca="1"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R939" t="b">
        <f>IF(Metadata!C939="",FALSE,TRUE)</f>
        <v>0</v>
      </c>
      <c r="S939" t="b">
        <f>OR(AND(IF(Metadata!D939="",FALSE,TRUE),EXACT(Metadata!D939,"missing: not collected")),AND(IF(Metadata!D939="",FALSE,TRUE),OR(EXACT(Metadata!D939,"t"),EXACT(Metadata!D939,"f"))))</f>
        <v>0</v>
      </c>
      <c r="T939" t="b">
        <f>AND(IF(Metadata!E939="",FALSE,TRUE),OR(EXACT(Metadata!E939,"a"),EXACT(Metadata!E939,"b")))</f>
        <v>0</v>
      </c>
      <c r="U939" t="b">
        <f>OR(AND(IF(Metadata!F939="",FALSE,TRUE),OR(EXACT(Metadata!F939,"missing: not collected"),EXACT(Metadata!F939,"missing: not provided"))),AND(IF(Metadata!F939="",FALSE,TRUE),OR(EXACT(Metadata!F939,"lo"),EXACT(Metadata!F939,"med"),EXACT(Metadata!F939,"hi"))))</f>
        <v>0</v>
      </c>
    </row>
    <row r="940" spans="1:21" x14ac:dyDescent="0.2">
      <c r="A940" s="4" t="str">
        <f ca="1">IF(B940=" "," ",HYPERLINK(CONCATENATE("#metadata!",ADDRESS(INDEX($L$2:$L$1001,MATCH(ROWS($J$2:J940),$J$2:$J$1001,0),0),1)),INDEX($O$2:$O$1001,MATCH(ROWS($J$2:J940),$J$2:$J$1001,0),0)))</f>
        <v xml:space="preserve"> </v>
      </c>
      <c r="B940" s="3" t="str">
        <f ca="1">IF(OR(INDEX($K$2:$K$1001,MATCH(ROWS($J$2:J940),$J$2:$J$1001,0),1)&gt;=100000,INDEX($Q$1005:$U$1005,1,MATCH(COLUMNS($Q$1006:Q1006),$Q$1006:$U$1006,0))&gt;=100000), " ",IF(INDEX($Q$2:$U$1001,MATCH(ROWS($J$2:J940),$J$2:$J$1001,0),MATCH(COLUMNS($Q$1006:Q1006),$Q$1006:$U$1006,0)), HYPERLINK("#",""), HYPERLINK(CONCATENATE("#Metadata!", ADDRESS(INDEX($L$2:$L$1001,MATCH(ROWS($J$2:J940),$J$2:$J$1001,0),0), INDEX($Q$1004:$U$1004,1,MATCH(COLUMNS($Q$1006:Q1006),$Q$1006:$U$1006,0)))),"Fix")))</f>
        <v xml:space="preserve"> </v>
      </c>
      <c r="C940" s="3" t="str">
        <f ca="1">IF(OR(INDEX($K$2:$K$1001,MATCH(ROWS($J$2:J940),$J$2:$J$1001,0),1)&gt;=100000,INDEX($Q$1005:$U$1005,1,MATCH(COLUMNS($Q$1006:R1006),$Q$1006:$U$1006,0))&gt;=100000), " ",IF(INDEX($Q$2:$U$1001,MATCH(ROWS($J$2:J940),$J$2:$J$1001,0),MATCH(COLUMNS($Q$1006:R1006),$Q$1006:$U$1006,0)), HYPERLINK("#",""), HYPERLINK(CONCATENATE("#Metadata!", ADDRESS(INDEX($L$2:$L$1001,MATCH(ROWS($J$2:J940),$J$2:$J$1001,0),0), INDEX($Q$1004:$U$1004,1,MATCH(COLUMNS($Q$1006:R1006),$Q$1006:$U$1006,0)))),"Fix")))</f>
        <v xml:space="preserve"> </v>
      </c>
      <c r="D940" s="3" t="str">
        <f ca="1">IF(OR(INDEX($K$2:$K$1001,MATCH(ROWS($J$2:J940),$J$2:$J$1001,0),1)&gt;=100000,INDEX($Q$1005:$U$1005,1,MATCH(COLUMNS($Q$1006:S1006),$Q$1006:$U$1006,0))&gt;=100000), " ",IF(INDEX($Q$2:$U$1001,MATCH(ROWS($J$2:J940),$J$2:$J$1001,0),MATCH(COLUMNS($Q$1006:S1006),$Q$1006:$U$1006,0)), HYPERLINK("#",""), HYPERLINK(CONCATENATE("#Metadata!", ADDRESS(INDEX($L$2:$L$1001,MATCH(ROWS($J$2:J940),$J$2:$J$1001,0),0), INDEX($Q$1004:$U$1004,1,MATCH(COLUMNS($Q$1006:S1006),$Q$1006:$U$1006,0)))),"Fix")))</f>
        <v xml:space="preserve"> </v>
      </c>
      <c r="E940" s="3" t="str">
        <f ca="1">IF(OR(INDEX($K$2:$K$1001,MATCH(ROWS($J$2:J940),$J$2:$J$1001,0),1)&gt;=100000,INDEX($Q$1005:$U$1005,1,MATCH(COLUMNS($Q$1006:T1006),$Q$1006:$U$1006,0))&gt;=100000), " ",IF(INDEX($Q$2:$U$1001,MATCH(ROWS($J$2:J940),$J$2:$J$1001,0),MATCH(COLUMNS($Q$1006:T1006),$Q$1006:$U$1006,0)), HYPERLINK("#",""), HYPERLINK(CONCATENATE("#Metadata!", ADDRESS(INDEX($L$2:$L$1001,MATCH(ROWS($J$2:J940),$J$2:$J$1001,0),0), INDEX($Q$1004:$U$1004,1,MATCH(COLUMNS($Q$1006:T1006),$Q$1006:$U$1006,0)))),"Fix")))</f>
        <v xml:space="preserve"> </v>
      </c>
      <c r="F940" s="3" t="str">
        <f ca="1">IF(OR(INDEX($K$2:$K$1001,MATCH(ROWS($J$2:J940),$J$2:$J$1001,0),1)&gt;=100000,INDEX($Q$1005:$U$1005,1,MATCH(COLUMNS($Q$1006:U1006),$Q$1006:$U$1006,0))&gt;=100000), " ",IF(INDEX($Q$2:$U$1001,MATCH(ROWS($J$2:J940),$J$2:$J$1001,0),MATCH(COLUMNS($Q$1006:U1006),$Q$1006:$U$1006,0)), HYPERLINK("#",""), HYPERLINK(CONCATENATE("#Metadata!", ADDRESS(INDEX($L$2:$L$1001,MATCH(ROWS($J$2:J940),$J$2:$J$1001,0),0), INDEX($Q$1004:$U$1004,1,MATCH(COLUMNS($Q$1006:U1006),$Q$1006:$U$1006,0)))),"Fix")))</f>
        <v xml:space="preserve"> </v>
      </c>
      <c r="J940">
        <f ca="1"/>
        <v>939</v>
      </c>
      <c r="K940">
        <v>100940</v>
      </c>
      <c r="L940">
        <v>940</v>
      </c>
      <c r="M940" t="b">
        <f t="shared" si="14"/>
        <v>1</v>
      </c>
      <c r="N940" t="b">
        <f>COUNTBLANK(Metadata!B940:F940)=COLUMNS(Metadata!B940:F940)</f>
        <v>1</v>
      </c>
      <c r="O940" t="str">
        <v/>
      </c>
      <c r="Q940" t="b">
        <f ca="1"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R940" t="b">
        <f>IF(Metadata!C940="",FALSE,TRUE)</f>
        <v>0</v>
      </c>
      <c r="S940" t="b">
        <f>OR(AND(IF(Metadata!D940="",FALSE,TRUE),EXACT(Metadata!D940,"missing: not collected")),AND(IF(Metadata!D940="",FALSE,TRUE),OR(EXACT(Metadata!D940,"t"),EXACT(Metadata!D940,"f"))))</f>
        <v>0</v>
      </c>
      <c r="T940" t="b">
        <f>AND(IF(Metadata!E940="",FALSE,TRUE),OR(EXACT(Metadata!E940,"a"),EXACT(Metadata!E940,"b")))</f>
        <v>0</v>
      </c>
      <c r="U940" t="b">
        <f>OR(AND(IF(Metadata!F940="",FALSE,TRUE),OR(EXACT(Metadata!F940,"missing: not collected"),EXACT(Metadata!F940,"missing: not provided"))),AND(IF(Metadata!F940="",FALSE,TRUE),OR(EXACT(Metadata!F940,"lo"),EXACT(Metadata!F940,"med"),EXACT(Metadata!F940,"hi"))))</f>
        <v>0</v>
      </c>
    </row>
    <row r="941" spans="1:21" x14ac:dyDescent="0.2">
      <c r="A941" s="4" t="str">
        <f ca="1">IF(B941=" "," ",HYPERLINK(CONCATENATE("#metadata!",ADDRESS(INDEX($L$2:$L$1001,MATCH(ROWS($J$2:J941),$J$2:$J$1001,0),0),1)),INDEX($O$2:$O$1001,MATCH(ROWS($J$2:J941),$J$2:$J$1001,0),0)))</f>
        <v xml:space="preserve"> </v>
      </c>
      <c r="B941" s="3" t="str">
        <f ca="1">IF(OR(INDEX($K$2:$K$1001,MATCH(ROWS($J$2:J941),$J$2:$J$1001,0),1)&gt;=100000,INDEX($Q$1005:$U$1005,1,MATCH(COLUMNS($Q$1006:Q1006),$Q$1006:$U$1006,0))&gt;=100000), " ",IF(INDEX($Q$2:$U$1001,MATCH(ROWS($J$2:J941),$J$2:$J$1001,0),MATCH(COLUMNS($Q$1006:Q1006),$Q$1006:$U$1006,0)), HYPERLINK("#",""), HYPERLINK(CONCATENATE("#Metadata!", ADDRESS(INDEX($L$2:$L$1001,MATCH(ROWS($J$2:J941),$J$2:$J$1001,0),0), INDEX($Q$1004:$U$1004,1,MATCH(COLUMNS($Q$1006:Q1006),$Q$1006:$U$1006,0)))),"Fix")))</f>
        <v xml:space="preserve"> </v>
      </c>
      <c r="C941" s="3" t="str">
        <f ca="1">IF(OR(INDEX($K$2:$K$1001,MATCH(ROWS($J$2:J941),$J$2:$J$1001,0),1)&gt;=100000,INDEX($Q$1005:$U$1005,1,MATCH(COLUMNS($Q$1006:R1006),$Q$1006:$U$1006,0))&gt;=100000), " ",IF(INDEX($Q$2:$U$1001,MATCH(ROWS($J$2:J941),$J$2:$J$1001,0),MATCH(COLUMNS($Q$1006:R1006),$Q$1006:$U$1006,0)), HYPERLINK("#",""), HYPERLINK(CONCATENATE("#Metadata!", ADDRESS(INDEX($L$2:$L$1001,MATCH(ROWS($J$2:J941),$J$2:$J$1001,0),0), INDEX($Q$1004:$U$1004,1,MATCH(COLUMNS($Q$1006:R1006),$Q$1006:$U$1006,0)))),"Fix")))</f>
        <v xml:space="preserve"> </v>
      </c>
      <c r="D941" s="3" t="str">
        <f ca="1">IF(OR(INDEX($K$2:$K$1001,MATCH(ROWS($J$2:J941),$J$2:$J$1001,0),1)&gt;=100000,INDEX($Q$1005:$U$1005,1,MATCH(COLUMNS($Q$1006:S1006),$Q$1006:$U$1006,0))&gt;=100000), " ",IF(INDEX($Q$2:$U$1001,MATCH(ROWS($J$2:J941),$J$2:$J$1001,0),MATCH(COLUMNS($Q$1006:S1006),$Q$1006:$U$1006,0)), HYPERLINK("#",""), HYPERLINK(CONCATENATE("#Metadata!", ADDRESS(INDEX($L$2:$L$1001,MATCH(ROWS($J$2:J941),$J$2:$J$1001,0),0), INDEX($Q$1004:$U$1004,1,MATCH(COLUMNS($Q$1006:S1006),$Q$1006:$U$1006,0)))),"Fix")))</f>
        <v xml:space="preserve"> </v>
      </c>
      <c r="E941" s="3" t="str">
        <f ca="1">IF(OR(INDEX($K$2:$K$1001,MATCH(ROWS($J$2:J941),$J$2:$J$1001,0),1)&gt;=100000,INDEX($Q$1005:$U$1005,1,MATCH(COLUMNS($Q$1006:T1006),$Q$1006:$U$1006,0))&gt;=100000), " ",IF(INDEX($Q$2:$U$1001,MATCH(ROWS($J$2:J941),$J$2:$J$1001,0),MATCH(COLUMNS($Q$1006:T1006),$Q$1006:$U$1006,0)), HYPERLINK("#",""), HYPERLINK(CONCATENATE("#Metadata!", ADDRESS(INDEX($L$2:$L$1001,MATCH(ROWS($J$2:J941),$J$2:$J$1001,0),0), INDEX($Q$1004:$U$1004,1,MATCH(COLUMNS($Q$1006:T1006),$Q$1006:$U$1006,0)))),"Fix")))</f>
        <v xml:space="preserve"> </v>
      </c>
      <c r="F941" s="3" t="str">
        <f ca="1">IF(OR(INDEX($K$2:$K$1001,MATCH(ROWS($J$2:J941),$J$2:$J$1001,0),1)&gt;=100000,INDEX($Q$1005:$U$1005,1,MATCH(COLUMNS($Q$1006:U1006),$Q$1006:$U$1006,0))&gt;=100000), " ",IF(INDEX($Q$2:$U$1001,MATCH(ROWS($J$2:J941),$J$2:$J$1001,0),MATCH(COLUMNS($Q$1006:U1006),$Q$1006:$U$1006,0)), HYPERLINK("#",""), HYPERLINK(CONCATENATE("#Metadata!", ADDRESS(INDEX($L$2:$L$1001,MATCH(ROWS($J$2:J941),$J$2:$J$1001,0),0), INDEX($Q$1004:$U$1004,1,MATCH(COLUMNS($Q$1006:U1006),$Q$1006:$U$1006,0)))),"Fix")))</f>
        <v xml:space="preserve"> </v>
      </c>
      <c r="J941">
        <f ca="1"/>
        <v>940</v>
      </c>
      <c r="K941">
        <v>100941</v>
      </c>
      <c r="L941">
        <v>941</v>
      </c>
      <c r="M941" t="b">
        <f t="shared" si="14"/>
        <v>1</v>
      </c>
      <c r="N941" t="b">
        <f>COUNTBLANK(Metadata!B941:F941)=COLUMNS(Metadata!B941:F941)</f>
        <v>1</v>
      </c>
      <c r="O941" t="str">
        <v/>
      </c>
      <c r="Q941" t="b">
        <f ca="1"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R941" t="b">
        <f>IF(Metadata!C941="",FALSE,TRUE)</f>
        <v>0</v>
      </c>
      <c r="S941" t="b">
        <f>OR(AND(IF(Metadata!D941="",FALSE,TRUE),EXACT(Metadata!D941,"missing: not collected")),AND(IF(Metadata!D941="",FALSE,TRUE),OR(EXACT(Metadata!D941,"t"),EXACT(Metadata!D941,"f"))))</f>
        <v>0</v>
      </c>
      <c r="T941" t="b">
        <f>AND(IF(Metadata!E941="",FALSE,TRUE),OR(EXACT(Metadata!E941,"a"),EXACT(Metadata!E941,"b")))</f>
        <v>0</v>
      </c>
      <c r="U941" t="b">
        <f>OR(AND(IF(Metadata!F941="",FALSE,TRUE),OR(EXACT(Metadata!F941,"missing: not collected"),EXACT(Metadata!F941,"missing: not provided"))),AND(IF(Metadata!F941="",FALSE,TRUE),OR(EXACT(Metadata!F941,"lo"),EXACT(Metadata!F941,"med"),EXACT(Metadata!F941,"hi"))))</f>
        <v>0</v>
      </c>
    </row>
    <row r="942" spans="1:21" x14ac:dyDescent="0.2">
      <c r="A942" s="4" t="str">
        <f ca="1">IF(B942=" "," ",HYPERLINK(CONCATENATE("#metadata!",ADDRESS(INDEX($L$2:$L$1001,MATCH(ROWS($J$2:J942),$J$2:$J$1001,0),0),1)),INDEX($O$2:$O$1001,MATCH(ROWS($J$2:J942),$J$2:$J$1001,0),0)))</f>
        <v xml:space="preserve"> </v>
      </c>
      <c r="B942" s="3" t="str">
        <f ca="1">IF(OR(INDEX($K$2:$K$1001,MATCH(ROWS($J$2:J942),$J$2:$J$1001,0),1)&gt;=100000,INDEX($Q$1005:$U$1005,1,MATCH(COLUMNS($Q$1006:Q1006),$Q$1006:$U$1006,0))&gt;=100000), " ",IF(INDEX($Q$2:$U$1001,MATCH(ROWS($J$2:J942),$J$2:$J$1001,0),MATCH(COLUMNS($Q$1006:Q1006),$Q$1006:$U$1006,0)), HYPERLINK("#",""), HYPERLINK(CONCATENATE("#Metadata!", ADDRESS(INDEX($L$2:$L$1001,MATCH(ROWS($J$2:J942),$J$2:$J$1001,0),0), INDEX($Q$1004:$U$1004,1,MATCH(COLUMNS($Q$1006:Q1006),$Q$1006:$U$1006,0)))),"Fix")))</f>
        <v xml:space="preserve"> </v>
      </c>
      <c r="C942" s="3" t="str">
        <f ca="1">IF(OR(INDEX($K$2:$K$1001,MATCH(ROWS($J$2:J942),$J$2:$J$1001,0),1)&gt;=100000,INDEX($Q$1005:$U$1005,1,MATCH(COLUMNS($Q$1006:R1006),$Q$1006:$U$1006,0))&gt;=100000), " ",IF(INDEX($Q$2:$U$1001,MATCH(ROWS($J$2:J942),$J$2:$J$1001,0),MATCH(COLUMNS($Q$1006:R1006),$Q$1006:$U$1006,0)), HYPERLINK("#",""), HYPERLINK(CONCATENATE("#Metadata!", ADDRESS(INDEX($L$2:$L$1001,MATCH(ROWS($J$2:J942),$J$2:$J$1001,0),0), INDEX($Q$1004:$U$1004,1,MATCH(COLUMNS($Q$1006:R1006),$Q$1006:$U$1006,0)))),"Fix")))</f>
        <v xml:space="preserve"> </v>
      </c>
      <c r="D942" s="3" t="str">
        <f ca="1">IF(OR(INDEX($K$2:$K$1001,MATCH(ROWS($J$2:J942),$J$2:$J$1001,0),1)&gt;=100000,INDEX($Q$1005:$U$1005,1,MATCH(COLUMNS($Q$1006:S1006),$Q$1006:$U$1006,0))&gt;=100000), " ",IF(INDEX($Q$2:$U$1001,MATCH(ROWS($J$2:J942),$J$2:$J$1001,0),MATCH(COLUMNS($Q$1006:S1006),$Q$1006:$U$1006,0)), HYPERLINK("#",""), HYPERLINK(CONCATENATE("#Metadata!", ADDRESS(INDEX($L$2:$L$1001,MATCH(ROWS($J$2:J942),$J$2:$J$1001,0),0), INDEX($Q$1004:$U$1004,1,MATCH(COLUMNS($Q$1006:S1006),$Q$1006:$U$1006,0)))),"Fix")))</f>
        <v xml:space="preserve"> </v>
      </c>
      <c r="E942" s="3" t="str">
        <f ca="1">IF(OR(INDEX($K$2:$K$1001,MATCH(ROWS($J$2:J942),$J$2:$J$1001,0),1)&gt;=100000,INDEX($Q$1005:$U$1005,1,MATCH(COLUMNS($Q$1006:T1006),$Q$1006:$U$1006,0))&gt;=100000), " ",IF(INDEX($Q$2:$U$1001,MATCH(ROWS($J$2:J942),$J$2:$J$1001,0),MATCH(COLUMNS($Q$1006:T1006),$Q$1006:$U$1006,0)), HYPERLINK("#",""), HYPERLINK(CONCATENATE("#Metadata!", ADDRESS(INDEX($L$2:$L$1001,MATCH(ROWS($J$2:J942),$J$2:$J$1001,0),0), INDEX($Q$1004:$U$1004,1,MATCH(COLUMNS($Q$1006:T1006),$Q$1006:$U$1006,0)))),"Fix")))</f>
        <v xml:space="preserve"> </v>
      </c>
      <c r="F942" s="3" t="str">
        <f ca="1">IF(OR(INDEX($K$2:$K$1001,MATCH(ROWS($J$2:J942),$J$2:$J$1001,0),1)&gt;=100000,INDEX($Q$1005:$U$1005,1,MATCH(COLUMNS($Q$1006:U1006),$Q$1006:$U$1006,0))&gt;=100000), " ",IF(INDEX($Q$2:$U$1001,MATCH(ROWS($J$2:J942),$J$2:$J$1001,0),MATCH(COLUMNS($Q$1006:U1006),$Q$1006:$U$1006,0)), HYPERLINK("#",""), HYPERLINK(CONCATENATE("#Metadata!", ADDRESS(INDEX($L$2:$L$1001,MATCH(ROWS($J$2:J942),$J$2:$J$1001,0),0), INDEX($Q$1004:$U$1004,1,MATCH(COLUMNS($Q$1006:U1006),$Q$1006:$U$1006,0)))),"Fix")))</f>
        <v xml:space="preserve"> </v>
      </c>
      <c r="J942">
        <f ca="1"/>
        <v>941</v>
      </c>
      <c r="K942">
        <v>100942</v>
      </c>
      <c r="L942">
        <v>942</v>
      </c>
      <c r="M942" t="b">
        <f t="shared" si="14"/>
        <v>1</v>
      </c>
      <c r="N942" t="b">
        <f>COUNTBLANK(Metadata!B942:F942)=COLUMNS(Metadata!B942:F942)</f>
        <v>1</v>
      </c>
      <c r="O942" t="str">
        <v/>
      </c>
      <c r="Q942" t="b">
        <f ca="1"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R942" t="b">
        <f>IF(Metadata!C942="",FALSE,TRUE)</f>
        <v>0</v>
      </c>
      <c r="S942" t="b">
        <f>OR(AND(IF(Metadata!D942="",FALSE,TRUE),EXACT(Metadata!D942,"missing: not collected")),AND(IF(Metadata!D942="",FALSE,TRUE),OR(EXACT(Metadata!D942,"t"),EXACT(Metadata!D942,"f"))))</f>
        <v>0</v>
      </c>
      <c r="T942" t="b">
        <f>AND(IF(Metadata!E942="",FALSE,TRUE),OR(EXACT(Metadata!E942,"a"),EXACT(Metadata!E942,"b")))</f>
        <v>0</v>
      </c>
      <c r="U942" t="b">
        <f>OR(AND(IF(Metadata!F942="",FALSE,TRUE),OR(EXACT(Metadata!F942,"missing: not collected"),EXACT(Metadata!F942,"missing: not provided"))),AND(IF(Metadata!F942="",FALSE,TRUE),OR(EXACT(Metadata!F942,"lo"),EXACT(Metadata!F942,"med"),EXACT(Metadata!F942,"hi"))))</f>
        <v>0</v>
      </c>
    </row>
    <row r="943" spans="1:21" x14ac:dyDescent="0.2">
      <c r="A943" s="4" t="str">
        <f ca="1">IF(B943=" "," ",HYPERLINK(CONCATENATE("#metadata!",ADDRESS(INDEX($L$2:$L$1001,MATCH(ROWS($J$2:J943),$J$2:$J$1001,0),0),1)),INDEX($O$2:$O$1001,MATCH(ROWS($J$2:J943),$J$2:$J$1001,0),0)))</f>
        <v xml:space="preserve"> </v>
      </c>
      <c r="B943" s="3" t="str">
        <f ca="1">IF(OR(INDEX($K$2:$K$1001,MATCH(ROWS($J$2:J943),$J$2:$J$1001,0),1)&gt;=100000,INDEX($Q$1005:$U$1005,1,MATCH(COLUMNS($Q$1006:Q1006),$Q$1006:$U$1006,0))&gt;=100000), " ",IF(INDEX($Q$2:$U$1001,MATCH(ROWS($J$2:J943),$J$2:$J$1001,0),MATCH(COLUMNS($Q$1006:Q1006),$Q$1006:$U$1006,0)), HYPERLINK("#",""), HYPERLINK(CONCATENATE("#Metadata!", ADDRESS(INDEX($L$2:$L$1001,MATCH(ROWS($J$2:J943),$J$2:$J$1001,0),0), INDEX($Q$1004:$U$1004,1,MATCH(COLUMNS($Q$1006:Q1006),$Q$1006:$U$1006,0)))),"Fix")))</f>
        <v xml:space="preserve"> </v>
      </c>
      <c r="C943" s="3" t="str">
        <f ca="1">IF(OR(INDEX($K$2:$K$1001,MATCH(ROWS($J$2:J943),$J$2:$J$1001,0),1)&gt;=100000,INDEX($Q$1005:$U$1005,1,MATCH(COLUMNS($Q$1006:R1006),$Q$1006:$U$1006,0))&gt;=100000), " ",IF(INDEX($Q$2:$U$1001,MATCH(ROWS($J$2:J943),$J$2:$J$1001,0),MATCH(COLUMNS($Q$1006:R1006),$Q$1006:$U$1006,0)), HYPERLINK("#",""), HYPERLINK(CONCATENATE("#Metadata!", ADDRESS(INDEX($L$2:$L$1001,MATCH(ROWS($J$2:J943),$J$2:$J$1001,0),0), INDEX($Q$1004:$U$1004,1,MATCH(COLUMNS($Q$1006:R1006),$Q$1006:$U$1006,0)))),"Fix")))</f>
        <v xml:space="preserve"> </v>
      </c>
      <c r="D943" s="3" t="str">
        <f ca="1">IF(OR(INDEX($K$2:$K$1001,MATCH(ROWS($J$2:J943),$J$2:$J$1001,0),1)&gt;=100000,INDEX($Q$1005:$U$1005,1,MATCH(COLUMNS($Q$1006:S1006),$Q$1006:$U$1006,0))&gt;=100000), " ",IF(INDEX($Q$2:$U$1001,MATCH(ROWS($J$2:J943),$J$2:$J$1001,0),MATCH(COLUMNS($Q$1006:S1006),$Q$1006:$U$1006,0)), HYPERLINK("#",""), HYPERLINK(CONCATENATE("#Metadata!", ADDRESS(INDEX($L$2:$L$1001,MATCH(ROWS($J$2:J943),$J$2:$J$1001,0),0), INDEX($Q$1004:$U$1004,1,MATCH(COLUMNS($Q$1006:S1006),$Q$1006:$U$1006,0)))),"Fix")))</f>
        <v xml:space="preserve"> </v>
      </c>
      <c r="E943" s="3" t="str">
        <f ca="1">IF(OR(INDEX($K$2:$K$1001,MATCH(ROWS($J$2:J943),$J$2:$J$1001,0),1)&gt;=100000,INDEX($Q$1005:$U$1005,1,MATCH(COLUMNS($Q$1006:T1006),$Q$1006:$U$1006,0))&gt;=100000), " ",IF(INDEX($Q$2:$U$1001,MATCH(ROWS($J$2:J943),$J$2:$J$1001,0),MATCH(COLUMNS($Q$1006:T1006),$Q$1006:$U$1006,0)), HYPERLINK("#",""), HYPERLINK(CONCATENATE("#Metadata!", ADDRESS(INDEX($L$2:$L$1001,MATCH(ROWS($J$2:J943),$J$2:$J$1001,0),0), INDEX($Q$1004:$U$1004,1,MATCH(COLUMNS($Q$1006:T1006),$Q$1006:$U$1006,0)))),"Fix")))</f>
        <v xml:space="preserve"> </v>
      </c>
      <c r="F943" s="3" t="str">
        <f ca="1">IF(OR(INDEX($K$2:$K$1001,MATCH(ROWS($J$2:J943),$J$2:$J$1001,0),1)&gt;=100000,INDEX($Q$1005:$U$1005,1,MATCH(COLUMNS($Q$1006:U1006),$Q$1006:$U$1006,0))&gt;=100000), " ",IF(INDEX($Q$2:$U$1001,MATCH(ROWS($J$2:J943),$J$2:$J$1001,0),MATCH(COLUMNS($Q$1006:U1006),$Q$1006:$U$1006,0)), HYPERLINK("#",""), HYPERLINK(CONCATENATE("#Metadata!", ADDRESS(INDEX($L$2:$L$1001,MATCH(ROWS($J$2:J943),$J$2:$J$1001,0),0), INDEX($Q$1004:$U$1004,1,MATCH(COLUMNS($Q$1006:U1006),$Q$1006:$U$1006,0)))),"Fix")))</f>
        <v xml:space="preserve"> </v>
      </c>
      <c r="J943">
        <f ca="1"/>
        <v>942</v>
      </c>
      <c r="K943">
        <v>100943</v>
      </c>
      <c r="L943">
        <v>943</v>
      </c>
      <c r="M943" t="b">
        <f t="shared" si="14"/>
        <v>1</v>
      </c>
      <c r="N943" t="b">
        <f>COUNTBLANK(Metadata!B943:F943)=COLUMNS(Metadata!B943:F943)</f>
        <v>1</v>
      </c>
      <c r="O943" t="str">
        <v/>
      </c>
      <c r="Q943" t="b">
        <f ca="1"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R943" t="b">
        <f>IF(Metadata!C943="",FALSE,TRUE)</f>
        <v>0</v>
      </c>
      <c r="S943" t="b">
        <f>OR(AND(IF(Metadata!D943="",FALSE,TRUE),EXACT(Metadata!D943,"missing: not collected")),AND(IF(Metadata!D943="",FALSE,TRUE),OR(EXACT(Metadata!D943,"t"),EXACT(Metadata!D943,"f"))))</f>
        <v>0</v>
      </c>
      <c r="T943" t="b">
        <f>AND(IF(Metadata!E943="",FALSE,TRUE),OR(EXACT(Metadata!E943,"a"),EXACT(Metadata!E943,"b")))</f>
        <v>0</v>
      </c>
      <c r="U943" t="b">
        <f>OR(AND(IF(Metadata!F943="",FALSE,TRUE),OR(EXACT(Metadata!F943,"missing: not collected"),EXACT(Metadata!F943,"missing: not provided"))),AND(IF(Metadata!F943="",FALSE,TRUE),OR(EXACT(Metadata!F943,"lo"),EXACT(Metadata!F943,"med"),EXACT(Metadata!F943,"hi"))))</f>
        <v>0</v>
      </c>
    </row>
    <row r="944" spans="1:21" x14ac:dyDescent="0.2">
      <c r="A944" s="4" t="str">
        <f ca="1">IF(B944=" "," ",HYPERLINK(CONCATENATE("#metadata!",ADDRESS(INDEX($L$2:$L$1001,MATCH(ROWS($J$2:J944),$J$2:$J$1001,0),0),1)),INDEX($O$2:$O$1001,MATCH(ROWS($J$2:J944),$J$2:$J$1001,0),0)))</f>
        <v xml:space="preserve"> </v>
      </c>
      <c r="B944" s="3" t="str">
        <f ca="1">IF(OR(INDEX($K$2:$K$1001,MATCH(ROWS($J$2:J944),$J$2:$J$1001,0),1)&gt;=100000,INDEX($Q$1005:$U$1005,1,MATCH(COLUMNS($Q$1006:Q1006),$Q$1006:$U$1006,0))&gt;=100000), " ",IF(INDEX($Q$2:$U$1001,MATCH(ROWS($J$2:J944),$J$2:$J$1001,0),MATCH(COLUMNS($Q$1006:Q1006),$Q$1006:$U$1006,0)), HYPERLINK("#",""), HYPERLINK(CONCATENATE("#Metadata!", ADDRESS(INDEX($L$2:$L$1001,MATCH(ROWS($J$2:J944),$J$2:$J$1001,0),0), INDEX($Q$1004:$U$1004,1,MATCH(COLUMNS($Q$1006:Q1006),$Q$1006:$U$1006,0)))),"Fix")))</f>
        <v xml:space="preserve"> </v>
      </c>
      <c r="C944" s="3" t="str">
        <f ca="1">IF(OR(INDEX($K$2:$K$1001,MATCH(ROWS($J$2:J944),$J$2:$J$1001,0),1)&gt;=100000,INDEX($Q$1005:$U$1005,1,MATCH(COLUMNS($Q$1006:R1006),$Q$1006:$U$1006,0))&gt;=100000), " ",IF(INDEX($Q$2:$U$1001,MATCH(ROWS($J$2:J944),$J$2:$J$1001,0),MATCH(COLUMNS($Q$1006:R1006),$Q$1006:$U$1006,0)), HYPERLINK("#",""), HYPERLINK(CONCATENATE("#Metadata!", ADDRESS(INDEX($L$2:$L$1001,MATCH(ROWS($J$2:J944),$J$2:$J$1001,0),0), INDEX($Q$1004:$U$1004,1,MATCH(COLUMNS($Q$1006:R1006),$Q$1006:$U$1006,0)))),"Fix")))</f>
        <v xml:space="preserve"> </v>
      </c>
      <c r="D944" s="3" t="str">
        <f ca="1">IF(OR(INDEX($K$2:$K$1001,MATCH(ROWS($J$2:J944),$J$2:$J$1001,0),1)&gt;=100000,INDEX($Q$1005:$U$1005,1,MATCH(COLUMNS($Q$1006:S1006),$Q$1006:$U$1006,0))&gt;=100000), " ",IF(INDEX($Q$2:$U$1001,MATCH(ROWS($J$2:J944),$J$2:$J$1001,0),MATCH(COLUMNS($Q$1006:S1006),$Q$1006:$U$1006,0)), HYPERLINK("#",""), HYPERLINK(CONCATENATE("#Metadata!", ADDRESS(INDEX($L$2:$L$1001,MATCH(ROWS($J$2:J944),$J$2:$J$1001,0),0), INDEX($Q$1004:$U$1004,1,MATCH(COLUMNS($Q$1006:S1006),$Q$1006:$U$1006,0)))),"Fix")))</f>
        <v xml:space="preserve"> </v>
      </c>
      <c r="E944" s="3" t="str">
        <f ca="1">IF(OR(INDEX($K$2:$K$1001,MATCH(ROWS($J$2:J944),$J$2:$J$1001,0),1)&gt;=100000,INDEX($Q$1005:$U$1005,1,MATCH(COLUMNS($Q$1006:T1006),$Q$1006:$U$1006,0))&gt;=100000), " ",IF(INDEX($Q$2:$U$1001,MATCH(ROWS($J$2:J944),$J$2:$J$1001,0),MATCH(COLUMNS($Q$1006:T1006),$Q$1006:$U$1006,0)), HYPERLINK("#",""), HYPERLINK(CONCATENATE("#Metadata!", ADDRESS(INDEX($L$2:$L$1001,MATCH(ROWS($J$2:J944),$J$2:$J$1001,0),0), INDEX($Q$1004:$U$1004,1,MATCH(COLUMNS($Q$1006:T1006),$Q$1006:$U$1006,0)))),"Fix")))</f>
        <v xml:space="preserve"> </v>
      </c>
      <c r="F944" s="3" t="str">
        <f ca="1">IF(OR(INDEX($K$2:$K$1001,MATCH(ROWS($J$2:J944),$J$2:$J$1001,0),1)&gt;=100000,INDEX($Q$1005:$U$1005,1,MATCH(COLUMNS($Q$1006:U1006),$Q$1006:$U$1006,0))&gt;=100000), " ",IF(INDEX($Q$2:$U$1001,MATCH(ROWS($J$2:J944),$J$2:$J$1001,0),MATCH(COLUMNS($Q$1006:U1006),$Q$1006:$U$1006,0)), HYPERLINK("#",""), HYPERLINK(CONCATENATE("#Metadata!", ADDRESS(INDEX($L$2:$L$1001,MATCH(ROWS($J$2:J944),$J$2:$J$1001,0),0), INDEX($Q$1004:$U$1004,1,MATCH(COLUMNS($Q$1006:U1006),$Q$1006:$U$1006,0)))),"Fix")))</f>
        <v xml:space="preserve"> </v>
      </c>
      <c r="J944">
        <f ca="1"/>
        <v>943</v>
      </c>
      <c r="K944">
        <v>100944</v>
      </c>
      <c r="L944">
        <v>944</v>
      </c>
      <c r="M944" t="b">
        <f t="shared" si="14"/>
        <v>1</v>
      </c>
      <c r="N944" t="b">
        <f>COUNTBLANK(Metadata!B944:F944)=COLUMNS(Metadata!B944:F944)</f>
        <v>1</v>
      </c>
      <c r="O944" t="str">
        <v/>
      </c>
      <c r="Q944" t="b">
        <f ca="1"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R944" t="b">
        <f>IF(Metadata!C944="",FALSE,TRUE)</f>
        <v>0</v>
      </c>
      <c r="S944" t="b">
        <f>OR(AND(IF(Metadata!D944="",FALSE,TRUE),EXACT(Metadata!D944,"missing: not collected")),AND(IF(Metadata!D944="",FALSE,TRUE),OR(EXACT(Metadata!D944,"t"),EXACT(Metadata!D944,"f"))))</f>
        <v>0</v>
      </c>
      <c r="T944" t="b">
        <f>AND(IF(Metadata!E944="",FALSE,TRUE),OR(EXACT(Metadata!E944,"a"),EXACT(Metadata!E944,"b")))</f>
        <v>0</v>
      </c>
      <c r="U944" t="b">
        <f>OR(AND(IF(Metadata!F944="",FALSE,TRUE),OR(EXACT(Metadata!F944,"missing: not collected"),EXACT(Metadata!F944,"missing: not provided"))),AND(IF(Metadata!F944="",FALSE,TRUE),OR(EXACT(Metadata!F944,"lo"),EXACT(Metadata!F944,"med"),EXACT(Metadata!F944,"hi"))))</f>
        <v>0</v>
      </c>
    </row>
    <row r="945" spans="1:21" x14ac:dyDescent="0.2">
      <c r="A945" s="4" t="str">
        <f ca="1">IF(B945=" "," ",HYPERLINK(CONCATENATE("#metadata!",ADDRESS(INDEX($L$2:$L$1001,MATCH(ROWS($J$2:J945),$J$2:$J$1001,0),0),1)),INDEX($O$2:$O$1001,MATCH(ROWS($J$2:J945),$J$2:$J$1001,0),0)))</f>
        <v xml:space="preserve"> </v>
      </c>
      <c r="B945" s="3" t="str">
        <f ca="1">IF(OR(INDEX($K$2:$K$1001,MATCH(ROWS($J$2:J945),$J$2:$J$1001,0),1)&gt;=100000,INDEX($Q$1005:$U$1005,1,MATCH(COLUMNS($Q$1006:Q1006),$Q$1006:$U$1006,0))&gt;=100000), " ",IF(INDEX($Q$2:$U$1001,MATCH(ROWS($J$2:J945),$J$2:$J$1001,0),MATCH(COLUMNS($Q$1006:Q1006),$Q$1006:$U$1006,0)), HYPERLINK("#",""), HYPERLINK(CONCATENATE("#Metadata!", ADDRESS(INDEX($L$2:$L$1001,MATCH(ROWS($J$2:J945),$J$2:$J$1001,0),0), INDEX($Q$1004:$U$1004,1,MATCH(COLUMNS($Q$1006:Q1006),$Q$1006:$U$1006,0)))),"Fix")))</f>
        <v xml:space="preserve"> </v>
      </c>
      <c r="C945" s="3" t="str">
        <f ca="1">IF(OR(INDEX($K$2:$K$1001,MATCH(ROWS($J$2:J945),$J$2:$J$1001,0),1)&gt;=100000,INDEX($Q$1005:$U$1005,1,MATCH(COLUMNS($Q$1006:R1006),$Q$1006:$U$1006,0))&gt;=100000), " ",IF(INDEX($Q$2:$U$1001,MATCH(ROWS($J$2:J945),$J$2:$J$1001,0),MATCH(COLUMNS($Q$1006:R1006),$Q$1006:$U$1006,0)), HYPERLINK("#",""), HYPERLINK(CONCATENATE("#Metadata!", ADDRESS(INDEX($L$2:$L$1001,MATCH(ROWS($J$2:J945),$J$2:$J$1001,0),0), INDEX($Q$1004:$U$1004,1,MATCH(COLUMNS($Q$1006:R1006),$Q$1006:$U$1006,0)))),"Fix")))</f>
        <v xml:space="preserve"> </v>
      </c>
      <c r="D945" s="3" t="str">
        <f ca="1">IF(OR(INDEX($K$2:$K$1001,MATCH(ROWS($J$2:J945),$J$2:$J$1001,0),1)&gt;=100000,INDEX($Q$1005:$U$1005,1,MATCH(COLUMNS($Q$1006:S1006),$Q$1006:$U$1006,0))&gt;=100000), " ",IF(INDEX($Q$2:$U$1001,MATCH(ROWS($J$2:J945),$J$2:$J$1001,0),MATCH(COLUMNS($Q$1006:S1006),$Q$1006:$U$1006,0)), HYPERLINK("#",""), HYPERLINK(CONCATENATE("#Metadata!", ADDRESS(INDEX($L$2:$L$1001,MATCH(ROWS($J$2:J945),$J$2:$J$1001,0),0), INDEX($Q$1004:$U$1004,1,MATCH(COLUMNS($Q$1006:S1006),$Q$1006:$U$1006,0)))),"Fix")))</f>
        <v xml:space="preserve"> </v>
      </c>
      <c r="E945" s="3" t="str">
        <f ca="1">IF(OR(INDEX($K$2:$K$1001,MATCH(ROWS($J$2:J945),$J$2:$J$1001,0),1)&gt;=100000,INDEX($Q$1005:$U$1005,1,MATCH(COLUMNS($Q$1006:T1006),$Q$1006:$U$1006,0))&gt;=100000), " ",IF(INDEX($Q$2:$U$1001,MATCH(ROWS($J$2:J945),$J$2:$J$1001,0),MATCH(COLUMNS($Q$1006:T1006),$Q$1006:$U$1006,0)), HYPERLINK("#",""), HYPERLINK(CONCATENATE("#Metadata!", ADDRESS(INDEX($L$2:$L$1001,MATCH(ROWS($J$2:J945),$J$2:$J$1001,0),0), INDEX($Q$1004:$U$1004,1,MATCH(COLUMNS($Q$1006:T1006),$Q$1006:$U$1006,0)))),"Fix")))</f>
        <v xml:space="preserve"> </v>
      </c>
      <c r="F945" s="3" t="str">
        <f ca="1">IF(OR(INDEX($K$2:$K$1001,MATCH(ROWS($J$2:J945),$J$2:$J$1001,0),1)&gt;=100000,INDEX($Q$1005:$U$1005,1,MATCH(COLUMNS($Q$1006:U1006),$Q$1006:$U$1006,0))&gt;=100000), " ",IF(INDEX($Q$2:$U$1001,MATCH(ROWS($J$2:J945),$J$2:$J$1001,0),MATCH(COLUMNS($Q$1006:U1006),$Q$1006:$U$1006,0)), HYPERLINK("#",""), HYPERLINK(CONCATENATE("#Metadata!", ADDRESS(INDEX($L$2:$L$1001,MATCH(ROWS($J$2:J945),$J$2:$J$1001,0),0), INDEX($Q$1004:$U$1004,1,MATCH(COLUMNS($Q$1006:U1006),$Q$1006:$U$1006,0)))),"Fix")))</f>
        <v xml:space="preserve"> </v>
      </c>
      <c r="J945">
        <f ca="1"/>
        <v>944</v>
      </c>
      <c r="K945">
        <v>100945</v>
      </c>
      <c r="L945">
        <v>945</v>
      </c>
      <c r="M945" t="b">
        <f t="shared" si="14"/>
        <v>1</v>
      </c>
      <c r="N945" t="b">
        <f>COUNTBLANK(Metadata!B945:F945)=COLUMNS(Metadata!B945:F945)</f>
        <v>1</v>
      </c>
      <c r="O945" t="str">
        <v/>
      </c>
      <c r="Q945" t="b">
        <f ca="1"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R945" t="b">
        <f>IF(Metadata!C945="",FALSE,TRUE)</f>
        <v>0</v>
      </c>
      <c r="S945" t="b">
        <f>OR(AND(IF(Metadata!D945="",FALSE,TRUE),EXACT(Metadata!D945,"missing: not collected")),AND(IF(Metadata!D945="",FALSE,TRUE),OR(EXACT(Metadata!D945,"t"),EXACT(Metadata!D945,"f"))))</f>
        <v>0</v>
      </c>
      <c r="T945" t="b">
        <f>AND(IF(Metadata!E945="",FALSE,TRUE),OR(EXACT(Metadata!E945,"a"),EXACT(Metadata!E945,"b")))</f>
        <v>0</v>
      </c>
      <c r="U945" t="b">
        <f>OR(AND(IF(Metadata!F945="",FALSE,TRUE),OR(EXACT(Metadata!F945,"missing: not collected"),EXACT(Metadata!F945,"missing: not provided"))),AND(IF(Metadata!F945="",FALSE,TRUE),OR(EXACT(Metadata!F945,"lo"),EXACT(Metadata!F945,"med"),EXACT(Metadata!F945,"hi"))))</f>
        <v>0</v>
      </c>
    </row>
    <row r="946" spans="1:21" x14ac:dyDescent="0.2">
      <c r="A946" s="4" t="str">
        <f ca="1">IF(B946=" "," ",HYPERLINK(CONCATENATE("#metadata!",ADDRESS(INDEX($L$2:$L$1001,MATCH(ROWS($J$2:J946),$J$2:$J$1001,0),0),1)),INDEX($O$2:$O$1001,MATCH(ROWS($J$2:J946),$J$2:$J$1001,0),0)))</f>
        <v xml:space="preserve"> </v>
      </c>
      <c r="B946" s="3" t="str">
        <f ca="1">IF(OR(INDEX($K$2:$K$1001,MATCH(ROWS($J$2:J946),$J$2:$J$1001,0),1)&gt;=100000,INDEX($Q$1005:$U$1005,1,MATCH(COLUMNS($Q$1006:Q1006),$Q$1006:$U$1006,0))&gt;=100000), " ",IF(INDEX($Q$2:$U$1001,MATCH(ROWS($J$2:J946),$J$2:$J$1001,0),MATCH(COLUMNS($Q$1006:Q1006),$Q$1006:$U$1006,0)), HYPERLINK("#",""), HYPERLINK(CONCATENATE("#Metadata!", ADDRESS(INDEX($L$2:$L$1001,MATCH(ROWS($J$2:J946),$J$2:$J$1001,0),0), INDEX($Q$1004:$U$1004,1,MATCH(COLUMNS($Q$1006:Q1006),$Q$1006:$U$1006,0)))),"Fix")))</f>
        <v xml:space="preserve"> </v>
      </c>
      <c r="C946" s="3" t="str">
        <f ca="1">IF(OR(INDEX($K$2:$K$1001,MATCH(ROWS($J$2:J946),$J$2:$J$1001,0),1)&gt;=100000,INDEX($Q$1005:$U$1005,1,MATCH(COLUMNS($Q$1006:R1006),$Q$1006:$U$1006,0))&gt;=100000), " ",IF(INDEX($Q$2:$U$1001,MATCH(ROWS($J$2:J946),$J$2:$J$1001,0),MATCH(COLUMNS($Q$1006:R1006),$Q$1006:$U$1006,0)), HYPERLINK("#",""), HYPERLINK(CONCATENATE("#Metadata!", ADDRESS(INDEX($L$2:$L$1001,MATCH(ROWS($J$2:J946),$J$2:$J$1001,0),0), INDEX($Q$1004:$U$1004,1,MATCH(COLUMNS($Q$1006:R1006),$Q$1006:$U$1006,0)))),"Fix")))</f>
        <v xml:space="preserve"> </v>
      </c>
      <c r="D946" s="3" t="str">
        <f ca="1">IF(OR(INDEX($K$2:$K$1001,MATCH(ROWS($J$2:J946),$J$2:$J$1001,0),1)&gt;=100000,INDEX($Q$1005:$U$1005,1,MATCH(COLUMNS($Q$1006:S1006),$Q$1006:$U$1006,0))&gt;=100000), " ",IF(INDEX($Q$2:$U$1001,MATCH(ROWS($J$2:J946),$J$2:$J$1001,0),MATCH(COLUMNS($Q$1006:S1006),$Q$1006:$U$1006,0)), HYPERLINK("#",""), HYPERLINK(CONCATENATE("#Metadata!", ADDRESS(INDEX($L$2:$L$1001,MATCH(ROWS($J$2:J946),$J$2:$J$1001,0),0), INDEX($Q$1004:$U$1004,1,MATCH(COLUMNS($Q$1006:S1006),$Q$1006:$U$1006,0)))),"Fix")))</f>
        <v xml:space="preserve"> </v>
      </c>
      <c r="E946" s="3" t="str">
        <f ca="1">IF(OR(INDEX($K$2:$K$1001,MATCH(ROWS($J$2:J946),$J$2:$J$1001,0),1)&gt;=100000,INDEX($Q$1005:$U$1005,1,MATCH(COLUMNS($Q$1006:T1006),$Q$1006:$U$1006,0))&gt;=100000), " ",IF(INDEX($Q$2:$U$1001,MATCH(ROWS($J$2:J946),$J$2:$J$1001,0),MATCH(COLUMNS($Q$1006:T1006),$Q$1006:$U$1006,0)), HYPERLINK("#",""), HYPERLINK(CONCATENATE("#Metadata!", ADDRESS(INDEX($L$2:$L$1001,MATCH(ROWS($J$2:J946),$J$2:$J$1001,0),0), INDEX($Q$1004:$U$1004,1,MATCH(COLUMNS($Q$1006:T1006),$Q$1006:$U$1006,0)))),"Fix")))</f>
        <v xml:space="preserve"> </v>
      </c>
      <c r="F946" s="3" t="str">
        <f ca="1">IF(OR(INDEX($K$2:$K$1001,MATCH(ROWS($J$2:J946),$J$2:$J$1001,0),1)&gt;=100000,INDEX($Q$1005:$U$1005,1,MATCH(COLUMNS($Q$1006:U1006),$Q$1006:$U$1006,0))&gt;=100000), " ",IF(INDEX($Q$2:$U$1001,MATCH(ROWS($J$2:J946),$J$2:$J$1001,0),MATCH(COLUMNS($Q$1006:U1006),$Q$1006:$U$1006,0)), HYPERLINK("#",""), HYPERLINK(CONCATENATE("#Metadata!", ADDRESS(INDEX($L$2:$L$1001,MATCH(ROWS($J$2:J946),$J$2:$J$1001,0),0), INDEX($Q$1004:$U$1004,1,MATCH(COLUMNS($Q$1006:U1006),$Q$1006:$U$1006,0)))),"Fix")))</f>
        <v xml:space="preserve"> </v>
      </c>
      <c r="J946">
        <f ca="1"/>
        <v>945</v>
      </c>
      <c r="K946">
        <v>100946</v>
      </c>
      <c r="L946">
        <v>946</v>
      </c>
      <c r="M946" t="b">
        <f t="shared" si="14"/>
        <v>1</v>
      </c>
      <c r="N946" t="b">
        <f>COUNTBLANK(Metadata!B946:F946)=COLUMNS(Metadata!B946:F946)</f>
        <v>1</v>
      </c>
      <c r="O946" t="str">
        <v/>
      </c>
      <c r="Q946" t="b">
        <f ca="1"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R946" t="b">
        <f>IF(Metadata!C946="",FALSE,TRUE)</f>
        <v>0</v>
      </c>
      <c r="S946" t="b">
        <f>OR(AND(IF(Metadata!D946="",FALSE,TRUE),EXACT(Metadata!D946,"missing: not collected")),AND(IF(Metadata!D946="",FALSE,TRUE),OR(EXACT(Metadata!D946,"t"),EXACT(Metadata!D946,"f"))))</f>
        <v>0</v>
      </c>
      <c r="T946" t="b">
        <f>AND(IF(Metadata!E946="",FALSE,TRUE),OR(EXACT(Metadata!E946,"a"),EXACT(Metadata!E946,"b")))</f>
        <v>0</v>
      </c>
      <c r="U946" t="b">
        <f>OR(AND(IF(Metadata!F946="",FALSE,TRUE),OR(EXACT(Metadata!F946,"missing: not collected"),EXACT(Metadata!F946,"missing: not provided"))),AND(IF(Metadata!F946="",FALSE,TRUE),OR(EXACT(Metadata!F946,"lo"),EXACT(Metadata!F946,"med"),EXACT(Metadata!F946,"hi"))))</f>
        <v>0</v>
      </c>
    </row>
    <row r="947" spans="1:21" x14ac:dyDescent="0.2">
      <c r="A947" s="4" t="str">
        <f ca="1">IF(B947=" "," ",HYPERLINK(CONCATENATE("#metadata!",ADDRESS(INDEX($L$2:$L$1001,MATCH(ROWS($J$2:J947),$J$2:$J$1001,0),0),1)),INDEX($O$2:$O$1001,MATCH(ROWS($J$2:J947),$J$2:$J$1001,0),0)))</f>
        <v xml:space="preserve"> </v>
      </c>
      <c r="B947" s="3" t="str">
        <f ca="1">IF(OR(INDEX($K$2:$K$1001,MATCH(ROWS($J$2:J947),$J$2:$J$1001,0),1)&gt;=100000,INDEX($Q$1005:$U$1005,1,MATCH(COLUMNS($Q$1006:Q1006),$Q$1006:$U$1006,0))&gt;=100000), " ",IF(INDEX($Q$2:$U$1001,MATCH(ROWS($J$2:J947),$J$2:$J$1001,0),MATCH(COLUMNS($Q$1006:Q1006),$Q$1006:$U$1006,0)), HYPERLINK("#",""), HYPERLINK(CONCATENATE("#Metadata!", ADDRESS(INDEX($L$2:$L$1001,MATCH(ROWS($J$2:J947),$J$2:$J$1001,0),0), INDEX($Q$1004:$U$1004,1,MATCH(COLUMNS($Q$1006:Q1006),$Q$1006:$U$1006,0)))),"Fix")))</f>
        <v xml:space="preserve"> </v>
      </c>
      <c r="C947" s="3" t="str">
        <f ca="1">IF(OR(INDEX($K$2:$K$1001,MATCH(ROWS($J$2:J947),$J$2:$J$1001,0),1)&gt;=100000,INDEX($Q$1005:$U$1005,1,MATCH(COLUMNS($Q$1006:R1006),$Q$1006:$U$1006,0))&gt;=100000), " ",IF(INDEX($Q$2:$U$1001,MATCH(ROWS($J$2:J947),$J$2:$J$1001,0),MATCH(COLUMNS($Q$1006:R1006),$Q$1006:$U$1006,0)), HYPERLINK("#",""), HYPERLINK(CONCATENATE("#Metadata!", ADDRESS(INDEX($L$2:$L$1001,MATCH(ROWS($J$2:J947),$J$2:$J$1001,0),0), INDEX($Q$1004:$U$1004,1,MATCH(COLUMNS($Q$1006:R1006),$Q$1006:$U$1006,0)))),"Fix")))</f>
        <v xml:space="preserve"> </v>
      </c>
      <c r="D947" s="3" t="str">
        <f ca="1">IF(OR(INDEX($K$2:$K$1001,MATCH(ROWS($J$2:J947),$J$2:$J$1001,0),1)&gt;=100000,INDEX($Q$1005:$U$1005,1,MATCH(COLUMNS($Q$1006:S1006),$Q$1006:$U$1006,0))&gt;=100000), " ",IF(INDEX($Q$2:$U$1001,MATCH(ROWS($J$2:J947),$J$2:$J$1001,0),MATCH(COLUMNS($Q$1006:S1006),$Q$1006:$U$1006,0)), HYPERLINK("#",""), HYPERLINK(CONCATENATE("#Metadata!", ADDRESS(INDEX($L$2:$L$1001,MATCH(ROWS($J$2:J947),$J$2:$J$1001,0),0), INDEX($Q$1004:$U$1004,1,MATCH(COLUMNS($Q$1006:S1006),$Q$1006:$U$1006,0)))),"Fix")))</f>
        <v xml:space="preserve"> </v>
      </c>
      <c r="E947" s="3" t="str">
        <f ca="1">IF(OR(INDEX($K$2:$K$1001,MATCH(ROWS($J$2:J947),$J$2:$J$1001,0),1)&gt;=100000,INDEX($Q$1005:$U$1005,1,MATCH(COLUMNS($Q$1006:T1006),$Q$1006:$U$1006,0))&gt;=100000), " ",IF(INDEX($Q$2:$U$1001,MATCH(ROWS($J$2:J947),$J$2:$J$1001,0),MATCH(COLUMNS($Q$1006:T1006),$Q$1006:$U$1006,0)), HYPERLINK("#",""), HYPERLINK(CONCATENATE("#Metadata!", ADDRESS(INDEX($L$2:$L$1001,MATCH(ROWS($J$2:J947),$J$2:$J$1001,0),0), INDEX($Q$1004:$U$1004,1,MATCH(COLUMNS($Q$1006:T1006),$Q$1006:$U$1006,0)))),"Fix")))</f>
        <v xml:space="preserve"> </v>
      </c>
      <c r="F947" s="3" t="str">
        <f ca="1">IF(OR(INDEX($K$2:$K$1001,MATCH(ROWS($J$2:J947),$J$2:$J$1001,0),1)&gt;=100000,INDEX($Q$1005:$U$1005,1,MATCH(COLUMNS($Q$1006:U1006),$Q$1006:$U$1006,0))&gt;=100000), " ",IF(INDEX($Q$2:$U$1001,MATCH(ROWS($J$2:J947),$J$2:$J$1001,0),MATCH(COLUMNS($Q$1006:U1006),$Q$1006:$U$1006,0)), HYPERLINK("#",""), HYPERLINK(CONCATENATE("#Metadata!", ADDRESS(INDEX($L$2:$L$1001,MATCH(ROWS($J$2:J947),$J$2:$J$1001,0),0), INDEX($Q$1004:$U$1004,1,MATCH(COLUMNS($Q$1006:U1006),$Q$1006:$U$1006,0)))),"Fix")))</f>
        <v xml:space="preserve"> </v>
      </c>
      <c r="J947">
        <f ca="1"/>
        <v>946</v>
      </c>
      <c r="K947">
        <v>100947</v>
      </c>
      <c r="L947">
        <v>947</v>
      </c>
      <c r="M947" t="b">
        <f t="shared" si="14"/>
        <v>1</v>
      </c>
      <c r="N947" t="b">
        <f>COUNTBLANK(Metadata!B947:F947)=COLUMNS(Metadata!B947:F947)</f>
        <v>1</v>
      </c>
      <c r="O947" t="str">
        <v/>
      </c>
      <c r="Q947" t="b">
        <f ca="1"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R947" t="b">
        <f>IF(Metadata!C947="",FALSE,TRUE)</f>
        <v>0</v>
      </c>
      <c r="S947" t="b">
        <f>OR(AND(IF(Metadata!D947="",FALSE,TRUE),EXACT(Metadata!D947,"missing: not collected")),AND(IF(Metadata!D947="",FALSE,TRUE),OR(EXACT(Metadata!D947,"t"),EXACT(Metadata!D947,"f"))))</f>
        <v>0</v>
      </c>
      <c r="T947" t="b">
        <f>AND(IF(Metadata!E947="",FALSE,TRUE),OR(EXACT(Metadata!E947,"a"),EXACT(Metadata!E947,"b")))</f>
        <v>0</v>
      </c>
      <c r="U947" t="b">
        <f>OR(AND(IF(Metadata!F947="",FALSE,TRUE),OR(EXACT(Metadata!F947,"missing: not collected"),EXACT(Metadata!F947,"missing: not provided"))),AND(IF(Metadata!F947="",FALSE,TRUE),OR(EXACT(Metadata!F947,"lo"),EXACT(Metadata!F947,"med"),EXACT(Metadata!F947,"hi"))))</f>
        <v>0</v>
      </c>
    </row>
    <row r="948" spans="1:21" x14ac:dyDescent="0.2">
      <c r="A948" s="4" t="str">
        <f ca="1">IF(B948=" "," ",HYPERLINK(CONCATENATE("#metadata!",ADDRESS(INDEX($L$2:$L$1001,MATCH(ROWS($J$2:J948),$J$2:$J$1001,0),0),1)),INDEX($O$2:$O$1001,MATCH(ROWS($J$2:J948),$J$2:$J$1001,0),0)))</f>
        <v xml:space="preserve"> </v>
      </c>
      <c r="B948" s="3" t="str">
        <f ca="1">IF(OR(INDEX($K$2:$K$1001,MATCH(ROWS($J$2:J948),$J$2:$J$1001,0),1)&gt;=100000,INDEX($Q$1005:$U$1005,1,MATCH(COLUMNS($Q$1006:Q1006),$Q$1006:$U$1006,0))&gt;=100000), " ",IF(INDEX($Q$2:$U$1001,MATCH(ROWS($J$2:J948),$J$2:$J$1001,0),MATCH(COLUMNS($Q$1006:Q1006),$Q$1006:$U$1006,0)), HYPERLINK("#",""), HYPERLINK(CONCATENATE("#Metadata!", ADDRESS(INDEX($L$2:$L$1001,MATCH(ROWS($J$2:J948),$J$2:$J$1001,0),0), INDEX($Q$1004:$U$1004,1,MATCH(COLUMNS($Q$1006:Q1006),$Q$1006:$U$1006,0)))),"Fix")))</f>
        <v xml:space="preserve"> </v>
      </c>
      <c r="C948" s="3" t="str">
        <f ca="1">IF(OR(INDEX($K$2:$K$1001,MATCH(ROWS($J$2:J948),$J$2:$J$1001,0),1)&gt;=100000,INDEX($Q$1005:$U$1005,1,MATCH(COLUMNS($Q$1006:R1006),$Q$1006:$U$1006,0))&gt;=100000), " ",IF(INDEX($Q$2:$U$1001,MATCH(ROWS($J$2:J948),$J$2:$J$1001,0),MATCH(COLUMNS($Q$1006:R1006),$Q$1006:$U$1006,0)), HYPERLINK("#",""), HYPERLINK(CONCATENATE("#Metadata!", ADDRESS(INDEX($L$2:$L$1001,MATCH(ROWS($J$2:J948),$J$2:$J$1001,0),0), INDEX($Q$1004:$U$1004,1,MATCH(COLUMNS($Q$1006:R1006),$Q$1006:$U$1006,0)))),"Fix")))</f>
        <v xml:space="preserve"> </v>
      </c>
      <c r="D948" s="3" t="str">
        <f ca="1">IF(OR(INDEX($K$2:$K$1001,MATCH(ROWS($J$2:J948),$J$2:$J$1001,0),1)&gt;=100000,INDEX($Q$1005:$U$1005,1,MATCH(COLUMNS($Q$1006:S1006),$Q$1006:$U$1006,0))&gt;=100000), " ",IF(INDEX($Q$2:$U$1001,MATCH(ROWS($J$2:J948),$J$2:$J$1001,0),MATCH(COLUMNS($Q$1006:S1006),$Q$1006:$U$1006,0)), HYPERLINK("#",""), HYPERLINK(CONCATENATE("#Metadata!", ADDRESS(INDEX($L$2:$L$1001,MATCH(ROWS($J$2:J948),$J$2:$J$1001,0),0), INDEX($Q$1004:$U$1004,1,MATCH(COLUMNS($Q$1006:S1006),$Q$1006:$U$1006,0)))),"Fix")))</f>
        <v xml:space="preserve"> </v>
      </c>
      <c r="E948" s="3" t="str">
        <f ca="1">IF(OR(INDEX($K$2:$K$1001,MATCH(ROWS($J$2:J948),$J$2:$J$1001,0),1)&gt;=100000,INDEX($Q$1005:$U$1005,1,MATCH(COLUMNS($Q$1006:T1006),$Q$1006:$U$1006,0))&gt;=100000), " ",IF(INDEX($Q$2:$U$1001,MATCH(ROWS($J$2:J948),$J$2:$J$1001,0),MATCH(COLUMNS($Q$1006:T1006),$Q$1006:$U$1006,0)), HYPERLINK("#",""), HYPERLINK(CONCATENATE("#Metadata!", ADDRESS(INDEX($L$2:$L$1001,MATCH(ROWS($J$2:J948),$J$2:$J$1001,0),0), INDEX($Q$1004:$U$1004,1,MATCH(COLUMNS($Q$1006:T1006),$Q$1006:$U$1006,0)))),"Fix")))</f>
        <v xml:space="preserve"> </v>
      </c>
      <c r="F948" s="3" t="str">
        <f ca="1">IF(OR(INDEX($K$2:$K$1001,MATCH(ROWS($J$2:J948),$J$2:$J$1001,0),1)&gt;=100000,INDEX($Q$1005:$U$1005,1,MATCH(COLUMNS($Q$1006:U1006),$Q$1006:$U$1006,0))&gt;=100000), " ",IF(INDEX($Q$2:$U$1001,MATCH(ROWS($J$2:J948),$J$2:$J$1001,0),MATCH(COLUMNS($Q$1006:U1006),$Q$1006:$U$1006,0)), HYPERLINK("#",""), HYPERLINK(CONCATENATE("#Metadata!", ADDRESS(INDEX($L$2:$L$1001,MATCH(ROWS($J$2:J948),$J$2:$J$1001,0),0), INDEX($Q$1004:$U$1004,1,MATCH(COLUMNS($Q$1006:U1006),$Q$1006:$U$1006,0)))),"Fix")))</f>
        <v xml:space="preserve"> </v>
      </c>
      <c r="J948">
        <f ca="1"/>
        <v>947</v>
      </c>
      <c r="K948">
        <v>100948</v>
      </c>
      <c r="L948">
        <v>948</v>
      </c>
      <c r="M948" t="b">
        <f t="shared" si="14"/>
        <v>1</v>
      </c>
      <c r="N948" t="b">
        <f>COUNTBLANK(Metadata!B948:F948)=COLUMNS(Metadata!B948:F948)</f>
        <v>1</v>
      </c>
      <c r="O948" t="str">
        <v/>
      </c>
      <c r="Q948" t="b">
        <f ca="1"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R948" t="b">
        <f>IF(Metadata!C948="",FALSE,TRUE)</f>
        <v>0</v>
      </c>
      <c r="S948" t="b">
        <f>OR(AND(IF(Metadata!D948="",FALSE,TRUE),EXACT(Metadata!D948,"missing: not collected")),AND(IF(Metadata!D948="",FALSE,TRUE),OR(EXACT(Metadata!D948,"t"),EXACT(Metadata!D948,"f"))))</f>
        <v>0</v>
      </c>
      <c r="T948" t="b">
        <f>AND(IF(Metadata!E948="",FALSE,TRUE),OR(EXACT(Metadata!E948,"a"),EXACT(Metadata!E948,"b")))</f>
        <v>0</v>
      </c>
      <c r="U948" t="b">
        <f>OR(AND(IF(Metadata!F948="",FALSE,TRUE),OR(EXACT(Metadata!F948,"missing: not collected"),EXACT(Metadata!F948,"missing: not provided"))),AND(IF(Metadata!F948="",FALSE,TRUE),OR(EXACT(Metadata!F948,"lo"),EXACT(Metadata!F948,"med"),EXACT(Metadata!F948,"hi"))))</f>
        <v>0</v>
      </c>
    </row>
    <row r="949" spans="1:21" x14ac:dyDescent="0.2">
      <c r="A949" s="4" t="str">
        <f ca="1">IF(B949=" "," ",HYPERLINK(CONCATENATE("#metadata!",ADDRESS(INDEX($L$2:$L$1001,MATCH(ROWS($J$2:J949),$J$2:$J$1001,0),0),1)),INDEX($O$2:$O$1001,MATCH(ROWS($J$2:J949),$J$2:$J$1001,0),0)))</f>
        <v xml:space="preserve"> </v>
      </c>
      <c r="B949" s="3" t="str">
        <f ca="1">IF(OR(INDEX($K$2:$K$1001,MATCH(ROWS($J$2:J949),$J$2:$J$1001,0),1)&gt;=100000,INDEX($Q$1005:$U$1005,1,MATCH(COLUMNS($Q$1006:Q1006),$Q$1006:$U$1006,0))&gt;=100000), " ",IF(INDEX($Q$2:$U$1001,MATCH(ROWS($J$2:J949),$J$2:$J$1001,0),MATCH(COLUMNS($Q$1006:Q1006),$Q$1006:$U$1006,0)), HYPERLINK("#",""), HYPERLINK(CONCATENATE("#Metadata!", ADDRESS(INDEX($L$2:$L$1001,MATCH(ROWS($J$2:J949),$J$2:$J$1001,0),0), INDEX($Q$1004:$U$1004,1,MATCH(COLUMNS($Q$1006:Q1006),$Q$1006:$U$1006,0)))),"Fix")))</f>
        <v xml:space="preserve"> </v>
      </c>
      <c r="C949" s="3" t="str">
        <f ca="1">IF(OR(INDEX($K$2:$K$1001,MATCH(ROWS($J$2:J949),$J$2:$J$1001,0),1)&gt;=100000,INDEX($Q$1005:$U$1005,1,MATCH(COLUMNS($Q$1006:R1006),$Q$1006:$U$1006,0))&gt;=100000), " ",IF(INDEX($Q$2:$U$1001,MATCH(ROWS($J$2:J949),$J$2:$J$1001,0),MATCH(COLUMNS($Q$1006:R1006),$Q$1006:$U$1006,0)), HYPERLINK("#",""), HYPERLINK(CONCATENATE("#Metadata!", ADDRESS(INDEX($L$2:$L$1001,MATCH(ROWS($J$2:J949),$J$2:$J$1001,0),0), INDEX($Q$1004:$U$1004,1,MATCH(COLUMNS($Q$1006:R1006),$Q$1006:$U$1006,0)))),"Fix")))</f>
        <v xml:space="preserve"> </v>
      </c>
      <c r="D949" s="3" t="str">
        <f ca="1">IF(OR(INDEX($K$2:$K$1001,MATCH(ROWS($J$2:J949),$J$2:$J$1001,0),1)&gt;=100000,INDEX($Q$1005:$U$1005,1,MATCH(COLUMNS($Q$1006:S1006),$Q$1006:$U$1006,0))&gt;=100000), " ",IF(INDEX($Q$2:$U$1001,MATCH(ROWS($J$2:J949),$J$2:$J$1001,0),MATCH(COLUMNS($Q$1006:S1006),$Q$1006:$U$1006,0)), HYPERLINK("#",""), HYPERLINK(CONCATENATE("#Metadata!", ADDRESS(INDEX($L$2:$L$1001,MATCH(ROWS($J$2:J949),$J$2:$J$1001,0),0), INDEX($Q$1004:$U$1004,1,MATCH(COLUMNS($Q$1006:S1006),$Q$1006:$U$1006,0)))),"Fix")))</f>
        <v xml:space="preserve"> </v>
      </c>
      <c r="E949" s="3" t="str">
        <f ca="1">IF(OR(INDEX($K$2:$K$1001,MATCH(ROWS($J$2:J949),$J$2:$J$1001,0),1)&gt;=100000,INDEX($Q$1005:$U$1005,1,MATCH(COLUMNS($Q$1006:T1006),$Q$1006:$U$1006,0))&gt;=100000), " ",IF(INDEX($Q$2:$U$1001,MATCH(ROWS($J$2:J949),$J$2:$J$1001,0),MATCH(COLUMNS($Q$1006:T1006),$Q$1006:$U$1006,0)), HYPERLINK("#",""), HYPERLINK(CONCATENATE("#Metadata!", ADDRESS(INDEX($L$2:$L$1001,MATCH(ROWS($J$2:J949),$J$2:$J$1001,0),0), INDEX($Q$1004:$U$1004,1,MATCH(COLUMNS($Q$1006:T1006),$Q$1006:$U$1006,0)))),"Fix")))</f>
        <v xml:space="preserve"> </v>
      </c>
      <c r="F949" s="3" t="str">
        <f ca="1">IF(OR(INDEX($K$2:$K$1001,MATCH(ROWS($J$2:J949),$J$2:$J$1001,0),1)&gt;=100000,INDEX($Q$1005:$U$1005,1,MATCH(COLUMNS($Q$1006:U1006),$Q$1006:$U$1006,0))&gt;=100000), " ",IF(INDEX($Q$2:$U$1001,MATCH(ROWS($J$2:J949),$J$2:$J$1001,0),MATCH(COLUMNS($Q$1006:U1006),$Q$1006:$U$1006,0)), HYPERLINK("#",""), HYPERLINK(CONCATENATE("#Metadata!", ADDRESS(INDEX($L$2:$L$1001,MATCH(ROWS($J$2:J949),$J$2:$J$1001,0),0), INDEX($Q$1004:$U$1004,1,MATCH(COLUMNS($Q$1006:U1006),$Q$1006:$U$1006,0)))),"Fix")))</f>
        <v xml:space="preserve"> </v>
      </c>
      <c r="J949">
        <f ca="1"/>
        <v>948</v>
      </c>
      <c r="K949">
        <v>100949</v>
      </c>
      <c r="L949">
        <v>949</v>
      </c>
      <c r="M949" t="b">
        <f t="shared" si="14"/>
        <v>1</v>
      </c>
      <c r="N949" t="b">
        <f>COUNTBLANK(Metadata!B949:F949)=COLUMNS(Metadata!B949:F949)</f>
        <v>1</v>
      </c>
      <c r="O949" t="str">
        <v/>
      </c>
      <c r="Q949" t="b">
        <f ca="1"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R949" t="b">
        <f>IF(Metadata!C949="",FALSE,TRUE)</f>
        <v>0</v>
      </c>
      <c r="S949" t="b">
        <f>OR(AND(IF(Metadata!D949="",FALSE,TRUE),EXACT(Metadata!D949,"missing: not collected")),AND(IF(Metadata!D949="",FALSE,TRUE),OR(EXACT(Metadata!D949,"t"),EXACT(Metadata!D949,"f"))))</f>
        <v>0</v>
      </c>
      <c r="T949" t="b">
        <f>AND(IF(Metadata!E949="",FALSE,TRUE),OR(EXACT(Metadata!E949,"a"),EXACT(Metadata!E949,"b")))</f>
        <v>0</v>
      </c>
      <c r="U949" t="b">
        <f>OR(AND(IF(Metadata!F949="",FALSE,TRUE),OR(EXACT(Metadata!F949,"missing: not collected"),EXACT(Metadata!F949,"missing: not provided"))),AND(IF(Metadata!F949="",FALSE,TRUE),OR(EXACT(Metadata!F949,"lo"),EXACT(Metadata!F949,"med"),EXACT(Metadata!F949,"hi"))))</f>
        <v>0</v>
      </c>
    </row>
    <row r="950" spans="1:21" x14ac:dyDescent="0.2">
      <c r="A950" s="4" t="str">
        <f ca="1">IF(B950=" "," ",HYPERLINK(CONCATENATE("#metadata!",ADDRESS(INDEX($L$2:$L$1001,MATCH(ROWS($J$2:J950),$J$2:$J$1001,0),0),1)),INDEX($O$2:$O$1001,MATCH(ROWS($J$2:J950),$J$2:$J$1001,0),0)))</f>
        <v xml:space="preserve"> </v>
      </c>
      <c r="B950" s="3" t="str">
        <f ca="1">IF(OR(INDEX($K$2:$K$1001,MATCH(ROWS($J$2:J950),$J$2:$J$1001,0),1)&gt;=100000,INDEX($Q$1005:$U$1005,1,MATCH(COLUMNS($Q$1006:Q1006),$Q$1006:$U$1006,0))&gt;=100000), " ",IF(INDEX($Q$2:$U$1001,MATCH(ROWS($J$2:J950),$J$2:$J$1001,0),MATCH(COLUMNS($Q$1006:Q1006),$Q$1006:$U$1006,0)), HYPERLINK("#",""), HYPERLINK(CONCATENATE("#Metadata!", ADDRESS(INDEX($L$2:$L$1001,MATCH(ROWS($J$2:J950),$J$2:$J$1001,0),0), INDEX($Q$1004:$U$1004,1,MATCH(COLUMNS($Q$1006:Q1006),$Q$1006:$U$1006,0)))),"Fix")))</f>
        <v xml:space="preserve"> </v>
      </c>
      <c r="C950" s="3" t="str">
        <f ca="1">IF(OR(INDEX($K$2:$K$1001,MATCH(ROWS($J$2:J950),$J$2:$J$1001,0),1)&gt;=100000,INDEX($Q$1005:$U$1005,1,MATCH(COLUMNS($Q$1006:R1006),$Q$1006:$U$1006,0))&gt;=100000), " ",IF(INDEX($Q$2:$U$1001,MATCH(ROWS($J$2:J950),$J$2:$J$1001,0),MATCH(COLUMNS($Q$1006:R1006),$Q$1006:$U$1006,0)), HYPERLINK("#",""), HYPERLINK(CONCATENATE("#Metadata!", ADDRESS(INDEX($L$2:$L$1001,MATCH(ROWS($J$2:J950),$J$2:$J$1001,0),0), INDEX($Q$1004:$U$1004,1,MATCH(COLUMNS($Q$1006:R1006),$Q$1006:$U$1006,0)))),"Fix")))</f>
        <v xml:space="preserve"> </v>
      </c>
      <c r="D950" s="3" t="str">
        <f ca="1">IF(OR(INDEX($K$2:$K$1001,MATCH(ROWS($J$2:J950),$J$2:$J$1001,0),1)&gt;=100000,INDEX($Q$1005:$U$1005,1,MATCH(COLUMNS($Q$1006:S1006),$Q$1006:$U$1006,0))&gt;=100000), " ",IF(INDEX($Q$2:$U$1001,MATCH(ROWS($J$2:J950),$J$2:$J$1001,0),MATCH(COLUMNS($Q$1006:S1006),$Q$1006:$U$1006,0)), HYPERLINK("#",""), HYPERLINK(CONCATENATE("#Metadata!", ADDRESS(INDEX($L$2:$L$1001,MATCH(ROWS($J$2:J950),$J$2:$J$1001,0),0), INDEX($Q$1004:$U$1004,1,MATCH(COLUMNS($Q$1006:S1006),$Q$1006:$U$1006,0)))),"Fix")))</f>
        <v xml:space="preserve"> </v>
      </c>
      <c r="E950" s="3" t="str">
        <f ca="1">IF(OR(INDEX($K$2:$K$1001,MATCH(ROWS($J$2:J950),$J$2:$J$1001,0),1)&gt;=100000,INDEX($Q$1005:$U$1005,1,MATCH(COLUMNS($Q$1006:T1006),$Q$1006:$U$1006,0))&gt;=100000), " ",IF(INDEX($Q$2:$U$1001,MATCH(ROWS($J$2:J950),$J$2:$J$1001,0),MATCH(COLUMNS($Q$1006:T1006),$Q$1006:$U$1006,0)), HYPERLINK("#",""), HYPERLINK(CONCATENATE("#Metadata!", ADDRESS(INDEX($L$2:$L$1001,MATCH(ROWS($J$2:J950),$J$2:$J$1001,0),0), INDEX($Q$1004:$U$1004,1,MATCH(COLUMNS($Q$1006:T1006),$Q$1006:$U$1006,0)))),"Fix")))</f>
        <v xml:space="preserve"> </v>
      </c>
      <c r="F950" s="3" t="str">
        <f ca="1">IF(OR(INDEX($K$2:$K$1001,MATCH(ROWS($J$2:J950),$J$2:$J$1001,0),1)&gt;=100000,INDEX($Q$1005:$U$1005,1,MATCH(COLUMNS($Q$1006:U1006),$Q$1006:$U$1006,0))&gt;=100000), " ",IF(INDEX($Q$2:$U$1001,MATCH(ROWS($J$2:J950),$J$2:$J$1001,0),MATCH(COLUMNS($Q$1006:U1006),$Q$1006:$U$1006,0)), HYPERLINK("#",""), HYPERLINK(CONCATENATE("#Metadata!", ADDRESS(INDEX($L$2:$L$1001,MATCH(ROWS($J$2:J950),$J$2:$J$1001,0),0), INDEX($Q$1004:$U$1004,1,MATCH(COLUMNS($Q$1006:U1006),$Q$1006:$U$1006,0)))),"Fix")))</f>
        <v xml:space="preserve"> </v>
      </c>
      <c r="J950">
        <f ca="1"/>
        <v>949</v>
      </c>
      <c r="K950">
        <v>100950</v>
      </c>
      <c r="L950">
        <v>950</v>
      </c>
      <c r="M950" t="b">
        <f t="shared" si="14"/>
        <v>1</v>
      </c>
      <c r="N950" t="b">
        <f>COUNTBLANK(Metadata!B950:F950)=COLUMNS(Metadata!B950:F950)</f>
        <v>1</v>
      </c>
      <c r="O950" t="str">
        <v/>
      </c>
      <c r="Q950" t="b">
        <f ca="1"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R950" t="b">
        <f>IF(Metadata!C950="",FALSE,TRUE)</f>
        <v>0</v>
      </c>
      <c r="S950" t="b">
        <f>OR(AND(IF(Metadata!D950="",FALSE,TRUE),EXACT(Metadata!D950,"missing: not collected")),AND(IF(Metadata!D950="",FALSE,TRUE),OR(EXACT(Metadata!D950,"t"),EXACT(Metadata!D950,"f"))))</f>
        <v>0</v>
      </c>
      <c r="T950" t="b">
        <f>AND(IF(Metadata!E950="",FALSE,TRUE),OR(EXACT(Metadata!E950,"a"),EXACT(Metadata!E950,"b")))</f>
        <v>0</v>
      </c>
      <c r="U950" t="b">
        <f>OR(AND(IF(Metadata!F950="",FALSE,TRUE),OR(EXACT(Metadata!F950,"missing: not collected"),EXACT(Metadata!F950,"missing: not provided"))),AND(IF(Metadata!F950="",FALSE,TRUE),OR(EXACT(Metadata!F950,"lo"),EXACT(Metadata!F950,"med"),EXACT(Metadata!F950,"hi"))))</f>
        <v>0</v>
      </c>
    </row>
    <row r="951" spans="1:21" x14ac:dyDescent="0.2">
      <c r="A951" s="4" t="str">
        <f ca="1">IF(B951=" "," ",HYPERLINK(CONCATENATE("#metadata!",ADDRESS(INDEX($L$2:$L$1001,MATCH(ROWS($J$2:J951),$J$2:$J$1001,0),0),1)),INDEX($O$2:$O$1001,MATCH(ROWS($J$2:J951),$J$2:$J$1001,0),0)))</f>
        <v xml:space="preserve"> </v>
      </c>
      <c r="B951" s="3" t="str">
        <f ca="1">IF(OR(INDEX($K$2:$K$1001,MATCH(ROWS($J$2:J951),$J$2:$J$1001,0),1)&gt;=100000,INDEX($Q$1005:$U$1005,1,MATCH(COLUMNS($Q$1006:Q1006),$Q$1006:$U$1006,0))&gt;=100000), " ",IF(INDEX($Q$2:$U$1001,MATCH(ROWS($J$2:J951),$J$2:$J$1001,0),MATCH(COLUMNS($Q$1006:Q1006),$Q$1006:$U$1006,0)), HYPERLINK("#",""), HYPERLINK(CONCATENATE("#Metadata!", ADDRESS(INDEX($L$2:$L$1001,MATCH(ROWS($J$2:J951),$J$2:$J$1001,0),0), INDEX($Q$1004:$U$1004,1,MATCH(COLUMNS($Q$1006:Q1006),$Q$1006:$U$1006,0)))),"Fix")))</f>
        <v xml:space="preserve"> </v>
      </c>
      <c r="C951" s="3" t="str">
        <f ca="1">IF(OR(INDEX($K$2:$K$1001,MATCH(ROWS($J$2:J951),$J$2:$J$1001,0),1)&gt;=100000,INDEX($Q$1005:$U$1005,1,MATCH(COLUMNS($Q$1006:R1006),$Q$1006:$U$1006,0))&gt;=100000), " ",IF(INDEX($Q$2:$U$1001,MATCH(ROWS($J$2:J951),$J$2:$J$1001,0),MATCH(COLUMNS($Q$1006:R1006),$Q$1006:$U$1006,0)), HYPERLINK("#",""), HYPERLINK(CONCATENATE("#Metadata!", ADDRESS(INDEX($L$2:$L$1001,MATCH(ROWS($J$2:J951),$J$2:$J$1001,0),0), INDEX($Q$1004:$U$1004,1,MATCH(COLUMNS($Q$1006:R1006),$Q$1006:$U$1006,0)))),"Fix")))</f>
        <v xml:space="preserve"> </v>
      </c>
      <c r="D951" s="3" t="str">
        <f ca="1">IF(OR(INDEX($K$2:$K$1001,MATCH(ROWS($J$2:J951),$J$2:$J$1001,0),1)&gt;=100000,INDEX($Q$1005:$U$1005,1,MATCH(COLUMNS($Q$1006:S1006),$Q$1006:$U$1006,0))&gt;=100000), " ",IF(INDEX($Q$2:$U$1001,MATCH(ROWS($J$2:J951),$J$2:$J$1001,0),MATCH(COLUMNS($Q$1006:S1006),$Q$1006:$U$1006,0)), HYPERLINK("#",""), HYPERLINK(CONCATENATE("#Metadata!", ADDRESS(INDEX($L$2:$L$1001,MATCH(ROWS($J$2:J951),$J$2:$J$1001,0),0), INDEX($Q$1004:$U$1004,1,MATCH(COLUMNS($Q$1006:S1006),$Q$1006:$U$1006,0)))),"Fix")))</f>
        <v xml:space="preserve"> </v>
      </c>
      <c r="E951" s="3" t="str">
        <f ca="1">IF(OR(INDEX($K$2:$K$1001,MATCH(ROWS($J$2:J951),$J$2:$J$1001,0),1)&gt;=100000,INDEX($Q$1005:$U$1005,1,MATCH(COLUMNS($Q$1006:T1006),$Q$1006:$U$1006,0))&gt;=100000), " ",IF(INDEX($Q$2:$U$1001,MATCH(ROWS($J$2:J951),$J$2:$J$1001,0),MATCH(COLUMNS($Q$1006:T1006),$Q$1006:$U$1006,0)), HYPERLINK("#",""), HYPERLINK(CONCATENATE("#Metadata!", ADDRESS(INDEX($L$2:$L$1001,MATCH(ROWS($J$2:J951),$J$2:$J$1001,0),0), INDEX($Q$1004:$U$1004,1,MATCH(COLUMNS($Q$1006:T1006),$Q$1006:$U$1006,0)))),"Fix")))</f>
        <v xml:space="preserve"> </v>
      </c>
      <c r="F951" s="3" t="str">
        <f ca="1">IF(OR(INDEX($K$2:$K$1001,MATCH(ROWS($J$2:J951),$J$2:$J$1001,0),1)&gt;=100000,INDEX($Q$1005:$U$1005,1,MATCH(COLUMNS($Q$1006:U1006),$Q$1006:$U$1006,0))&gt;=100000), " ",IF(INDEX($Q$2:$U$1001,MATCH(ROWS($J$2:J951),$J$2:$J$1001,0),MATCH(COLUMNS($Q$1006:U1006),$Q$1006:$U$1006,0)), HYPERLINK("#",""), HYPERLINK(CONCATENATE("#Metadata!", ADDRESS(INDEX($L$2:$L$1001,MATCH(ROWS($J$2:J951),$J$2:$J$1001,0),0), INDEX($Q$1004:$U$1004,1,MATCH(COLUMNS($Q$1006:U1006),$Q$1006:$U$1006,0)))),"Fix")))</f>
        <v xml:space="preserve"> </v>
      </c>
      <c r="J951">
        <f ca="1"/>
        <v>950</v>
      </c>
      <c r="K951">
        <v>100951</v>
      </c>
      <c r="L951">
        <v>951</v>
      </c>
      <c r="M951" t="b">
        <f t="shared" si="14"/>
        <v>1</v>
      </c>
      <c r="N951" t="b">
        <f>COUNTBLANK(Metadata!B951:F951)=COLUMNS(Metadata!B951:F951)</f>
        <v>1</v>
      </c>
      <c r="O951" t="str">
        <v/>
      </c>
      <c r="Q951" t="b">
        <f ca="1"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R951" t="b">
        <f>IF(Metadata!C951="",FALSE,TRUE)</f>
        <v>0</v>
      </c>
      <c r="S951" t="b">
        <f>OR(AND(IF(Metadata!D951="",FALSE,TRUE),EXACT(Metadata!D951,"missing: not collected")),AND(IF(Metadata!D951="",FALSE,TRUE),OR(EXACT(Metadata!D951,"t"),EXACT(Metadata!D951,"f"))))</f>
        <v>0</v>
      </c>
      <c r="T951" t="b">
        <f>AND(IF(Metadata!E951="",FALSE,TRUE),OR(EXACT(Metadata!E951,"a"),EXACT(Metadata!E951,"b")))</f>
        <v>0</v>
      </c>
      <c r="U951" t="b">
        <f>OR(AND(IF(Metadata!F951="",FALSE,TRUE),OR(EXACT(Metadata!F951,"missing: not collected"),EXACT(Metadata!F951,"missing: not provided"))),AND(IF(Metadata!F951="",FALSE,TRUE),OR(EXACT(Metadata!F951,"lo"),EXACT(Metadata!F951,"med"),EXACT(Metadata!F951,"hi"))))</f>
        <v>0</v>
      </c>
    </row>
    <row r="952" spans="1:21" x14ac:dyDescent="0.2">
      <c r="A952" s="4" t="str">
        <f ca="1">IF(B952=" "," ",HYPERLINK(CONCATENATE("#metadata!",ADDRESS(INDEX($L$2:$L$1001,MATCH(ROWS($J$2:J952),$J$2:$J$1001,0),0),1)),INDEX($O$2:$O$1001,MATCH(ROWS($J$2:J952),$J$2:$J$1001,0),0)))</f>
        <v xml:space="preserve"> </v>
      </c>
      <c r="B952" s="3" t="str">
        <f ca="1">IF(OR(INDEX($K$2:$K$1001,MATCH(ROWS($J$2:J952),$J$2:$J$1001,0),1)&gt;=100000,INDEX($Q$1005:$U$1005,1,MATCH(COLUMNS($Q$1006:Q1006),$Q$1006:$U$1006,0))&gt;=100000), " ",IF(INDEX($Q$2:$U$1001,MATCH(ROWS($J$2:J952),$J$2:$J$1001,0),MATCH(COLUMNS($Q$1006:Q1006),$Q$1006:$U$1006,0)), HYPERLINK("#",""), HYPERLINK(CONCATENATE("#Metadata!", ADDRESS(INDEX($L$2:$L$1001,MATCH(ROWS($J$2:J952),$J$2:$J$1001,0),0), INDEX($Q$1004:$U$1004,1,MATCH(COLUMNS($Q$1006:Q1006),$Q$1006:$U$1006,0)))),"Fix")))</f>
        <v xml:space="preserve"> </v>
      </c>
      <c r="C952" s="3" t="str">
        <f ca="1">IF(OR(INDEX($K$2:$K$1001,MATCH(ROWS($J$2:J952),$J$2:$J$1001,0),1)&gt;=100000,INDEX($Q$1005:$U$1005,1,MATCH(COLUMNS($Q$1006:R1006),$Q$1006:$U$1006,0))&gt;=100000), " ",IF(INDEX($Q$2:$U$1001,MATCH(ROWS($J$2:J952),$J$2:$J$1001,0),MATCH(COLUMNS($Q$1006:R1006),$Q$1006:$U$1006,0)), HYPERLINK("#",""), HYPERLINK(CONCATENATE("#Metadata!", ADDRESS(INDEX($L$2:$L$1001,MATCH(ROWS($J$2:J952),$J$2:$J$1001,0),0), INDEX($Q$1004:$U$1004,1,MATCH(COLUMNS($Q$1006:R1006),$Q$1006:$U$1006,0)))),"Fix")))</f>
        <v xml:space="preserve"> </v>
      </c>
      <c r="D952" s="3" t="str">
        <f ca="1">IF(OR(INDEX($K$2:$K$1001,MATCH(ROWS($J$2:J952),$J$2:$J$1001,0),1)&gt;=100000,INDEX($Q$1005:$U$1005,1,MATCH(COLUMNS($Q$1006:S1006),$Q$1006:$U$1006,0))&gt;=100000), " ",IF(INDEX($Q$2:$U$1001,MATCH(ROWS($J$2:J952),$J$2:$J$1001,0),MATCH(COLUMNS($Q$1006:S1006),$Q$1006:$U$1006,0)), HYPERLINK("#",""), HYPERLINK(CONCATENATE("#Metadata!", ADDRESS(INDEX($L$2:$L$1001,MATCH(ROWS($J$2:J952),$J$2:$J$1001,0),0), INDEX($Q$1004:$U$1004,1,MATCH(COLUMNS($Q$1006:S1006),$Q$1006:$U$1006,0)))),"Fix")))</f>
        <v xml:space="preserve"> </v>
      </c>
      <c r="E952" s="3" t="str">
        <f ca="1">IF(OR(INDEX($K$2:$K$1001,MATCH(ROWS($J$2:J952),$J$2:$J$1001,0),1)&gt;=100000,INDEX($Q$1005:$U$1005,1,MATCH(COLUMNS($Q$1006:T1006),$Q$1006:$U$1006,0))&gt;=100000), " ",IF(INDEX($Q$2:$U$1001,MATCH(ROWS($J$2:J952),$J$2:$J$1001,0),MATCH(COLUMNS($Q$1006:T1006),$Q$1006:$U$1006,0)), HYPERLINK("#",""), HYPERLINK(CONCATENATE("#Metadata!", ADDRESS(INDEX($L$2:$L$1001,MATCH(ROWS($J$2:J952),$J$2:$J$1001,0),0), INDEX($Q$1004:$U$1004,1,MATCH(COLUMNS($Q$1006:T1006),$Q$1006:$U$1006,0)))),"Fix")))</f>
        <v xml:space="preserve"> </v>
      </c>
      <c r="F952" s="3" t="str">
        <f ca="1">IF(OR(INDEX($K$2:$K$1001,MATCH(ROWS($J$2:J952),$J$2:$J$1001,0),1)&gt;=100000,INDEX($Q$1005:$U$1005,1,MATCH(COLUMNS($Q$1006:U1006),$Q$1006:$U$1006,0))&gt;=100000), " ",IF(INDEX($Q$2:$U$1001,MATCH(ROWS($J$2:J952),$J$2:$J$1001,0),MATCH(COLUMNS($Q$1006:U1006),$Q$1006:$U$1006,0)), HYPERLINK("#",""), HYPERLINK(CONCATENATE("#Metadata!", ADDRESS(INDEX($L$2:$L$1001,MATCH(ROWS($J$2:J952),$J$2:$J$1001,0),0), INDEX($Q$1004:$U$1004,1,MATCH(COLUMNS($Q$1006:U1006),$Q$1006:$U$1006,0)))),"Fix")))</f>
        <v xml:space="preserve"> </v>
      </c>
      <c r="J952">
        <f ca="1"/>
        <v>951</v>
      </c>
      <c r="K952">
        <v>100952</v>
      </c>
      <c r="L952">
        <v>952</v>
      </c>
      <c r="M952" t="b">
        <f t="shared" si="14"/>
        <v>1</v>
      </c>
      <c r="N952" t="b">
        <f>COUNTBLANK(Metadata!B952:F952)=COLUMNS(Metadata!B952:F952)</f>
        <v>1</v>
      </c>
      <c r="O952" t="str">
        <v/>
      </c>
      <c r="Q952" t="b">
        <f ca="1"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R952" t="b">
        <f>IF(Metadata!C952="",FALSE,TRUE)</f>
        <v>0</v>
      </c>
      <c r="S952" t="b">
        <f>OR(AND(IF(Metadata!D952="",FALSE,TRUE),EXACT(Metadata!D952,"missing: not collected")),AND(IF(Metadata!D952="",FALSE,TRUE),OR(EXACT(Metadata!D952,"t"),EXACT(Metadata!D952,"f"))))</f>
        <v>0</v>
      </c>
      <c r="T952" t="b">
        <f>AND(IF(Metadata!E952="",FALSE,TRUE),OR(EXACT(Metadata!E952,"a"),EXACT(Metadata!E952,"b")))</f>
        <v>0</v>
      </c>
      <c r="U952" t="b">
        <f>OR(AND(IF(Metadata!F952="",FALSE,TRUE),OR(EXACT(Metadata!F952,"missing: not collected"),EXACT(Metadata!F952,"missing: not provided"))),AND(IF(Metadata!F952="",FALSE,TRUE),OR(EXACT(Metadata!F952,"lo"),EXACT(Metadata!F952,"med"),EXACT(Metadata!F952,"hi"))))</f>
        <v>0</v>
      </c>
    </row>
    <row r="953" spans="1:21" x14ac:dyDescent="0.2">
      <c r="A953" s="4" t="str">
        <f ca="1">IF(B953=" "," ",HYPERLINK(CONCATENATE("#metadata!",ADDRESS(INDEX($L$2:$L$1001,MATCH(ROWS($J$2:J953),$J$2:$J$1001,0),0),1)),INDEX($O$2:$O$1001,MATCH(ROWS($J$2:J953),$J$2:$J$1001,0),0)))</f>
        <v xml:space="preserve"> </v>
      </c>
      <c r="B953" s="3" t="str">
        <f ca="1">IF(OR(INDEX($K$2:$K$1001,MATCH(ROWS($J$2:J953),$J$2:$J$1001,0),1)&gt;=100000,INDEX($Q$1005:$U$1005,1,MATCH(COLUMNS($Q$1006:Q1006),$Q$1006:$U$1006,0))&gt;=100000), " ",IF(INDEX($Q$2:$U$1001,MATCH(ROWS($J$2:J953),$J$2:$J$1001,0),MATCH(COLUMNS($Q$1006:Q1006),$Q$1006:$U$1006,0)), HYPERLINK("#",""), HYPERLINK(CONCATENATE("#Metadata!", ADDRESS(INDEX($L$2:$L$1001,MATCH(ROWS($J$2:J953),$J$2:$J$1001,0),0), INDEX($Q$1004:$U$1004,1,MATCH(COLUMNS($Q$1006:Q1006),$Q$1006:$U$1006,0)))),"Fix")))</f>
        <v xml:space="preserve"> </v>
      </c>
      <c r="C953" s="3" t="str">
        <f ca="1">IF(OR(INDEX($K$2:$K$1001,MATCH(ROWS($J$2:J953),$J$2:$J$1001,0),1)&gt;=100000,INDEX($Q$1005:$U$1005,1,MATCH(COLUMNS($Q$1006:R1006),$Q$1006:$U$1006,0))&gt;=100000), " ",IF(INDEX($Q$2:$U$1001,MATCH(ROWS($J$2:J953),$J$2:$J$1001,0),MATCH(COLUMNS($Q$1006:R1006),$Q$1006:$U$1006,0)), HYPERLINK("#",""), HYPERLINK(CONCATENATE("#Metadata!", ADDRESS(INDEX($L$2:$L$1001,MATCH(ROWS($J$2:J953),$J$2:$J$1001,0),0), INDEX($Q$1004:$U$1004,1,MATCH(COLUMNS($Q$1006:R1006),$Q$1006:$U$1006,0)))),"Fix")))</f>
        <v xml:space="preserve"> </v>
      </c>
      <c r="D953" s="3" t="str">
        <f ca="1">IF(OR(INDEX($K$2:$K$1001,MATCH(ROWS($J$2:J953),$J$2:$J$1001,0),1)&gt;=100000,INDEX($Q$1005:$U$1005,1,MATCH(COLUMNS($Q$1006:S1006),$Q$1006:$U$1006,0))&gt;=100000), " ",IF(INDEX($Q$2:$U$1001,MATCH(ROWS($J$2:J953),$J$2:$J$1001,0),MATCH(COLUMNS($Q$1006:S1006),$Q$1006:$U$1006,0)), HYPERLINK("#",""), HYPERLINK(CONCATENATE("#Metadata!", ADDRESS(INDEX($L$2:$L$1001,MATCH(ROWS($J$2:J953),$J$2:$J$1001,0),0), INDEX($Q$1004:$U$1004,1,MATCH(COLUMNS($Q$1006:S1006),$Q$1006:$U$1006,0)))),"Fix")))</f>
        <v xml:space="preserve"> </v>
      </c>
      <c r="E953" s="3" t="str">
        <f ca="1">IF(OR(INDEX($K$2:$K$1001,MATCH(ROWS($J$2:J953),$J$2:$J$1001,0),1)&gt;=100000,INDEX($Q$1005:$U$1005,1,MATCH(COLUMNS($Q$1006:T1006),$Q$1006:$U$1006,0))&gt;=100000), " ",IF(INDEX($Q$2:$U$1001,MATCH(ROWS($J$2:J953),$J$2:$J$1001,0),MATCH(COLUMNS($Q$1006:T1006),$Q$1006:$U$1006,0)), HYPERLINK("#",""), HYPERLINK(CONCATENATE("#Metadata!", ADDRESS(INDEX($L$2:$L$1001,MATCH(ROWS($J$2:J953),$J$2:$J$1001,0),0), INDEX($Q$1004:$U$1004,1,MATCH(COLUMNS($Q$1006:T1006),$Q$1006:$U$1006,0)))),"Fix")))</f>
        <v xml:space="preserve"> </v>
      </c>
      <c r="F953" s="3" t="str">
        <f ca="1">IF(OR(INDEX($K$2:$K$1001,MATCH(ROWS($J$2:J953),$J$2:$J$1001,0),1)&gt;=100000,INDEX($Q$1005:$U$1005,1,MATCH(COLUMNS($Q$1006:U1006),$Q$1006:$U$1006,0))&gt;=100000), " ",IF(INDEX($Q$2:$U$1001,MATCH(ROWS($J$2:J953),$J$2:$J$1001,0),MATCH(COLUMNS($Q$1006:U1006),$Q$1006:$U$1006,0)), HYPERLINK("#",""), HYPERLINK(CONCATENATE("#Metadata!", ADDRESS(INDEX($L$2:$L$1001,MATCH(ROWS($J$2:J953),$J$2:$J$1001,0),0), INDEX($Q$1004:$U$1004,1,MATCH(COLUMNS($Q$1006:U1006),$Q$1006:$U$1006,0)))),"Fix")))</f>
        <v xml:space="preserve"> </v>
      </c>
      <c r="J953">
        <f ca="1"/>
        <v>952</v>
      </c>
      <c r="K953">
        <v>100953</v>
      </c>
      <c r="L953">
        <v>953</v>
      </c>
      <c r="M953" t="b">
        <f t="shared" si="14"/>
        <v>1</v>
      </c>
      <c r="N953" t="b">
        <f>COUNTBLANK(Metadata!B953:F953)=COLUMNS(Metadata!B953:F953)</f>
        <v>1</v>
      </c>
      <c r="O953" t="str">
        <v/>
      </c>
      <c r="Q953" t="b">
        <f ca="1"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R953" t="b">
        <f>IF(Metadata!C953="",FALSE,TRUE)</f>
        <v>0</v>
      </c>
      <c r="S953" t="b">
        <f>OR(AND(IF(Metadata!D953="",FALSE,TRUE),EXACT(Metadata!D953,"missing: not collected")),AND(IF(Metadata!D953="",FALSE,TRUE),OR(EXACT(Metadata!D953,"t"),EXACT(Metadata!D953,"f"))))</f>
        <v>0</v>
      </c>
      <c r="T953" t="b">
        <f>AND(IF(Metadata!E953="",FALSE,TRUE),OR(EXACT(Metadata!E953,"a"),EXACT(Metadata!E953,"b")))</f>
        <v>0</v>
      </c>
      <c r="U953" t="b">
        <f>OR(AND(IF(Metadata!F953="",FALSE,TRUE),OR(EXACT(Metadata!F953,"missing: not collected"),EXACT(Metadata!F953,"missing: not provided"))),AND(IF(Metadata!F953="",FALSE,TRUE),OR(EXACT(Metadata!F953,"lo"),EXACT(Metadata!F953,"med"),EXACT(Metadata!F953,"hi"))))</f>
        <v>0</v>
      </c>
    </row>
    <row r="954" spans="1:21" x14ac:dyDescent="0.2">
      <c r="A954" s="4" t="str">
        <f ca="1">IF(B954=" "," ",HYPERLINK(CONCATENATE("#metadata!",ADDRESS(INDEX($L$2:$L$1001,MATCH(ROWS($J$2:J954),$J$2:$J$1001,0),0),1)),INDEX($O$2:$O$1001,MATCH(ROWS($J$2:J954),$J$2:$J$1001,0),0)))</f>
        <v xml:space="preserve"> </v>
      </c>
      <c r="B954" s="3" t="str">
        <f ca="1">IF(OR(INDEX($K$2:$K$1001,MATCH(ROWS($J$2:J954),$J$2:$J$1001,0),1)&gt;=100000,INDEX($Q$1005:$U$1005,1,MATCH(COLUMNS($Q$1006:Q1006),$Q$1006:$U$1006,0))&gt;=100000), " ",IF(INDEX($Q$2:$U$1001,MATCH(ROWS($J$2:J954),$J$2:$J$1001,0),MATCH(COLUMNS($Q$1006:Q1006),$Q$1006:$U$1006,0)), HYPERLINK("#",""), HYPERLINK(CONCATENATE("#Metadata!", ADDRESS(INDEX($L$2:$L$1001,MATCH(ROWS($J$2:J954),$J$2:$J$1001,0),0), INDEX($Q$1004:$U$1004,1,MATCH(COLUMNS($Q$1006:Q1006),$Q$1006:$U$1006,0)))),"Fix")))</f>
        <v xml:space="preserve"> </v>
      </c>
      <c r="C954" s="3" t="str">
        <f ca="1">IF(OR(INDEX($K$2:$K$1001,MATCH(ROWS($J$2:J954),$J$2:$J$1001,0),1)&gt;=100000,INDEX($Q$1005:$U$1005,1,MATCH(COLUMNS($Q$1006:R1006),$Q$1006:$U$1006,0))&gt;=100000), " ",IF(INDEX($Q$2:$U$1001,MATCH(ROWS($J$2:J954),$J$2:$J$1001,0),MATCH(COLUMNS($Q$1006:R1006),$Q$1006:$U$1006,0)), HYPERLINK("#",""), HYPERLINK(CONCATENATE("#Metadata!", ADDRESS(INDEX($L$2:$L$1001,MATCH(ROWS($J$2:J954),$J$2:$J$1001,0),0), INDEX($Q$1004:$U$1004,1,MATCH(COLUMNS($Q$1006:R1006),$Q$1006:$U$1006,0)))),"Fix")))</f>
        <v xml:space="preserve"> </v>
      </c>
      <c r="D954" s="3" t="str">
        <f ca="1">IF(OR(INDEX($K$2:$K$1001,MATCH(ROWS($J$2:J954),$J$2:$J$1001,0),1)&gt;=100000,INDEX($Q$1005:$U$1005,1,MATCH(COLUMNS($Q$1006:S1006),$Q$1006:$U$1006,0))&gt;=100000), " ",IF(INDEX($Q$2:$U$1001,MATCH(ROWS($J$2:J954),$J$2:$J$1001,0),MATCH(COLUMNS($Q$1006:S1006),$Q$1006:$U$1006,0)), HYPERLINK("#",""), HYPERLINK(CONCATENATE("#Metadata!", ADDRESS(INDEX($L$2:$L$1001,MATCH(ROWS($J$2:J954),$J$2:$J$1001,0),0), INDEX($Q$1004:$U$1004,1,MATCH(COLUMNS($Q$1006:S1006),$Q$1006:$U$1006,0)))),"Fix")))</f>
        <v xml:space="preserve"> </v>
      </c>
      <c r="E954" s="3" t="str">
        <f ca="1">IF(OR(INDEX($K$2:$K$1001,MATCH(ROWS($J$2:J954),$J$2:$J$1001,0),1)&gt;=100000,INDEX($Q$1005:$U$1005,1,MATCH(COLUMNS($Q$1006:T1006),$Q$1006:$U$1006,0))&gt;=100000), " ",IF(INDEX($Q$2:$U$1001,MATCH(ROWS($J$2:J954),$J$2:$J$1001,0),MATCH(COLUMNS($Q$1006:T1006),$Q$1006:$U$1006,0)), HYPERLINK("#",""), HYPERLINK(CONCATENATE("#Metadata!", ADDRESS(INDEX($L$2:$L$1001,MATCH(ROWS($J$2:J954),$J$2:$J$1001,0),0), INDEX($Q$1004:$U$1004,1,MATCH(COLUMNS($Q$1006:T1006),$Q$1006:$U$1006,0)))),"Fix")))</f>
        <v xml:space="preserve"> </v>
      </c>
      <c r="F954" s="3" t="str">
        <f ca="1">IF(OR(INDEX($K$2:$K$1001,MATCH(ROWS($J$2:J954),$J$2:$J$1001,0),1)&gt;=100000,INDEX($Q$1005:$U$1005,1,MATCH(COLUMNS($Q$1006:U1006),$Q$1006:$U$1006,0))&gt;=100000), " ",IF(INDEX($Q$2:$U$1001,MATCH(ROWS($J$2:J954),$J$2:$J$1001,0),MATCH(COLUMNS($Q$1006:U1006),$Q$1006:$U$1006,0)), HYPERLINK("#",""), HYPERLINK(CONCATENATE("#Metadata!", ADDRESS(INDEX($L$2:$L$1001,MATCH(ROWS($J$2:J954),$J$2:$J$1001,0),0), INDEX($Q$1004:$U$1004,1,MATCH(COLUMNS($Q$1006:U1006),$Q$1006:$U$1006,0)))),"Fix")))</f>
        <v xml:space="preserve"> </v>
      </c>
      <c r="J954">
        <f ca="1"/>
        <v>953</v>
      </c>
      <c r="K954">
        <v>100954</v>
      </c>
      <c r="L954">
        <v>954</v>
      </c>
      <c r="M954" t="b">
        <f t="shared" si="14"/>
        <v>1</v>
      </c>
      <c r="N954" t="b">
        <f>COUNTBLANK(Metadata!B954:F954)=COLUMNS(Metadata!B954:F954)</f>
        <v>1</v>
      </c>
      <c r="O954" t="str">
        <v/>
      </c>
      <c r="Q954" t="b">
        <f ca="1"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R954" t="b">
        <f>IF(Metadata!C954="",FALSE,TRUE)</f>
        <v>0</v>
      </c>
      <c r="S954" t="b">
        <f>OR(AND(IF(Metadata!D954="",FALSE,TRUE),EXACT(Metadata!D954,"missing: not collected")),AND(IF(Metadata!D954="",FALSE,TRUE),OR(EXACT(Metadata!D954,"t"),EXACT(Metadata!D954,"f"))))</f>
        <v>0</v>
      </c>
      <c r="T954" t="b">
        <f>AND(IF(Metadata!E954="",FALSE,TRUE),OR(EXACT(Metadata!E954,"a"),EXACT(Metadata!E954,"b")))</f>
        <v>0</v>
      </c>
      <c r="U954" t="b">
        <f>OR(AND(IF(Metadata!F954="",FALSE,TRUE),OR(EXACT(Metadata!F954,"missing: not collected"),EXACT(Metadata!F954,"missing: not provided"))),AND(IF(Metadata!F954="",FALSE,TRUE),OR(EXACT(Metadata!F954,"lo"),EXACT(Metadata!F954,"med"),EXACT(Metadata!F954,"hi"))))</f>
        <v>0</v>
      </c>
    </row>
    <row r="955" spans="1:21" x14ac:dyDescent="0.2">
      <c r="A955" s="4" t="str">
        <f ca="1">IF(B955=" "," ",HYPERLINK(CONCATENATE("#metadata!",ADDRESS(INDEX($L$2:$L$1001,MATCH(ROWS($J$2:J955),$J$2:$J$1001,0),0),1)),INDEX($O$2:$O$1001,MATCH(ROWS($J$2:J955),$J$2:$J$1001,0),0)))</f>
        <v xml:space="preserve"> </v>
      </c>
      <c r="B955" s="3" t="str">
        <f ca="1">IF(OR(INDEX($K$2:$K$1001,MATCH(ROWS($J$2:J955),$J$2:$J$1001,0),1)&gt;=100000,INDEX($Q$1005:$U$1005,1,MATCH(COLUMNS($Q$1006:Q1006),$Q$1006:$U$1006,0))&gt;=100000), " ",IF(INDEX($Q$2:$U$1001,MATCH(ROWS($J$2:J955),$J$2:$J$1001,0),MATCH(COLUMNS($Q$1006:Q1006),$Q$1006:$U$1006,0)), HYPERLINK("#",""), HYPERLINK(CONCATENATE("#Metadata!", ADDRESS(INDEX($L$2:$L$1001,MATCH(ROWS($J$2:J955),$J$2:$J$1001,0),0), INDEX($Q$1004:$U$1004,1,MATCH(COLUMNS($Q$1006:Q1006),$Q$1006:$U$1006,0)))),"Fix")))</f>
        <v xml:space="preserve"> </v>
      </c>
      <c r="C955" s="3" t="str">
        <f ca="1">IF(OR(INDEX($K$2:$K$1001,MATCH(ROWS($J$2:J955),$J$2:$J$1001,0),1)&gt;=100000,INDEX($Q$1005:$U$1005,1,MATCH(COLUMNS($Q$1006:R1006),$Q$1006:$U$1006,0))&gt;=100000), " ",IF(INDEX($Q$2:$U$1001,MATCH(ROWS($J$2:J955),$J$2:$J$1001,0),MATCH(COLUMNS($Q$1006:R1006),$Q$1006:$U$1006,0)), HYPERLINK("#",""), HYPERLINK(CONCATENATE("#Metadata!", ADDRESS(INDEX($L$2:$L$1001,MATCH(ROWS($J$2:J955),$J$2:$J$1001,0),0), INDEX($Q$1004:$U$1004,1,MATCH(COLUMNS($Q$1006:R1006),$Q$1006:$U$1006,0)))),"Fix")))</f>
        <v xml:space="preserve"> </v>
      </c>
      <c r="D955" s="3" t="str">
        <f ca="1">IF(OR(INDEX($K$2:$K$1001,MATCH(ROWS($J$2:J955),$J$2:$J$1001,0),1)&gt;=100000,INDEX($Q$1005:$U$1005,1,MATCH(COLUMNS($Q$1006:S1006),$Q$1006:$U$1006,0))&gt;=100000), " ",IF(INDEX($Q$2:$U$1001,MATCH(ROWS($J$2:J955),$J$2:$J$1001,0),MATCH(COLUMNS($Q$1006:S1006),$Q$1006:$U$1006,0)), HYPERLINK("#",""), HYPERLINK(CONCATENATE("#Metadata!", ADDRESS(INDEX($L$2:$L$1001,MATCH(ROWS($J$2:J955),$J$2:$J$1001,0),0), INDEX($Q$1004:$U$1004,1,MATCH(COLUMNS($Q$1006:S1006),$Q$1006:$U$1006,0)))),"Fix")))</f>
        <v xml:space="preserve"> </v>
      </c>
      <c r="E955" s="3" t="str">
        <f ca="1">IF(OR(INDEX($K$2:$K$1001,MATCH(ROWS($J$2:J955),$J$2:$J$1001,0),1)&gt;=100000,INDEX($Q$1005:$U$1005,1,MATCH(COLUMNS($Q$1006:T1006),$Q$1006:$U$1006,0))&gt;=100000), " ",IF(INDEX($Q$2:$U$1001,MATCH(ROWS($J$2:J955),$J$2:$J$1001,0),MATCH(COLUMNS($Q$1006:T1006),$Q$1006:$U$1006,0)), HYPERLINK("#",""), HYPERLINK(CONCATENATE("#Metadata!", ADDRESS(INDEX($L$2:$L$1001,MATCH(ROWS($J$2:J955),$J$2:$J$1001,0),0), INDEX($Q$1004:$U$1004,1,MATCH(COLUMNS($Q$1006:T1006),$Q$1006:$U$1006,0)))),"Fix")))</f>
        <v xml:space="preserve"> </v>
      </c>
      <c r="F955" s="3" t="str">
        <f ca="1">IF(OR(INDEX($K$2:$K$1001,MATCH(ROWS($J$2:J955),$J$2:$J$1001,0),1)&gt;=100000,INDEX($Q$1005:$U$1005,1,MATCH(COLUMNS($Q$1006:U1006),$Q$1006:$U$1006,0))&gt;=100000), " ",IF(INDEX($Q$2:$U$1001,MATCH(ROWS($J$2:J955),$J$2:$J$1001,0),MATCH(COLUMNS($Q$1006:U1006),$Q$1006:$U$1006,0)), HYPERLINK("#",""), HYPERLINK(CONCATENATE("#Metadata!", ADDRESS(INDEX($L$2:$L$1001,MATCH(ROWS($J$2:J955),$J$2:$J$1001,0),0), INDEX($Q$1004:$U$1004,1,MATCH(COLUMNS($Q$1006:U1006),$Q$1006:$U$1006,0)))),"Fix")))</f>
        <v xml:space="preserve"> </v>
      </c>
      <c r="J955">
        <f ca="1"/>
        <v>954</v>
      </c>
      <c r="K955">
        <v>100955</v>
      </c>
      <c r="L955">
        <v>955</v>
      </c>
      <c r="M955" t="b">
        <f t="shared" si="14"/>
        <v>1</v>
      </c>
      <c r="N955" t="b">
        <f>COUNTBLANK(Metadata!B955:F955)=COLUMNS(Metadata!B955:F955)</f>
        <v>1</v>
      </c>
      <c r="O955" t="str">
        <v/>
      </c>
      <c r="Q955" t="b">
        <f ca="1"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R955" t="b">
        <f>IF(Metadata!C955="",FALSE,TRUE)</f>
        <v>0</v>
      </c>
      <c r="S955" t="b">
        <f>OR(AND(IF(Metadata!D955="",FALSE,TRUE),EXACT(Metadata!D955,"missing: not collected")),AND(IF(Metadata!D955="",FALSE,TRUE),OR(EXACT(Metadata!D955,"t"),EXACT(Metadata!D955,"f"))))</f>
        <v>0</v>
      </c>
      <c r="T955" t="b">
        <f>AND(IF(Metadata!E955="",FALSE,TRUE),OR(EXACT(Metadata!E955,"a"),EXACT(Metadata!E955,"b")))</f>
        <v>0</v>
      </c>
      <c r="U955" t="b">
        <f>OR(AND(IF(Metadata!F955="",FALSE,TRUE),OR(EXACT(Metadata!F955,"missing: not collected"),EXACT(Metadata!F955,"missing: not provided"))),AND(IF(Metadata!F955="",FALSE,TRUE),OR(EXACT(Metadata!F955,"lo"),EXACT(Metadata!F955,"med"),EXACT(Metadata!F955,"hi"))))</f>
        <v>0</v>
      </c>
    </row>
    <row r="956" spans="1:21" x14ac:dyDescent="0.2">
      <c r="A956" s="4" t="str">
        <f ca="1">IF(B956=" "," ",HYPERLINK(CONCATENATE("#metadata!",ADDRESS(INDEX($L$2:$L$1001,MATCH(ROWS($J$2:J956),$J$2:$J$1001,0),0),1)),INDEX($O$2:$O$1001,MATCH(ROWS($J$2:J956),$J$2:$J$1001,0),0)))</f>
        <v xml:space="preserve"> </v>
      </c>
      <c r="B956" s="3" t="str">
        <f ca="1">IF(OR(INDEX($K$2:$K$1001,MATCH(ROWS($J$2:J956),$J$2:$J$1001,0),1)&gt;=100000,INDEX($Q$1005:$U$1005,1,MATCH(COLUMNS($Q$1006:Q1006),$Q$1006:$U$1006,0))&gt;=100000), " ",IF(INDEX($Q$2:$U$1001,MATCH(ROWS($J$2:J956),$J$2:$J$1001,0),MATCH(COLUMNS($Q$1006:Q1006),$Q$1006:$U$1006,0)), HYPERLINK("#",""), HYPERLINK(CONCATENATE("#Metadata!", ADDRESS(INDEX($L$2:$L$1001,MATCH(ROWS($J$2:J956),$J$2:$J$1001,0),0), INDEX($Q$1004:$U$1004,1,MATCH(COLUMNS($Q$1006:Q1006),$Q$1006:$U$1006,0)))),"Fix")))</f>
        <v xml:space="preserve"> </v>
      </c>
      <c r="C956" s="3" t="str">
        <f ca="1">IF(OR(INDEX($K$2:$K$1001,MATCH(ROWS($J$2:J956),$J$2:$J$1001,0),1)&gt;=100000,INDEX($Q$1005:$U$1005,1,MATCH(COLUMNS($Q$1006:R1006),$Q$1006:$U$1006,0))&gt;=100000), " ",IF(INDEX($Q$2:$U$1001,MATCH(ROWS($J$2:J956),$J$2:$J$1001,0),MATCH(COLUMNS($Q$1006:R1006),$Q$1006:$U$1006,0)), HYPERLINK("#",""), HYPERLINK(CONCATENATE("#Metadata!", ADDRESS(INDEX($L$2:$L$1001,MATCH(ROWS($J$2:J956),$J$2:$J$1001,0),0), INDEX($Q$1004:$U$1004,1,MATCH(COLUMNS($Q$1006:R1006),$Q$1006:$U$1006,0)))),"Fix")))</f>
        <v xml:space="preserve"> </v>
      </c>
      <c r="D956" s="3" t="str">
        <f ca="1">IF(OR(INDEX($K$2:$K$1001,MATCH(ROWS($J$2:J956),$J$2:$J$1001,0),1)&gt;=100000,INDEX($Q$1005:$U$1005,1,MATCH(COLUMNS($Q$1006:S1006),$Q$1006:$U$1006,0))&gt;=100000), " ",IF(INDEX($Q$2:$U$1001,MATCH(ROWS($J$2:J956),$J$2:$J$1001,0),MATCH(COLUMNS($Q$1006:S1006),$Q$1006:$U$1006,0)), HYPERLINK("#",""), HYPERLINK(CONCATENATE("#Metadata!", ADDRESS(INDEX($L$2:$L$1001,MATCH(ROWS($J$2:J956),$J$2:$J$1001,0),0), INDEX($Q$1004:$U$1004,1,MATCH(COLUMNS($Q$1006:S1006),$Q$1006:$U$1006,0)))),"Fix")))</f>
        <v xml:space="preserve"> </v>
      </c>
      <c r="E956" s="3" t="str">
        <f ca="1">IF(OR(INDEX($K$2:$K$1001,MATCH(ROWS($J$2:J956),$J$2:$J$1001,0),1)&gt;=100000,INDEX($Q$1005:$U$1005,1,MATCH(COLUMNS($Q$1006:T1006),$Q$1006:$U$1006,0))&gt;=100000), " ",IF(INDEX($Q$2:$U$1001,MATCH(ROWS($J$2:J956),$J$2:$J$1001,0),MATCH(COLUMNS($Q$1006:T1006),$Q$1006:$U$1006,0)), HYPERLINK("#",""), HYPERLINK(CONCATENATE("#Metadata!", ADDRESS(INDEX($L$2:$L$1001,MATCH(ROWS($J$2:J956),$J$2:$J$1001,0),0), INDEX($Q$1004:$U$1004,1,MATCH(COLUMNS($Q$1006:T1006),$Q$1006:$U$1006,0)))),"Fix")))</f>
        <v xml:space="preserve"> </v>
      </c>
      <c r="F956" s="3" t="str">
        <f ca="1">IF(OR(INDEX($K$2:$K$1001,MATCH(ROWS($J$2:J956),$J$2:$J$1001,0),1)&gt;=100000,INDEX($Q$1005:$U$1005,1,MATCH(COLUMNS($Q$1006:U1006),$Q$1006:$U$1006,0))&gt;=100000), " ",IF(INDEX($Q$2:$U$1001,MATCH(ROWS($J$2:J956),$J$2:$J$1001,0),MATCH(COLUMNS($Q$1006:U1006),$Q$1006:$U$1006,0)), HYPERLINK("#",""), HYPERLINK(CONCATENATE("#Metadata!", ADDRESS(INDEX($L$2:$L$1001,MATCH(ROWS($J$2:J956),$J$2:$J$1001,0),0), INDEX($Q$1004:$U$1004,1,MATCH(COLUMNS($Q$1006:U1006),$Q$1006:$U$1006,0)))),"Fix")))</f>
        <v xml:space="preserve"> </v>
      </c>
      <c r="J956">
        <f ca="1"/>
        <v>955</v>
      </c>
      <c r="K956">
        <v>100956</v>
      </c>
      <c r="L956">
        <v>956</v>
      </c>
      <c r="M956" t="b">
        <f t="shared" si="14"/>
        <v>1</v>
      </c>
      <c r="N956" t="b">
        <f>COUNTBLANK(Metadata!B956:F956)=COLUMNS(Metadata!B956:F956)</f>
        <v>1</v>
      </c>
      <c r="O956" t="str">
        <v/>
      </c>
      <c r="Q956" t="b">
        <f ca="1"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R956" t="b">
        <f>IF(Metadata!C956="",FALSE,TRUE)</f>
        <v>0</v>
      </c>
      <c r="S956" t="b">
        <f>OR(AND(IF(Metadata!D956="",FALSE,TRUE),EXACT(Metadata!D956,"missing: not collected")),AND(IF(Metadata!D956="",FALSE,TRUE),OR(EXACT(Metadata!D956,"t"),EXACT(Metadata!D956,"f"))))</f>
        <v>0</v>
      </c>
      <c r="T956" t="b">
        <f>AND(IF(Metadata!E956="",FALSE,TRUE),OR(EXACT(Metadata!E956,"a"),EXACT(Metadata!E956,"b")))</f>
        <v>0</v>
      </c>
      <c r="U956" t="b">
        <f>OR(AND(IF(Metadata!F956="",FALSE,TRUE),OR(EXACT(Metadata!F956,"missing: not collected"),EXACT(Metadata!F956,"missing: not provided"))),AND(IF(Metadata!F956="",FALSE,TRUE),OR(EXACT(Metadata!F956,"lo"),EXACT(Metadata!F956,"med"),EXACT(Metadata!F956,"hi"))))</f>
        <v>0</v>
      </c>
    </row>
    <row r="957" spans="1:21" x14ac:dyDescent="0.2">
      <c r="A957" s="4" t="str">
        <f ca="1">IF(B957=" "," ",HYPERLINK(CONCATENATE("#metadata!",ADDRESS(INDEX($L$2:$L$1001,MATCH(ROWS($J$2:J957),$J$2:$J$1001,0),0),1)),INDEX($O$2:$O$1001,MATCH(ROWS($J$2:J957),$J$2:$J$1001,0),0)))</f>
        <v xml:space="preserve"> </v>
      </c>
      <c r="B957" s="3" t="str">
        <f ca="1">IF(OR(INDEX($K$2:$K$1001,MATCH(ROWS($J$2:J957),$J$2:$J$1001,0),1)&gt;=100000,INDEX($Q$1005:$U$1005,1,MATCH(COLUMNS($Q$1006:Q1006),$Q$1006:$U$1006,0))&gt;=100000), " ",IF(INDEX($Q$2:$U$1001,MATCH(ROWS($J$2:J957),$J$2:$J$1001,0),MATCH(COLUMNS($Q$1006:Q1006),$Q$1006:$U$1006,0)), HYPERLINK("#",""), HYPERLINK(CONCATENATE("#Metadata!", ADDRESS(INDEX($L$2:$L$1001,MATCH(ROWS($J$2:J957),$J$2:$J$1001,0),0), INDEX($Q$1004:$U$1004,1,MATCH(COLUMNS($Q$1006:Q1006),$Q$1006:$U$1006,0)))),"Fix")))</f>
        <v xml:space="preserve"> </v>
      </c>
      <c r="C957" s="3" t="str">
        <f ca="1">IF(OR(INDEX($K$2:$K$1001,MATCH(ROWS($J$2:J957),$J$2:$J$1001,0),1)&gt;=100000,INDEX($Q$1005:$U$1005,1,MATCH(COLUMNS($Q$1006:R1006),$Q$1006:$U$1006,0))&gt;=100000), " ",IF(INDEX($Q$2:$U$1001,MATCH(ROWS($J$2:J957),$J$2:$J$1001,0),MATCH(COLUMNS($Q$1006:R1006),$Q$1006:$U$1006,0)), HYPERLINK("#",""), HYPERLINK(CONCATENATE("#Metadata!", ADDRESS(INDEX($L$2:$L$1001,MATCH(ROWS($J$2:J957),$J$2:$J$1001,0),0), INDEX($Q$1004:$U$1004,1,MATCH(COLUMNS($Q$1006:R1006),$Q$1006:$U$1006,0)))),"Fix")))</f>
        <v xml:space="preserve"> </v>
      </c>
      <c r="D957" s="3" t="str">
        <f ca="1">IF(OR(INDEX($K$2:$K$1001,MATCH(ROWS($J$2:J957),$J$2:$J$1001,0),1)&gt;=100000,INDEX($Q$1005:$U$1005,1,MATCH(COLUMNS($Q$1006:S1006),$Q$1006:$U$1006,0))&gt;=100000), " ",IF(INDEX($Q$2:$U$1001,MATCH(ROWS($J$2:J957),$J$2:$J$1001,0),MATCH(COLUMNS($Q$1006:S1006),$Q$1006:$U$1006,0)), HYPERLINK("#",""), HYPERLINK(CONCATENATE("#Metadata!", ADDRESS(INDEX($L$2:$L$1001,MATCH(ROWS($J$2:J957),$J$2:$J$1001,0),0), INDEX($Q$1004:$U$1004,1,MATCH(COLUMNS($Q$1006:S1006),$Q$1006:$U$1006,0)))),"Fix")))</f>
        <v xml:space="preserve"> </v>
      </c>
      <c r="E957" s="3" t="str">
        <f ca="1">IF(OR(INDEX($K$2:$K$1001,MATCH(ROWS($J$2:J957),$J$2:$J$1001,0),1)&gt;=100000,INDEX($Q$1005:$U$1005,1,MATCH(COLUMNS($Q$1006:T1006),$Q$1006:$U$1006,0))&gt;=100000), " ",IF(INDEX($Q$2:$U$1001,MATCH(ROWS($J$2:J957),$J$2:$J$1001,0),MATCH(COLUMNS($Q$1006:T1006),$Q$1006:$U$1006,0)), HYPERLINK("#",""), HYPERLINK(CONCATENATE("#Metadata!", ADDRESS(INDEX($L$2:$L$1001,MATCH(ROWS($J$2:J957),$J$2:$J$1001,0),0), INDEX($Q$1004:$U$1004,1,MATCH(COLUMNS($Q$1006:T1006),$Q$1006:$U$1006,0)))),"Fix")))</f>
        <v xml:space="preserve"> </v>
      </c>
      <c r="F957" s="3" t="str">
        <f ca="1">IF(OR(INDEX($K$2:$K$1001,MATCH(ROWS($J$2:J957),$J$2:$J$1001,0),1)&gt;=100000,INDEX($Q$1005:$U$1005,1,MATCH(COLUMNS($Q$1006:U1006),$Q$1006:$U$1006,0))&gt;=100000), " ",IF(INDEX($Q$2:$U$1001,MATCH(ROWS($J$2:J957),$J$2:$J$1001,0),MATCH(COLUMNS($Q$1006:U1006),$Q$1006:$U$1006,0)), HYPERLINK("#",""), HYPERLINK(CONCATENATE("#Metadata!", ADDRESS(INDEX($L$2:$L$1001,MATCH(ROWS($J$2:J957),$J$2:$J$1001,0),0), INDEX($Q$1004:$U$1004,1,MATCH(COLUMNS($Q$1006:U1006),$Q$1006:$U$1006,0)))),"Fix")))</f>
        <v xml:space="preserve"> </v>
      </c>
      <c r="J957">
        <f ca="1"/>
        <v>956</v>
      </c>
      <c r="K957">
        <v>100957</v>
      </c>
      <c r="L957">
        <v>957</v>
      </c>
      <c r="M957" t="b">
        <f t="shared" si="14"/>
        <v>1</v>
      </c>
      <c r="N957" t="b">
        <f>COUNTBLANK(Metadata!B957:F957)=COLUMNS(Metadata!B957:F957)</f>
        <v>1</v>
      </c>
      <c r="O957" t="str">
        <v/>
      </c>
      <c r="Q957" t="b">
        <f ca="1"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R957" t="b">
        <f>IF(Metadata!C957="",FALSE,TRUE)</f>
        <v>0</v>
      </c>
      <c r="S957" t="b">
        <f>OR(AND(IF(Metadata!D957="",FALSE,TRUE),EXACT(Metadata!D957,"missing: not collected")),AND(IF(Metadata!D957="",FALSE,TRUE),OR(EXACT(Metadata!D957,"t"),EXACT(Metadata!D957,"f"))))</f>
        <v>0</v>
      </c>
      <c r="T957" t="b">
        <f>AND(IF(Metadata!E957="",FALSE,TRUE),OR(EXACT(Metadata!E957,"a"),EXACT(Metadata!E957,"b")))</f>
        <v>0</v>
      </c>
      <c r="U957" t="b">
        <f>OR(AND(IF(Metadata!F957="",FALSE,TRUE),OR(EXACT(Metadata!F957,"missing: not collected"),EXACT(Metadata!F957,"missing: not provided"))),AND(IF(Metadata!F957="",FALSE,TRUE),OR(EXACT(Metadata!F957,"lo"),EXACT(Metadata!F957,"med"),EXACT(Metadata!F957,"hi"))))</f>
        <v>0</v>
      </c>
    </row>
    <row r="958" spans="1:21" x14ac:dyDescent="0.2">
      <c r="A958" s="4" t="str">
        <f ca="1">IF(B958=" "," ",HYPERLINK(CONCATENATE("#metadata!",ADDRESS(INDEX($L$2:$L$1001,MATCH(ROWS($J$2:J958),$J$2:$J$1001,0),0),1)),INDEX($O$2:$O$1001,MATCH(ROWS($J$2:J958),$J$2:$J$1001,0),0)))</f>
        <v xml:space="preserve"> </v>
      </c>
      <c r="B958" s="3" t="str">
        <f ca="1">IF(OR(INDEX($K$2:$K$1001,MATCH(ROWS($J$2:J958),$J$2:$J$1001,0),1)&gt;=100000,INDEX($Q$1005:$U$1005,1,MATCH(COLUMNS($Q$1006:Q1006),$Q$1006:$U$1006,0))&gt;=100000), " ",IF(INDEX($Q$2:$U$1001,MATCH(ROWS($J$2:J958),$J$2:$J$1001,0),MATCH(COLUMNS($Q$1006:Q1006),$Q$1006:$U$1006,0)), HYPERLINK("#",""), HYPERLINK(CONCATENATE("#Metadata!", ADDRESS(INDEX($L$2:$L$1001,MATCH(ROWS($J$2:J958),$J$2:$J$1001,0),0), INDEX($Q$1004:$U$1004,1,MATCH(COLUMNS($Q$1006:Q1006),$Q$1006:$U$1006,0)))),"Fix")))</f>
        <v xml:space="preserve"> </v>
      </c>
      <c r="C958" s="3" t="str">
        <f ca="1">IF(OR(INDEX($K$2:$K$1001,MATCH(ROWS($J$2:J958),$J$2:$J$1001,0),1)&gt;=100000,INDEX($Q$1005:$U$1005,1,MATCH(COLUMNS($Q$1006:R1006),$Q$1006:$U$1006,0))&gt;=100000), " ",IF(INDEX($Q$2:$U$1001,MATCH(ROWS($J$2:J958),$J$2:$J$1001,0),MATCH(COLUMNS($Q$1006:R1006),$Q$1006:$U$1006,0)), HYPERLINK("#",""), HYPERLINK(CONCATENATE("#Metadata!", ADDRESS(INDEX($L$2:$L$1001,MATCH(ROWS($J$2:J958),$J$2:$J$1001,0),0), INDEX($Q$1004:$U$1004,1,MATCH(COLUMNS($Q$1006:R1006),$Q$1006:$U$1006,0)))),"Fix")))</f>
        <v xml:space="preserve"> </v>
      </c>
      <c r="D958" s="3" t="str">
        <f ca="1">IF(OR(INDEX($K$2:$K$1001,MATCH(ROWS($J$2:J958),$J$2:$J$1001,0),1)&gt;=100000,INDEX($Q$1005:$U$1005,1,MATCH(COLUMNS($Q$1006:S1006),$Q$1006:$U$1006,0))&gt;=100000), " ",IF(INDEX($Q$2:$U$1001,MATCH(ROWS($J$2:J958),$J$2:$J$1001,0),MATCH(COLUMNS($Q$1006:S1006),$Q$1006:$U$1006,0)), HYPERLINK("#",""), HYPERLINK(CONCATENATE("#Metadata!", ADDRESS(INDEX($L$2:$L$1001,MATCH(ROWS($J$2:J958),$J$2:$J$1001,0),0), INDEX($Q$1004:$U$1004,1,MATCH(COLUMNS($Q$1006:S1006),$Q$1006:$U$1006,0)))),"Fix")))</f>
        <v xml:space="preserve"> </v>
      </c>
      <c r="E958" s="3" t="str">
        <f ca="1">IF(OR(INDEX($K$2:$K$1001,MATCH(ROWS($J$2:J958),$J$2:$J$1001,0),1)&gt;=100000,INDEX($Q$1005:$U$1005,1,MATCH(COLUMNS($Q$1006:T1006),$Q$1006:$U$1006,0))&gt;=100000), " ",IF(INDEX($Q$2:$U$1001,MATCH(ROWS($J$2:J958),$J$2:$J$1001,0),MATCH(COLUMNS($Q$1006:T1006),$Q$1006:$U$1006,0)), HYPERLINK("#",""), HYPERLINK(CONCATENATE("#Metadata!", ADDRESS(INDEX($L$2:$L$1001,MATCH(ROWS($J$2:J958),$J$2:$J$1001,0),0), INDEX($Q$1004:$U$1004,1,MATCH(COLUMNS($Q$1006:T1006),$Q$1006:$U$1006,0)))),"Fix")))</f>
        <v xml:space="preserve"> </v>
      </c>
      <c r="F958" s="3" t="str">
        <f ca="1">IF(OR(INDEX($K$2:$K$1001,MATCH(ROWS($J$2:J958),$J$2:$J$1001,0),1)&gt;=100000,INDEX($Q$1005:$U$1005,1,MATCH(COLUMNS($Q$1006:U1006),$Q$1006:$U$1006,0))&gt;=100000), " ",IF(INDEX($Q$2:$U$1001,MATCH(ROWS($J$2:J958),$J$2:$J$1001,0),MATCH(COLUMNS($Q$1006:U1006),$Q$1006:$U$1006,0)), HYPERLINK("#",""), HYPERLINK(CONCATENATE("#Metadata!", ADDRESS(INDEX($L$2:$L$1001,MATCH(ROWS($J$2:J958),$J$2:$J$1001,0),0), INDEX($Q$1004:$U$1004,1,MATCH(COLUMNS($Q$1006:U1006),$Q$1006:$U$1006,0)))),"Fix")))</f>
        <v xml:space="preserve"> </v>
      </c>
      <c r="J958">
        <f ca="1"/>
        <v>957</v>
      </c>
      <c r="K958">
        <v>100958</v>
      </c>
      <c r="L958">
        <v>958</v>
      </c>
      <c r="M958" t="b">
        <f t="shared" si="14"/>
        <v>1</v>
      </c>
      <c r="N958" t="b">
        <f>COUNTBLANK(Metadata!B958:F958)=COLUMNS(Metadata!B958:F958)</f>
        <v>1</v>
      </c>
      <c r="O958" t="str">
        <v/>
      </c>
      <c r="Q958" t="b">
        <f ca="1"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R958" t="b">
        <f>IF(Metadata!C958="",FALSE,TRUE)</f>
        <v>0</v>
      </c>
      <c r="S958" t="b">
        <f>OR(AND(IF(Metadata!D958="",FALSE,TRUE),EXACT(Metadata!D958,"missing: not collected")),AND(IF(Metadata!D958="",FALSE,TRUE),OR(EXACT(Metadata!D958,"t"),EXACT(Metadata!D958,"f"))))</f>
        <v>0</v>
      </c>
      <c r="T958" t="b">
        <f>AND(IF(Metadata!E958="",FALSE,TRUE),OR(EXACT(Metadata!E958,"a"),EXACT(Metadata!E958,"b")))</f>
        <v>0</v>
      </c>
      <c r="U958" t="b">
        <f>OR(AND(IF(Metadata!F958="",FALSE,TRUE),OR(EXACT(Metadata!F958,"missing: not collected"),EXACT(Metadata!F958,"missing: not provided"))),AND(IF(Metadata!F958="",FALSE,TRUE),OR(EXACT(Metadata!F958,"lo"),EXACT(Metadata!F958,"med"),EXACT(Metadata!F958,"hi"))))</f>
        <v>0</v>
      </c>
    </row>
    <row r="959" spans="1:21" x14ac:dyDescent="0.2">
      <c r="A959" s="4" t="str">
        <f ca="1">IF(B959=" "," ",HYPERLINK(CONCATENATE("#metadata!",ADDRESS(INDEX($L$2:$L$1001,MATCH(ROWS($J$2:J959),$J$2:$J$1001,0),0),1)),INDEX($O$2:$O$1001,MATCH(ROWS($J$2:J959),$J$2:$J$1001,0),0)))</f>
        <v xml:space="preserve"> </v>
      </c>
      <c r="B959" s="3" t="str">
        <f ca="1">IF(OR(INDEX($K$2:$K$1001,MATCH(ROWS($J$2:J959),$J$2:$J$1001,0),1)&gt;=100000,INDEX($Q$1005:$U$1005,1,MATCH(COLUMNS($Q$1006:Q1006),$Q$1006:$U$1006,0))&gt;=100000), " ",IF(INDEX($Q$2:$U$1001,MATCH(ROWS($J$2:J959),$J$2:$J$1001,0),MATCH(COLUMNS($Q$1006:Q1006),$Q$1006:$U$1006,0)), HYPERLINK("#",""), HYPERLINK(CONCATENATE("#Metadata!", ADDRESS(INDEX($L$2:$L$1001,MATCH(ROWS($J$2:J959),$J$2:$J$1001,0),0), INDEX($Q$1004:$U$1004,1,MATCH(COLUMNS($Q$1006:Q1006),$Q$1006:$U$1006,0)))),"Fix")))</f>
        <v xml:space="preserve"> </v>
      </c>
      <c r="C959" s="3" t="str">
        <f ca="1">IF(OR(INDEX($K$2:$K$1001,MATCH(ROWS($J$2:J959),$J$2:$J$1001,0),1)&gt;=100000,INDEX($Q$1005:$U$1005,1,MATCH(COLUMNS($Q$1006:R1006),$Q$1006:$U$1006,0))&gt;=100000), " ",IF(INDEX($Q$2:$U$1001,MATCH(ROWS($J$2:J959),$J$2:$J$1001,0),MATCH(COLUMNS($Q$1006:R1006),$Q$1006:$U$1006,0)), HYPERLINK("#",""), HYPERLINK(CONCATENATE("#Metadata!", ADDRESS(INDEX($L$2:$L$1001,MATCH(ROWS($J$2:J959),$J$2:$J$1001,0),0), INDEX($Q$1004:$U$1004,1,MATCH(COLUMNS($Q$1006:R1006),$Q$1006:$U$1006,0)))),"Fix")))</f>
        <v xml:space="preserve"> </v>
      </c>
      <c r="D959" s="3" t="str">
        <f ca="1">IF(OR(INDEX($K$2:$K$1001,MATCH(ROWS($J$2:J959),$J$2:$J$1001,0),1)&gt;=100000,INDEX($Q$1005:$U$1005,1,MATCH(COLUMNS($Q$1006:S1006),$Q$1006:$U$1006,0))&gt;=100000), " ",IF(INDEX($Q$2:$U$1001,MATCH(ROWS($J$2:J959),$J$2:$J$1001,0),MATCH(COLUMNS($Q$1006:S1006),$Q$1006:$U$1006,0)), HYPERLINK("#",""), HYPERLINK(CONCATENATE("#Metadata!", ADDRESS(INDEX($L$2:$L$1001,MATCH(ROWS($J$2:J959),$J$2:$J$1001,0),0), INDEX($Q$1004:$U$1004,1,MATCH(COLUMNS($Q$1006:S1006),$Q$1006:$U$1006,0)))),"Fix")))</f>
        <v xml:space="preserve"> </v>
      </c>
      <c r="E959" s="3" t="str">
        <f ca="1">IF(OR(INDEX($K$2:$K$1001,MATCH(ROWS($J$2:J959),$J$2:$J$1001,0),1)&gt;=100000,INDEX($Q$1005:$U$1005,1,MATCH(COLUMNS($Q$1006:T1006),$Q$1006:$U$1006,0))&gt;=100000), " ",IF(INDEX($Q$2:$U$1001,MATCH(ROWS($J$2:J959),$J$2:$J$1001,0),MATCH(COLUMNS($Q$1006:T1006),$Q$1006:$U$1006,0)), HYPERLINK("#",""), HYPERLINK(CONCATENATE("#Metadata!", ADDRESS(INDEX($L$2:$L$1001,MATCH(ROWS($J$2:J959),$J$2:$J$1001,0),0), INDEX($Q$1004:$U$1004,1,MATCH(COLUMNS($Q$1006:T1006),$Q$1006:$U$1006,0)))),"Fix")))</f>
        <v xml:space="preserve"> </v>
      </c>
      <c r="F959" s="3" t="str">
        <f ca="1">IF(OR(INDEX($K$2:$K$1001,MATCH(ROWS($J$2:J959),$J$2:$J$1001,0),1)&gt;=100000,INDEX($Q$1005:$U$1005,1,MATCH(COLUMNS($Q$1006:U1006),$Q$1006:$U$1006,0))&gt;=100000), " ",IF(INDEX($Q$2:$U$1001,MATCH(ROWS($J$2:J959),$J$2:$J$1001,0),MATCH(COLUMNS($Q$1006:U1006),$Q$1006:$U$1006,0)), HYPERLINK("#",""), HYPERLINK(CONCATENATE("#Metadata!", ADDRESS(INDEX($L$2:$L$1001,MATCH(ROWS($J$2:J959),$J$2:$J$1001,0),0), INDEX($Q$1004:$U$1004,1,MATCH(COLUMNS($Q$1006:U1006),$Q$1006:$U$1006,0)))),"Fix")))</f>
        <v xml:space="preserve"> </v>
      </c>
      <c r="J959">
        <f ca="1"/>
        <v>958</v>
      </c>
      <c r="K959">
        <v>100959</v>
      </c>
      <c r="L959">
        <v>959</v>
      </c>
      <c r="M959" t="b">
        <f t="shared" si="14"/>
        <v>1</v>
      </c>
      <c r="N959" t="b">
        <f>COUNTBLANK(Metadata!B959:F959)=COLUMNS(Metadata!B959:F959)</f>
        <v>1</v>
      </c>
      <c r="O959" t="str">
        <v/>
      </c>
      <c r="Q959" t="b">
        <f ca="1"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R959" t="b">
        <f>IF(Metadata!C959="",FALSE,TRUE)</f>
        <v>0</v>
      </c>
      <c r="S959" t="b">
        <f>OR(AND(IF(Metadata!D959="",FALSE,TRUE),EXACT(Metadata!D959,"missing: not collected")),AND(IF(Metadata!D959="",FALSE,TRUE),OR(EXACT(Metadata!D959,"t"),EXACT(Metadata!D959,"f"))))</f>
        <v>0</v>
      </c>
      <c r="T959" t="b">
        <f>AND(IF(Metadata!E959="",FALSE,TRUE),OR(EXACT(Metadata!E959,"a"),EXACT(Metadata!E959,"b")))</f>
        <v>0</v>
      </c>
      <c r="U959" t="b">
        <f>OR(AND(IF(Metadata!F959="",FALSE,TRUE),OR(EXACT(Metadata!F959,"missing: not collected"),EXACT(Metadata!F959,"missing: not provided"))),AND(IF(Metadata!F959="",FALSE,TRUE),OR(EXACT(Metadata!F959,"lo"),EXACT(Metadata!F959,"med"),EXACT(Metadata!F959,"hi"))))</f>
        <v>0</v>
      </c>
    </row>
    <row r="960" spans="1:21" x14ac:dyDescent="0.2">
      <c r="A960" s="4" t="str">
        <f ca="1">IF(B960=" "," ",HYPERLINK(CONCATENATE("#metadata!",ADDRESS(INDEX($L$2:$L$1001,MATCH(ROWS($J$2:J960),$J$2:$J$1001,0),0),1)),INDEX($O$2:$O$1001,MATCH(ROWS($J$2:J960),$J$2:$J$1001,0),0)))</f>
        <v xml:space="preserve"> </v>
      </c>
      <c r="B960" s="3" t="str">
        <f ca="1">IF(OR(INDEX($K$2:$K$1001,MATCH(ROWS($J$2:J960),$J$2:$J$1001,0),1)&gt;=100000,INDEX($Q$1005:$U$1005,1,MATCH(COLUMNS($Q$1006:Q1006),$Q$1006:$U$1006,0))&gt;=100000), " ",IF(INDEX($Q$2:$U$1001,MATCH(ROWS($J$2:J960),$J$2:$J$1001,0),MATCH(COLUMNS($Q$1006:Q1006),$Q$1006:$U$1006,0)), HYPERLINK("#",""), HYPERLINK(CONCATENATE("#Metadata!", ADDRESS(INDEX($L$2:$L$1001,MATCH(ROWS($J$2:J960),$J$2:$J$1001,0),0), INDEX($Q$1004:$U$1004,1,MATCH(COLUMNS($Q$1006:Q1006),$Q$1006:$U$1006,0)))),"Fix")))</f>
        <v xml:space="preserve"> </v>
      </c>
      <c r="C960" s="3" t="str">
        <f ca="1">IF(OR(INDEX($K$2:$K$1001,MATCH(ROWS($J$2:J960),$J$2:$J$1001,0),1)&gt;=100000,INDEX($Q$1005:$U$1005,1,MATCH(COLUMNS($Q$1006:R1006),$Q$1006:$U$1006,0))&gt;=100000), " ",IF(INDEX($Q$2:$U$1001,MATCH(ROWS($J$2:J960),$J$2:$J$1001,0),MATCH(COLUMNS($Q$1006:R1006),$Q$1006:$U$1006,0)), HYPERLINK("#",""), HYPERLINK(CONCATENATE("#Metadata!", ADDRESS(INDEX($L$2:$L$1001,MATCH(ROWS($J$2:J960),$J$2:$J$1001,0),0), INDEX($Q$1004:$U$1004,1,MATCH(COLUMNS($Q$1006:R1006),$Q$1006:$U$1006,0)))),"Fix")))</f>
        <v xml:space="preserve"> </v>
      </c>
      <c r="D960" s="3" t="str">
        <f ca="1">IF(OR(INDEX($K$2:$K$1001,MATCH(ROWS($J$2:J960),$J$2:$J$1001,0),1)&gt;=100000,INDEX($Q$1005:$U$1005,1,MATCH(COLUMNS($Q$1006:S1006),$Q$1006:$U$1006,0))&gt;=100000), " ",IF(INDEX($Q$2:$U$1001,MATCH(ROWS($J$2:J960),$J$2:$J$1001,0),MATCH(COLUMNS($Q$1006:S1006),$Q$1006:$U$1006,0)), HYPERLINK("#",""), HYPERLINK(CONCATENATE("#Metadata!", ADDRESS(INDEX($L$2:$L$1001,MATCH(ROWS($J$2:J960),$J$2:$J$1001,0),0), INDEX($Q$1004:$U$1004,1,MATCH(COLUMNS($Q$1006:S1006),$Q$1006:$U$1006,0)))),"Fix")))</f>
        <v xml:space="preserve"> </v>
      </c>
      <c r="E960" s="3" t="str">
        <f ca="1">IF(OR(INDEX($K$2:$K$1001,MATCH(ROWS($J$2:J960),$J$2:$J$1001,0),1)&gt;=100000,INDEX($Q$1005:$U$1005,1,MATCH(COLUMNS($Q$1006:T1006),$Q$1006:$U$1006,0))&gt;=100000), " ",IF(INDEX($Q$2:$U$1001,MATCH(ROWS($J$2:J960),$J$2:$J$1001,0),MATCH(COLUMNS($Q$1006:T1006),$Q$1006:$U$1006,0)), HYPERLINK("#",""), HYPERLINK(CONCATENATE("#Metadata!", ADDRESS(INDEX($L$2:$L$1001,MATCH(ROWS($J$2:J960),$J$2:$J$1001,0),0), INDEX($Q$1004:$U$1004,1,MATCH(COLUMNS($Q$1006:T1006),$Q$1006:$U$1006,0)))),"Fix")))</f>
        <v xml:space="preserve"> </v>
      </c>
      <c r="F960" s="3" t="str">
        <f ca="1">IF(OR(INDEX($K$2:$K$1001,MATCH(ROWS($J$2:J960),$J$2:$J$1001,0),1)&gt;=100000,INDEX($Q$1005:$U$1005,1,MATCH(COLUMNS($Q$1006:U1006),$Q$1006:$U$1006,0))&gt;=100000), " ",IF(INDEX($Q$2:$U$1001,MATCH(ROWS($J$2:J960),$J$2:$J$1001,0),MATCH(COLUMNS($Q$1006:U1006),$Q$1006:$U$1006,0)), HYPERLINK("#",""), HYPERLINK(CONCATENATE("#Metadata!", ADDRESS(INDEX($L$2:$L$1001,MATCH(ROWS($J$2:J960),$J$2:$J$1001,0),0), INDEX($Q$1004:$U$1004,1,MATCH(COLUMNS($Q$1006:U1006),$Q$1006:$U$1006,0)))),"Fix")))</f>
        <v xml:space="preserve"> </v>
      </c>
      <c r="J960">
        <f ca="1"/>
        <v>959</v>
      </c>
      <c r="K960">
        <v>100960</v>
      </c>
      <c r="L960">
        <v>960</v>
      </c>
      <c r="M960" t="b">
        <f t="shared" si="14"/>
        <v>1</v>
      </c>
      <c r="N960" t="b">
        <f>COUNTBLANK(Metadata!B960:F960)=COLUMNS(Metadata!B960:F960)</f>
        <v>1</v>
      </c>
      <c r="O960" t="str">
        <v/>
      </c>
      <c r="Q960" t="b">
        <f ca="1"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R960" t="b">
        <f>IF(Metadata!C960="",FALSE,TRUE)</f>
        <v>0</v>
      </c>
      <c r="S960" t="b">
        <f>OR(AND(IF(Metadata!D960="",FALSE,TRUE),EXACT(Metadata!D960,"missing: not collected")),AND(IF(Metadata!D960="",FALSE,TRUE),OR(EXACT(Metadata!D960,"t"),EXACT(Metadata!D960,"f"))))</f>
        <v>0</v>
      </c>
      <c r="T960" t="b">
        <f>AND(IF(Metadata!E960="",FALSE,TRUE),OR(EXACT(Metadata!E960,"a"),EXACT(Metadata!E960,"b")))</f>
        <v>0</v>
      </c>
      <c r="U960" t="b">
        <f>OR(AND(IF(Metadata!F960="",FALSE,TRUE),OR(EXACT(Metadata!F960,"missing: not collected"),EXACT(Metadata!F960,"missing: not provided"))),AND(IF(Metadata!F960="",FALSE,TRUE),OR(EXACT(Metadata!F960,"lo"),EXACT(Metadata!F960,"med"),EXACT(Metadata!F960,"hi"))))</f>
        <v>0</v>
      </c>
    </row>
    <row r="961" spans="1:21" x14ac:dyDescent="0.2">
      <c r="A961" s="4" t="str">
        <f ca="1">IF(B961=" "," ",HYPERLINK(CONCATENATE("#metadata!",ADDRESS(INDEX($L$2:$L$1001,MATCH(ROWS($J$2:J961),$J$2:$J$1001,0),0),1)),INDEX($O$2:$O$1001,MATCH(ROWS($J$2:J961),$J$2:$J$1001,0),0)))</f>
        <v xml:space="preserve"> </v>
      </c>
      <c r="B961" s="3" t="str">
        <f ca="1">IF(OR(INDEX($K$2:$K$1001,MATCH(ROWS($J$2:J961),$J$2:$J$1001,0),1)&gt;=100000,INDEX($Q$1005:$U$1005,1,MATCH(COLUMNS($Q$1006:Q1006),$Q$1006:$U$1006,0))&gt;=100000), " ",IF(INDEX($Q$2:$U$1001,MATCH(ROWS($J$2:J961),$J$2:$J$1001,0),MATCH(COLUMNS($Q$1006:Q1006),$Q$1006:$U$1006,0)), HYPERLINK("#",""), HYPERLINK(CONCATENATE("#Metadata!", ADDRESS(INDEX($L$2:$L$1001,MATCH(ROWS($J$2:J961),$J$2:$J$1001,0),0), INDEX($Q$1004:$U$1004,1,MATCH(COLUMNS($Q$1006:Q1006),$Q$1006:$U$1006,0)))),"Fix")))</f>
        <v xml:space="preserve"> </v>
      </c>
      <c r="C961" s="3" t="str">
        <f ca="1">IF(OR(INDEX($K$2:$K$1001,MATCH(ROWS($J$2:J961),$J$2:$J$1001,0),1)&gt;=100000,INDEX($Q$1005:$U$1005,1,MATCH(COLUMNS($Q$1006:R1006),$Q$1006:$U$1006,0))&gt;=100000), " ",IF(INDEX($Q$2:$U$1001,MATCH(ROWS($J$2:J961),$J$2:$J$1001,0),MATCH(COLUMNS($Q$1006:R1006),$Q$1006:$U$1006,0)), HYPERLINK("#",""), HYPERLINK(CONCATENATE("#Metadata!", ADDRESS(INDEX($L$2:$L$1001,MATCH(ROWS($J$2:J961),$J$2:$J$1001,0),0), INDEX($Q$1004:$U$1004,1,MATCH(COLUMNS($Q$1006:R1006),$Q$1006:$U$1006,0)))),"Fix")))</f>
        <v xml:space="preserve"> </v>
      </c>
      <c r="D961" s="3" t="str">
        <f ca="1">IF(OR(INDEX($K$2:$K$1001,MATCH(ROWS($J$2:J961),$J$2:$J$1001,0),1)&gt;=100000,INDEX($Q$1005:$U$1005,1,MATCH(COLUMNS($Q$1006:S1006),$Q$1006:$U$1006,0))&gt;=100000), " ",IF(INDEX($Q$2:$U$1001,MATCH(ROWS($J$2:J961),$J$2:$J$1001,0),MATCH(COLUMNS($Q$1006:S1006),$Q$1006:$U$1006,0)), HYPERLINK("#",""), HYPERLINK(CONCATENATE("#Metadata!", ADDRESS(INDEX($L$2:$L$1001,MATCH(ROWS($J$2:J961),$J$2:$J$1001,0),0), INDEX($Q$1004:$U$1004,1,MATCH(COLUMNS($Q$1006:S1006),$Q$1006:$U$1006,0)))),"Fix")))</f>
        <v xml:space="preserve"> </v>
      </c>
      <c r="E961" s="3" t="str">
        <f ca="1">IF(OR(INDEX($K$2:$K$1001,MATCH(ROWS($J$2:J961),$J$2:$J$1001,0),1)&gt;=100000,INDEX($Q$1005:$U$1005,1,MATCH(COLUMNS($Q$1006:T1006),$Q$1006:$U$1006,0))&gt;=100000), " ",IF(INDEX($Q$2:$U$1001,MATCH(ROWS($J$2:J961),$J$2:$J$1001,0),MATCH(COLUMNS($Q$1006:T1006),$Q$1006:$U$1006,0)), HYPERLINK("#",""), HYPERLINK(CONCATENATE("#Metadata!", ADDRESS(INDEX($L$2:$L$1001,MATCH(ROWS($J$2:J961),$J$2:$J$1001,0),0), INDEX($Q$1004:$U$1004,1,MATCH(COLUMNS($Q$1006:T1006),$Q$1006:$U$1006,0)))),"Fix")))</f>
        <v xml:space="preserve"> </v>
      </c>
      <c r="F961" s="3" t="str">
        <f ca="1">IF(OR(INDEX($K$2:$K$1001,MATCH(ROWS($J$2:J961),$J$2:$J$1001,0),1)&gt;=100000,INDEX($Q$1005:$U$1005,1,MATCH(COLUMNS($Q$1006:U1006),$Q$1006:$U$1006,0))&gt;=100000), " ",IF(INDEX($Q$2:$U$1001,MATCH(ROWS($J$2:J961),$J$2:$J$1001,0),MATCH(COLUMNS($Q$1006:U1006),$Q$1006:$U$1006,0)), HYPERLINK("#",""), HYPERLINK(CONCATENATE("#Metadata!", ADDRESS(INDEX($L$2:$L$1001,MATCH(ROWS($J$2:J961),$J$2:$J$1001,0),0), INDEX($Q$1004:$U$1004,1,MATCH(COLUMNS($Q$1006:U1006),$Q$1006:$U$1006,0)))),"Fix")))</f>
        <v xml:space="preserve"> </v>
      </c>
      <c r="J961">
        <f ca="1"/>
        <v>960</v>
      </c>
      <c r="K961">
        <v>100961</v>
      </c>
      <c r="L961">
        <v>961</v>
      </c>
      <c r="M961" t="b">
        <f t="shared" si="14"/>
        <v>1</v>
      </c>
      <c r="N961" t="b">
        <f>COUNTBLANK(Metadata!B961:F961)=COLUMNS(Metadata!B961:F961)</f>
        <v>1</v>
      </c>
      <c r="O961" t="str">
        <v/>
      </c>
      <c r="Q961" t="b">
        <f ca="1"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R961" t="b">
        <f>IF(Metadata!C961="",FALSE,TRUE)</f>
        <v>0</v>
      </c>
      <c r="S961" t="b">
        <f>OR(AND(IF(Metadata!D961="",FALSE,TRUE),EXACT(Metadata!D961,"missing: not collected")),AND(IF(Metadata!D961="",FALSE,TRUE),OR(EXACT(Metadata!D961,"t"),EXACT(Metadata!D961,"f"))))</f>
        <v>0</v>
      </c>
      <c r="T961" t="b">
        <f>AND(IF(Metadata!E961="",FALSE,TRUE),OR(EXACT(Metadata!E961,"a"),EXACT(Metadata!E961,"b")))</f>
        <v>0</v>
      </c>
      <c r="U961" t="b">
        <f>OR(AND(IF(Metadata!F961="",FALSE,TRUE),OR(EXACT(Metadata!F961,"missing: not collected"),EXACT(Metadata!F961,"missing: not provided"))),AND(IF(Metadata!F961="",FALSE,TRUE),OR(EXACT(Metadata!F961,"lo"),EXACT(Metadata!F961,"med"),EXACT(Metadata!F961,"hi"))))</f>
        <v>0</v>
      </c>
    </row>
    <row r="962" spans="1:21" x14ac:dyDescent="0.2">
      <c r="A962" s="4" t="str">
        <f ca="1">IF(B962=" "," ",HYPERLINK(CONCATENATE("#metadata!",ADDRESS(INDEX($L$2:$L$1001,MATCH(ROWS($J$2:J962),$J$2:$J$1001,0),0),1)),INDEX($O$2:$O$1001,MATCH(ROWS($J$2:J962),$J$2:$J$1001,0),0)))</f>
        <v xml:space="preserve"> </v>
      </c>
      <c r="B962" s="3" t="str">
        <f ca="1">IF(OR(INDEX($K$2:$K$1001,MATCH(ROWS($J$2:J962),$J$2:$J$1001,0),1)&gt;=100000,INDEX($Q$1005:$U$1005,1,MATCH(COLUMNS($Q$1006:Q1006),$Q$1006:$U$1006,0))&gt;=100000), " ",IF(INDEX($Q$2:$U$1001,MATCH(ROWS($J$2:J962),$J$2:$J$1001,0),MATCH(COLUMNS($Q$1006:Q1006),$Q$1006:$U$1006,0)), HYPERLINK("#",""), HYPERLINK(CONCATENATE("#Metadata!", ADDRESS(INDEX($L$2:$L$1001,MATCH(ROWS($J$2:J962),$J$2:$J$1001,0),0), INDEX($Q$1004:$U$1004,1,MATCH(COLUMNS($Q$1006:Q1006),$Q$1006:$U$1006,0)))),"Fix")))</f>
        <v xml:space="preserve"> </v>
      </c>
      <c r="C962" s="3" t="str">
        <f ca="1">IF(OR(INDEX($K$2:$K$1001,MATCH(ROWS($J$2:J962),$J$2:$J$1001,0),1)&gt;=100000,INDEX($Q$1005:$U$1005,1,MATCH(COLUMNS($Q$1006:R1006),$Q$1006:$U$1006,0))&gt;=100000), " ",IF(INDEX($Q$2:$U$1001,MATCH(ROWS($J$2:J962),$J$2:$J$1001,0),MATCH(COLUMNS($Q$1006:R1006),$Q$1006:$U$1006,0)), HYPERLINK("#",""), HYPERLINK(CONCATENATE("#Metadata!", ADDRESS(INDEX($L$2:$L$1001,MATCH(ROWS($J$2:J962),$J$2:$J$1001,0),0), INDEX($Q$1004:$U$1004,1,MATCH(COLUMNS($Q$1006:R1006),$Q$1006:$U$1006,0)))),"Fix")))</f>
        <v xml:space="preserve"> </v>
      </c>
      <c r="D962" s="3" t="str">
        <f ca="1">IF(OR(INDEX($K$2:$K$1001,MATCH(ROWS($J$2:J962),$J$2:$J$1001,0),1)&gt;=100000,INDEX($Q$1005:$U$1005,1,MATCH(COLUMNS($Q$1006:S1006),$Q$1006:$U$1006,0))&gt;=100000), " ",IF(INDEX($Q$2:$U$1001,MATCH(ROWS($J$2:J962),$J$2:$J$1001,0),MATCH(COLUMNS($Q$1006:S1006),$Q$1006:$U$1006,0)), HYPERLINK("#",""), HYPERLINK(CONCATENATE("#Metadata!", ADDRESS(INDEX($L$2:$L$1001,MATCH(ROWS($J$2:J962),$J$2:$J$1001,0),0), INDEX($Q$1004:$U$1004,1,MATCH(COLUMNS($Q$1006:S1006),$Q$1006:$U$1006,0)))),"Fix")))</f>
        <v xml:space="preserve"> </v>
      </c>
      <c r="E962" s="3" t="str">
        <f ca="1">IF(OR(INDEX($K$2:$K$1001,MATCH(ROWS($J$2:J962),$J$2:$J$1001,0),1)&gt;=100000,INDEX($Q$1005:$U$1005,1,MATCH(COLUMNS($Q$1006:T1006),$Q$1006:$U$1006,0))&gt;=100000), " ",IF(INDEX($Q$2:$U$1001,MATCH(ROWS($J$2:J962),$J$2:$J$1001,0),MATCH(COLUMNS($Q$1006:T1006),$Q$1006:$U$1006,0)), HYPERLINK("#",""), HYPERLINK(CONCATENATE("#Metadata!", ADDRESS(INDEX($L$2:$L$1001,MATCH(ROWS($J$2:J962),$J$2:$J$1001,0),0), INDEX($Q$1004:$U$1004,1,MATCH(COLUMNS($Q$1006:T1006),$Q$1006:$U$1006,0)))),"Fix")))</f>
        <v xml:space="preserve"> </v>
      </c>
      <c r="F962" s="3" t="str">
        <f ca="1">IF(OR(INDEX($K$2:$K$1001,MATCH(ROWS($J$2:J962),$J$2:$J$1001,0),1)&gt;=100000,INDEX($Q$1005:$U$1005,1,MATCH(COLUMNS($Q$1006:U1006),$Q$1006:$U$1006,0))&gt;=100000), " ",IF(INDEX($Q$2:$U$1001,MATCH(ROWS($J$2:J962),$J$2:$J$1001,0),MATCH(COLUMNS($Q$1006:U1006),$Q$1006:$U$1006,0)), HYPERLINK("#",""), HYPERLINK(CONCATENATE("#Metadata!", ADDRESS(INDEX($L$2:$L$1001,MATCH(ROWS($J$2:J962),$J$2:$J$1001,0),0), INDEX($Q$1004:$U$1004,1,MATCH(COLUMNS($Q$1006:U1006),$Q$1006:$U$1006,0)))),"Fix")))</f>
        <v xml:space="preserve"> </v>
      </c>
      <c r="J962">
        <f ca="1"/>
        <v>961</v>
      </c>
      <c r="K962">
        <v>100962</v>
      </c>
      <c r="L962">
        <v>962</v>
      </c>
      <c r="M962" t="b">
        <f t="shared" ref="M962:M1001" si="15">IF(N962,TRUE,AND(Q962:U962))</f>
        <v>1</v>
      </c>
      <c r="N962" t="b">
        <f>COUNTBLANK(Metadata!B962:F962)=COLUMNS(Metadata!B962:F962)</f>
        <v>1</v>
      </c>
      <c r="O962" t="str">
        <v/>
      </c>
      <c r="Q962" t="b">
        <f ca="1"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R962" t="b">
        <f>IF(Metadata!C962="",FALSE,TRUE)</f>
        <v>0</v>
      </c>
      <c r="S962" t="b">
        <f>OR(AND(IF(Metadata!D962="",FALSE,TRUE),EXACT(Metadata!D962,"missing: not collected")),AND(IF(Metadata!D962="",FALSE,TRUE),OR(EXACT(Metadata!D962,"t"),EXACT(Metadata!D962,"f"))))</f>
        <v>0</v>
      </c>
      <c r="T962" t="b">
        <f>AND(IF(Metadata!E962="",FALSE,TRUE),OR(EXACT(Metadata!E962,"a"),EXACT(Metadata!E962,"b")))</f>
        <v>0</v>
      </c>
      <c r="U962" t="b">
        <f>OR(AND(IF(Metadata!F962="",FALSE,TRUE),OR(EXACT(Metadata!F962,"missing: not collected"),EXACT(Metadata!F962,"missing: not provided"))),AND(IF(Metadata!F962="",FALSE,TRUE),OR(EXACT(Metadata!F962,"lo"),EXACT(Metadata!F962,"med"),EXACT(Metadata!F962,"hi"))))</f>
        <v>0</v>
      </c>
    </row>
    <row r="963" spans="1:21" x14ac:dyDescent="0.2">
      <c r="A963" s="4" t="str">
        <f ca="1">IF(B963=" "," ",HYPERLINK(CONCATENATE("#metadata!",ADDRESS(INDEX($L$2:$L$1001,MATCH(ROWS($J$2:J963),$J$2:$J$1001,0),0),1)),INDEX($O$2:$O$1001,MATCH(ROWS($J$2:J963),$J$2:$J$1001,0),0)))</f>
        <v xml:space="preserve"> </v>
      </c>
      <c r="B963" s="3" t="str">
        <f ca="1">IF(OR(INDEX($K$2:$K$1001,MATCH(ROWS($J$2:J963),$J$2:$J$1001,0),1)&gt;=100000,INDEX($Q$1005:$U$1005,1,MATCH(COLUMNS($Q$1006:Q1006),$Q$1006:$U$1006,0))&gt;=100000), " ",IF(INDEX($Q$2:$U$1001,MATCH(ROWS($J$2:J963),$J$2:$J$1001,0),MATCH(COLUMNS($Q$1006:Q1006),$Q$1006:$U$1006,0)), HYPERLINK("#",""), HYPERLINK(CONCATENATE("#Metadata!", ADDRESS(INDEX($L$2:$L$1001,MATCH(ROWS($J$2:J963),$J$2:$J$1001,0),0), INDEX($Q$1004:$U$1004,1,MATCH(COLUMNS($Q$1006:Q1006),$Q$1006:$U$1006,0)))),"Fix")))</f>
        <v xml:space="preserve"> </v>
      </c>
      <c r="C963" s="3" t="str">
        <f ca="1">IF(OR(INDEX($K$2:$K$1001,MATCH(ROWS($J$2:J963),$J$2:$J$1001,0),1)&gt;=100000,INDEX($Q$1005:$U$1005,1,MATCH(COLUMNS($Q$1006:R1006),$Q$1006:$U$1006,0))&gt;=100000), " ",IF(INDEX($Q$2:$U$1001,MATCH(ROWS($J$2:J963),$J$2:$J$1001,0),MATCH(COLUMNS($Q$1006:R1006),$Q$1006:$U$1006,0)), HYPERLINK("#",""), HYPERLINK(CONCATENATE("#Metadata!", ADDRESS(INDEX($L$2:$L$1001,MATCH(ROWS($J$2:J963),$J$2:$J$1001,0),0), INDEX($Q$1004:$U$1004,1,MATCH(COLUMNS($Q$1006:R1006),$Q$1006:$U$1006,0)))),"Fix")))</f>
        <v xml:space="preserve"> </v>
      </c>
      <c r="D963" s="3" t="str">
        <f ca="1">IF(OR(INDEX($K$2:$K$1001,MATCH(ROWS($J$2:J963),$J$2:$J$1001,0),1)&gt;=100000,INDEX($Q$1005:$U$1005,1,MATCH(COLUMNS($Q$1006:S1006),$Q$1006:$U$1006,0))&gt;=100000), " ",IF(INDEX($Q$2:$U$1001,MATCH(ROWS($J$2:J963),$J$2:$J$1001,0),MATCH(COLUMNS($Q$1006:S1006),$Q$1006:$U$1006,0)), HYPERLINK("#",""), HYPERLINK(CONCATENATE("#Metadata!", ADDRESS(INDEX($L$2:$L$1001,MATCH(ROWS($J$2:J963),$J$2:$J$1001,0),0), INDEX($Q$1004:$U$1004,1,MATCH(COLUMNS($Q$1006:S1006),$Q$1006:$U$1006,0)))),"Fix")))</f>
        <v xml:space="preserve"> </v>
      </c>
      <c r="E963" s="3" t="str">
        <f ca="1">IF(OR(INDEX($K$2:$K$1001,MATCH(ROWS($J$2:J963),$J$2:$J$1001,0),1)&gt;=100000,INDEX($Q$1005:$U$1005,1,MATCH(COLUMNS($Q$1006:T1006),$Q$1006:$U$1006,0))&gt;=100000), " ",IF(INDEX($Q$2:$U$1001,MATCH(ROWS($J$2:J963),$J$2:$J$1001,0),MATCH(COLUMNS($Q$1006:T1006),$Q$1006:$U$1006,0)), HYPERLINK("#",""), HYPERLINK(CONCATENATE("#Metadata!", ADDRESS(INDEX($L$2:$L$1001,MATCH(ROWS($J$2:J963),$J$2:$J$1001,0),0), INDEX($Q$1004:$U$1004,1,MATCH(COLUMNS($Q$1006:T1006),$Q$1006:$U$1006,0)))),"Fix")))</f>
        <v xml:space="preserve"> </v>
      </c>
      <c r="F963" s="3" t="str">
        <f ca="1">IF(OR(INDEX($K$2:$K$1001,MATCH(ROWS($J$2:J963),$J$2:$J$1001,0),1)&gt;=100000,INDEX($Q$1005:$U$1005,1,MATCH(COLUMNS($Q$1006:U1006),$Q$1006:$U$1006,0))&gt;=100000), " ",IF(INDEX($Q$2:$U$1001,MATCH(ROWS($J$2:J963),$J$2:$J$1001,0),MATCH(COLUMNS($Q$1006:U1006),$Q$1006:$U$1006,0)), HYPERLINK("#",""), HYPERLINK(CONCATENATE("#Metadata!", ADDRESS(INDEX($L$2:$L$1001,MATCH(ROWS($J$2:J963),$J$2:$J$1001,0),0), INDEX($Q$1004:$U$1004,1,MATCH(COLUMNS($Q$1006:U1006),$Q$1006:$U$1006,0)))),"Fix")))</f>
        <v xml:space="preserve"> </v>
      </c>
      <c r="J963">
        <f ca="1"/>
        <v>962</v>
      </c>
      <c r="K963">
        <v>100963</v>
      </c>
      <c r="L963">
        <v>963</v>
      </c>
      <c r="M963" t="b">
        <f t="shared" si="15"/>
        <v>1</v>
      </c>
      <c r="N963" t="b">
        <f>COUNTBLANK(Metadata!B963:F963)=COLUMNS(Metadata!B963:F963)</f>
        <v>1</v>
      </c>
      <c r="O963" t="str">
        <v/>
      </c>
      <c r="Q963" t="b">
        <f ca="1"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R963" t="b">
        <f>IF(Metadata!C963="",FALSE,TRUE)</f>
        <v>0</v>
      </c>
      <c r="S963" t="b">
        <f>OR(AND(IF(Metadata!D963="",FALSE,TRUE),EXACT(Metadata!D963,"missing: not collected")),AND(IF(Metadata!D963="",FALSE,TRUE),OR(EXACT(Metadata!D963,"t"),EXACT(Metadata!D963,"f"))))</f>
        <v>0</v>
      </c>
      <c r="T963" t="b">
        <f>AND(IF(Metadata!E963="",FALSE,TRUE),OR(EXACT(Metadata!E963,"a"),EXACT(Metadata!E963,"b")))</f>
        <v>0</v>
      </c>
      <c r="U963" t="b">
        <f>OR(AND(IF(Metadata!F963="",FALSE,TRUE),OR(EXACT(Metadata!F963,"missing: not collected"),EXACT(Metadata!F963,"missing: not provided"))),AND(IF(Metadata!F963="",FALSE,TRUE),OR(EXACT(Metadata!F963,"lo"),EXACT(Metadata!F963,"med"),EXACT(Metadata!F963,"hi"))))</f>
        <v>0</v>
      </c>
    </row>
    <row r="964" spans="1:21" x14ac:dyDescent="0.2">
      <c r="A964" s="4" t="str">
        <f ca="1">IF(B964=" "," ",HYPERLINK(CONCATENATE("#metadata!",ADDRESS(INDEX($L$2:$L$1001,MATCH(ROWS($J$2:J964),$J$2:$J$1001,0),0),1)),INDEX($O$2:$O$1001,MATCH(ROWS($J$2:J964),$J$2:$J$1001,0),0)))</f>
        <v xml:space="preserve"> </v>
      </c>
      <c r="B964" s="3" t="str">
        <f ca="1">IF(OR(INDEX($K$2:$K$1001,MATCH(ROWS($J$2:J964),$J$2:$J$1001,0),1)&gt;=100000,INDEX($Q$1005:$U$1005,1,MATCH(COLUMNS($Q$1006:Q1006),$Q$1006:$U$1006,0))&gt;=100000), " ",IF(INDEX($Q$2:$U$1001,MATCH(ROWS($J$2:J964),$J$2:$J$1001,0),MATCH(COLUMNS($Q$1006:Q1006),$Q$1006:$U$1006,0)), HYPERLINK("#",""), HYPERLINK(CONCATENATE("#Metadata!", ADDRESS(INDEX($L$2:$L$1001,MATCH(ROWS($J$2:J964),$J$2:$J$1001,0),0), INDEX($Q$1004:$U$1004,1,MATCH(COLUMNS($Q$1006:Q1006),$Q$1006:$U$1006,0)))),"Fix")))</f>
        <v xml:space="preserve"> </v>
      </c>
      <c r="C964" s="3" t="str">
        <f ca="1">IF(OR(INDEX($K$2:$K$1001,MATCH(ROWS($J$2:J964),$J$2:$J$1001,0),1)&gt;=100000,INDEX($Q$1005:$U$1005,1,MATCH(COLUMNS($Q$1006:R1006),$Q$1006:$U$1006,0))&gt;=100000), " ",IF(INDEX($Q$2:$U$1001,MATCH(ROWS($J$2:J964),$J$2:$J$1001,0),MATCH(COLUMNS($Q$1006:R1006),$Q$1006:$U$1006,0)), HYPERLINK("#",""), HYPERLINK(CONCATENATE("#Metadata!", ADDRESS(INDEX($L$2:$L$1001,MATCH(ROWS($J$2:J964),$J$2:$J$1001,0),0), INDEX($Q$1004:$U$1004,1,MATCH(COLUMNS($Q$1006:R1006),$Q$1006:$U$1006,0)))),"Fix")))</f>
        <v xml:space="preserve"> </v>
      </c>
      <c r="D964" s="3" t="str">
        <f ca="1">IF(OR(INDEX($K$2:$K$1001,MATCH(ROWS($J$2:J964),$J$2:$J$1001,0),1)&gt;=100000,INDEX($Q$1005:$U$1005,1,MATCH(COLUMNS($Q$1006:S1006),$Q$1006:$U$1006,0))&gt;=100000), " ",IF(INDEX($Q$2:$U$1001,MATCH(ROWS($J$2:J964),$J$2:$J$1001,0),MATCH(COLUMNS($Q$1006:S1006),$Q$1006:$U$1006,0)), HYPERLINK("#",""), HYPERLINK(CONCATENATE("#Metadata!", ADDRESS(INDEX($L$2:$L$1001,MATCH(ROWS($J$2:J964),$J$2:$J$1001,0),0), INDEX($Q$1004:$U$1004,1,MATCH(COLUMNS($Q$1006:S1006),$Q$1006:$U$1006,0)))),"Fix")))</f>
        <v xml:space="preserve"> </v>
      </c>
      <c r="E964" s="3" t="str">
        <f ca="1">IF(OR(INDEX($K$2:$K$1001,MATCH(ROWS($J$2:J964),$J$2:$J$1001,0),1)&gt;=100000,INDEX($Q$1005:$U$1005,1,MATCH(COLUMNS($Q$1006:T1006),$Q$1006:$U$1006,0))&gt;=100000), " ",IF(INDEX($Q$2:$U$1001,MATCH(ROWS($J$2:J964),$J$2:$J$1001,0),MATCH(COLUMNS($Q$1006:T1006),$Q$1006:$U$1006,0)), HYPERLINK("#",""), HYPERLINK(CONCATENATE("#Metadata!", ADDRESS(INDEX($L$2:$L$1001,MATCH(ROWS($J$2:J964),$J$2:$J$1001,0),0), INDEX($Q$1004:$U$1004,1,MATCH(COLUMNS($Q$1006:T1006),$Q$1006:$U$1006,0)))),"Fix")))</f>
        <v xml:space="preserve"> </v>
      </c>
      <c r="F964" s="3" t="str">
        <f ca="1">IF(OR(INDEX($K$2:$K$1001,MATCH(ROWS($J$2:J964),$J$2:$J$1001,0),1)&gt;=100000,INDEX($Q$1005:$U$1005,1,MATCH(COLUMNS($Q$1006:U1006),$Q$1006:$U$1006,0))&gt;=100000), " ",IF(INDEX($Q$2:$U$1001,MATCH(ROWS($J$2:J964),$J$2:$J$1001,0),MATCH(COLUMNS($Q$1006:U1006),$Q$1006:$U$1006,0)), HYPERLINK("#",""), HYPERLINK(CONCATENATE("#Metadata!", ADDRESS(INDEX($L$2:$L$1001,MATCH(ROWS($J$2:J964),$J$2:$J$1001,0),0), INDEX($Q$1004:$U$1004,1,MATCH(COLUMNS($Q$1006:U1006),$Q$1006:$U$1006,0)))),"Fix")))</f>
        <v xml:space="preserve"> </v>
      </c>
      <c r="J964">
        <f ca="1"/>
        <v>963</v>
      </c>
      <c r="K964">
        <v>100964</v>
      </c>
      <c r="L964">
        <v>964</v>
      </c>
      <c r="M964" t="b">
        <f t="shared" si="15"/>
        <v>1</v>
      </c>
      <c r="N964" t="b">
        <f>COUNTBLANK(Metadata!B964:F964)=COLUMNS(Metadata!B964:F964)</f>
        <v>1</v>
      </c>
      <c r="O964" t="str">
        <v/>
      </c>
      <c r="Q964" t="b">
        <f ca="1"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R964" t="b">
        <f>IF(Metadata!C964="",FALSE,TRUE)</f>
        <v>0</v>
      </c>
      <c r="S964" t="b">
        <f>OR(AND(IF(Metadata!D964="",FALSE,TRUE),EXACT(Metadata!D964,"missing: not collected")),AND(IF(Metadata!D964="",FALSE,TRUE),OR(EXACT(Metadata!D964,"t"),EXACT(Metadata!D964,"f"))))</f>
        <v>0</v>
      </c>
      <c r="T964" t="b">
        <f>AND(IF(Metadata!E964="",FALSE,TRUE),OR(EXACT(Metadata!E964,"a"),EXACT(Metadata!E964,"b")))</f>
        <v>0</v>
      </c>
      <c r="U964" t="b">
        <f>OR(AND(IF(Metadata!F964="",FALSE,TRUE),OR(EXACT(Metadata!F964,"missing: not collected"),EXACT(Metadata!F964,"missing: not provided"))),AND(IF(Metadata!F964="",FALSE,TRUE),OR(EXACT(Metadata!F964,"lo"),EXACT(Metadata!F964,"med"),EXACT(Metadata!F964,"hi"))))</f>
        <v>0</v>
      </c>
    </row>
    <row r="965" spans="1:21" x14ac:dyDescent="0.2">
      <c r="A965" s="4" t="str">
        <f ca="1">IF(B965=" "," ",HYPERLINK(CONCATENATE("#metadata!",ADDRESS(INDEX($L$2:$L$1001,MATCH(ROWS($J$2:J965),$J$2:$J$1001,0),0),1)),INDEX($O$2:$O$1001,MATCH(ROWS($J$2:J965),$J$2:$J$1001,0),0)))</f>
        <v xml:space="preserve"> </v>
      </c>
      <c r="B965" s="3" t="str">
        <f ca="1">IF(OR(INDEX($K$2:$K$1001,MATCH(ROWS($J$2:J965),$J$2:$J$1001,0),1)&gt;=100000,INDEX($Q$1005:$U$1005,1,MATCH(COLUMNS($Q$1006:Q1006),$Q$1006:$U$1006,0))&gt;=100000), " ",IF(INDEX($Q$2:$U$1001,MATCH(ROWS($J$2:J965),$J$2:$J$1001,0),MATCH(COLUMNS($Q$1006:Q1006),$Q$1006:$U$1006,0)), HYPERLINK("#",""), HYPERLINK(CONCATENATE("#Metadata!", ADDRESS(INDEX($L$2:$L$1001,MATCH(ROWS($J$2:J965),$J$2:$J$1001,0),0), INDEX($Q$1004:$U$1004,1,MATCH(COLUMNS($Q$1006:Q1006),$Q$1006:$U$1006,0)))),"Fix")))</f>
        <v xml:space="preserve"> </v>
      </c>
      <c r="C965" s="3" t="str">
        <f ca="1">IF(OR(INDEX($K$2:$K$1001,MATCH(ROWS($J$2:J965),$J$2:$J$1001,0),1)&gt;=100000,INDEX($Q$1005:$U$1005,1,MATCH(COLUMNS($Q$1006:R1006),$Q$1006:$U$1006,0))&gt;=100000), " ",IF(INDEX($Q$2:$U$1001,MATCH(ROWS($J$2:J965),$J$2:$J$1001,0),MATCH(COLUMNS($Q$1006:R1006),$Q$1006:$U$1006,0)), HYPERLINK("#",""), HYPERLINK(CONCATENATE("#Metadata!", ADDRESS(INDEX($L$2:$L$1001,MATCH(ROWS($J$2:J965),$J$2:$J$1001,0),0), INDEX($Q$1004:$U$1004,1,MATCH(COLUMNS($Q$1006:R1006),$Q$1006:$U$1006,0)))),"Fix")))</f>
        <v xml:space="preserve"> </v>
      </c>
      <c r="D965" s="3" t="str">
        <f ca="1">IF(OR(INDEX($K$2:$K$1001,MATCH(ROWS($J$2:J965),$J$2:$J$1001,0),1)&gt;=100000,INDEX($Q$1005:$U$1005,1,MATCH(COLUMNS($Q$1006:S1006),$Q$1006:$U$1006,0))&gt;=100000), " ",IF(INDEX($Q$2:$U$1001,MATCH(ROWS($J$2:J965),$J$2:$J$1001,0),MATCH(COLUMNS($Q$1006:S1006),$Q$1006:$U$1006,0)), HYPERLINK("#",""), HYPERLINK(CONCATENATE("#Metadata!", ADDRESS(INDEX($L$2:$L$1001,MATCH(ROWS($J$2:J965),$J$2:$J$1001,0),0), INDEX($Q$1004:$U$1004,1,MATCH(COLUMNS($Q$1006:S1006),$Q$1006:$U$1006,0)))),"Fix")))</f>
        <v xml:space="preserve"> </v>
      </c>
      <c r="E965" s="3" t="str">
        <f ca="1">IF(OR(INDEX($K$2:$K$1001,MATCH(ROWS($J$2:J965),$J$2:$J$1001,0),1)&gt;=100000,INDEX($Q$1005:$U$1005,1,MATCH(COLUMNS($Q$1006:T1006),$Q$1006:$U$1006,0))&gt;=100000), " ",IF(INDEX($Q$2:$U$1001,MATCH(ROWS($J$2:J965),$J$2:$J$1001,0),MATCH(COLUMNS($Q$1006:T1006),$Q$1006:$U$1006,0)), HYPERLINK("#",""), HYPERLINK(CONCATENATE("#Metadata!", ADDRESS(INDEX($L$2:$L$1001,MATCH(ROWS($J$2:J965),$J$2:$J$1001,0),0), INDEX($Q$1004:$U$1004,1,MATCH(COLUMNS($Q$1006:T1006),$Q$1006:$U$1006,0)))),"Fix")))</f>
        <v xml:space="preserve"> </v>
      </c>
      <c r="F965" s="3" t="str">
        <f ca="1">IF(OR(INDEX($K$2:$K$1001,MATCH(ROWS($J$2:J965),$J$2:$J$1001,0),1)&gt;=100000,INDEX($Q$1005:$U$1005,1,MATCH(COLUMNS($Q$1006:U1006),$Q$1006:$U$1006,0))&gt;=100000), " ",IF(INDEX($Q$2:$U$1001,MATCH(ROWS($J$2:J965),$J$2:$J$1001,0),MATCH(COLUMNS($Q$1006:U1006),$Q$1006:$U$1006,0)), HYPERLINK("#",""), HYPERLINK(CONCATENATE("#Metadata!", ADDRESS(INDEX($L$2:$L$1001,MATCH(ROWS($J$2:J965),$J$2:$J$1001,0),0), INDEX($Q$1004:$U$1004,1,MATCH(COLUMNS($Q$1006:U1006),$Q$1006:$U$1006,0)))),"Fix")))</f>
        <v xml:space="preserve"> </v>
      </c>
      <c r="J965">
        <f ca="1"/>
        <v>964</v>
      </c>
      <c r="K965">
        <v>100965</v>
      </c>
      <c r="L965">
        <v>965</v>
      </c>
      <c r="M965" t="b">
        <f t="shared" si="15"/>
        <v>1</v>
      </c>
      <c r="N965" t="b">
        <f>COUNTBLANK(Metadata!B965:F965)=COLUMNS(Metadata!B965:F965)</f>
        <v>1</v>
      </c>
      <c r="O965" t="str">
        <v/>
      </c>
      <c r="Q965" t="b">
        <f ca="1"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R965" t="b">
        <f>IF(Metadata!C965="",FALSE,TRUE)</f>
        <v>0</v>
      </c>
      <c r="S965" t="b">
        <f>OR(AND(IF(Metadata!D965="",FALSE,TRUE),EXACT(Metadata!D965,"missing: not collected")),AND(IF(Metadata!D965="",FALSE,TRUE),OR(EXACT(Metadata!D965,"t"),EXACT(Metadata!D965,"f"))))</f>
        <v>0</v>
      </c>
      <c r="T965" t="b">
        <f>AND(IF(Metadata!E965="",FALSE,TRUE),OR(EXACT(Metadata!E965,"a"),EXACT(Metadata!E965,"b")))</f>
        <v>0</v>
      </c>
      <c r="U965" t="b">
        <f>OR(AND(IF(Metadata!F965="",FALSE,TRUE),OR(EXACT(Metadata!F965,"missing: not collected"),EXACT(Metadata!F965,"missing: not provided"))),AND(IF(Metadata!F965="",FALSE,TRUE),OR(EXACT(Metadata!F965,"lo"),EXACT(Metadata!F965,"med"),EXACT(Metadata!F965,"hi"))))</f>
        <v>0</v>
      </c>
    </row>
    <row r="966" spans="1:21" x14ac:dyDescent="0.2">
      <c r="A966" s="4" t="str">
        <f ca="1">IF(B966=" "," ",HYPERLINK(CONCATENATE("#metadata!",ADDRESS(INDEX($L$2:$L$1001,MATCH(ROWS($J$2:J966),$J$2:$J$1001,0),0),1)),INDEX($O$2:$O$1001,MATCH(ROWS($J$2:J966),$J$2:$J$1001,0),0)))</f>
        <v xml:space="preserve"> </v>
      </c>
      <c r="B966" s="3" t="str">
        <f ca="1">IF(OR(INDEX($K$2:$K$1001,MATCH(ROWS($J$2:J966),$J$2:$J$1001,0),1)&gt;=100000,INDEX($Q$1005:$U$1005,1,MATCH(COLUMNS($Q$1006:Q1006),$Q$1006:$U$1006,0))&gt;=100000), " ",IF(INDEX($Q$2:$U$1001,MATCH(ROWS($J$2:J966),$J$2:$J$1001,0),MATCH(COLUMNS($Q$1006:Q1006),$Q$1006:$U$1006,0)), HYPERLINK("#",""), HYPERLINK(CONCATENATE("#Metadata!", ADDRESS(INDEX($L$2:$L$1001,MATCH(ROWS($J$2:J966),$J$2:$J$1001,0),0), INDEX($Q$1004:$U$1004,1,MATCH(COLUMNS($Q$1006:Q1006),$Q$1006:$U$1006,0)))),"Fix")))</f>
        <v xml:space="preserve"> </v>
      </c>
      <c r="C966" s="3" t="str">
        <f ca="1">IF(OR(INDEX($K$2:$K$1001,MATCH(ROWS($J$2:J966),$J$2:$J$1001,0),1)&gt;=100000,INDEX($Q$1005:$U$1005,1,MATCH(COLUMNS($Q$1006:R1006),$Q$1006:$U$1006,0))&gt;=100000), " ",IF(INDEX($Q$2:$U$1001,MATCH(ROWS($J$2:J966),$J$2:$J$1001,0),MATCH(COLUMNS($Q$1006:R1006),$Q$1006:$U$1006,0)), HYPERLINK("#",""), HYPERLINK(CONCATENATE("#Metadata!", ADDRESS(INDEX($L$2:$L$1001,MATCH(ROWS($J$2:J966),$J$2:$J$1001,0),0), INDEX($Q$1004:$U$1004,1,MATCH(COLUMNS($Q$1006:R1006),$Q$1006:$U$1006,0)))),"Fix")))</f>
        <v xml:space="preserve"> </v>
      </c>
      <c r="D966" s="3" t="str">
        <f ca="1">IF(OR(INDEX($K$2:$K$1001,MATCH(ROWS($J$2:J966),$J$2:$J$1001,0),1)&gt;=100000,INDEX($Q$1005:$U$1005,1,MATCH(COLUMNS($Q$1006:S1006),$Q$1006:$U$1006,0))&gt;=100000), " ",IF(INDEX($Q$2:$U$1001,MATCH(ROWS($J$2:J966),$J$2:$J$1001,0),MATCH(COLUMNS($Q$1006:S1006),$Q$1006:$U$1006,0)), HYPERLINK("#",""), HYPERLINK(CONCATENATE("#Metadata!", ADDRESS(INDEX($L$2:$L$1001,MATCH(ROWS($J$2:J966),$J$2:$J$1001,0),0), INDEX($Q$1004:$U$1004,1,MATCH(COLUMNS($Q$1006:S1006),$Q$1006:$U$1006,0)))),"Fix")))</f>
        <v xml:space="preserve"> </v>
      </c>
      <c r="E966" s="3" t="str">
        <f ca="1">IF(OR(INDEX($K$2:$K$1001,MATCH(ROWS($J$2:J966),$J$2:$J$1001,0),1)&gt;=100000,INDEX($Q$1005:$U$1005,1,MATCH(COLUMNS($Q$1006:T1006),$Q$1006:$U$1006,0))&gt;=100000), " ",IF(INDEX($Q$2:$U$1001,MATCH(ROWS($J$2:J966),$J$2:$J$1001,0),MATCH(COLUMNS($Q$1006:T1006),$Q$1006:$U$1006,0)), HYPERLINK("#",""), HYPERLINK(CONCATENATE("#Metadata!", ADDRESS(INDEX($L$2:$L$1001,MATCH(ROWS($J$2:J966),$J$2:$J$1001,0),0), INDEX($Q$1004:$U$1004,1,MATCH(COLUMNS($Q$1006:T1006),$Q$1006:$U$1006,0)))),"Fix")))</f>
        <v xml:space="preserve"> </v>
      </c>
      <c r="F966" s="3" t="str">
        <f ca="1">IF(OR(INDEX($K$2:$K$1001,MATCH(ROWS($J$2:J966),$J$2:$J$1001,0),1)&gt;=100000,INDEX($Q$1005:$U$1005,1,MATCH(COLUMNS($Q$1006:U1006),$Q$1006:$U$1006,0))&gt;=100000), " ",IF(INDEX($Q$2:$U$1001,MATCH(ROWS($J$2:J966),$J$2:$J$1001,0),MATCH(COLUMNS($Q$1006:U1006),$Q$1006:$U$1006,0)), HYPERLINK("#",""), HYPERLINK(CONCATENATE("#Metadata!", ADDRESS(INDEX($L$2:$L$1001,MATCH(ROWS($J$2:J966),$J$2:$J$1001,0),0), INDEX($Q$1004:$U$1004,1,MATCH(COLUMNS($Q$1006:U1006),$Q$1006:$U$1006,0)))),"Fix")))</f>
        <v xml:space="preserve"> </v>
      </c>
      <c r="J966">
        <f ca="1"/>
        <v>965</v>
      </c>
      <c r="K966">
        <v>100966</v>
      </c>
      <c r="L966">
        <v>966</v>
      </c>
      <c r="M966" t="b">
        <f t="shared" si="15"/>
        <v>1</v>
      </c>
      <c r="N966" t="b">
        <f>COUNTBLANK(Metadata!B966:F966)=COLUMNS(Metadata!B966:F966)</f>
        <v>1</v>
      </c>
      <c r="O966" t="str">
        <v/>
      </c>
      <c r="Q966" t="b">
        <f ca="1"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R966" t="b">
        <f>IF(Metadata!C966="",FALSE,TRUE)</f>
        <v>0</v>
      </c>
      <c r="S966" t="b">
        <f>OR(AND(IF(Metadata!D966="",FALSE,TRUE),EXACT(Metadata!D966,"missing: not collected")),AND(IF(Metadata!D966="",FALSE,TRUE),OR(EXACT(Metadata!D966,"t"),EXACT(Metadata!D966,"f"))))</f>
        <v>0</v>
      </c>
      <c r="T966" t="b">
        <f>AND(IF(Metadata!E966="",FALSE,TRUE),OR(EXACT(Metadata!E966,"a"),EXACT(Metadata!E966,"b")))</f>
        <v>0</v>
      </c>
      <c r="U966" t="b">
        <f>OR(AND(IF(Metadata!F966="",FALSE,TRUE),OR(EXACT(Metadata!F966,"missing: not collected"),EXACT(Metadata!F966,"missing: not provided"))),AND(IF(Metadata!F966="",FALSE,TRUE),OR(EXACT(Metadata!F966,"lo"),EXACT(Metadata!F966,"med"),EXACT(Metadata!F966,"hi"))))</f>
        <v>0</v>
      </c>
    </row>
    <row r="967" spans="1:21" x14ac:dyDescent="0.2">
      <c r="A967" s="4" t="str">
        <f ca="1">IF(B967=" "," ",HYPERLINK(CONCATENATE("#metadata!",ADDRESS(INDEX($L$2:$L$1001,MATCH(ROWS($J$2:J967),$J$2:$J$1001,0),0),1)),INDEX($O$2:$O$1001,MATCH(ROWS($J$2:J967),$J$2:$J$1001,0),0)))</f>
        <v xml:space="preserve"> </v>
      </c>
      <c r="B967" s="3" t="str">
        <f ca="1">IF(OR(INDEX($K$2:$K$1001,MATCH(ROWS($J$2:J967),$J$2:$J$1001,0),1)&gt;=100000,INDEX($Q$1005:$U$1005,1,MATCH(COLUMNS($Q$1006:Q1006),$Q$1006:$U$1006,0))&gt;=100000), " ",IF(INDEX($Q$2:$U$1001,MATCH(ROWS($J$2:J967),$J$2:$J$1001,0),MATCH(COLUMNS($Q$1006:Q1006),$Q$1006:$U$1006,0)), HYPERLINK("#",""), HYPERLINK(CONCATENATE("#Metadata!", ADDRESS(INDEX($L$2:$L$1001,MATCH(ROWS($J$2:J967),$J$2:$J$1001,0),0), INDEX($Q$1004:$U$1004,1,MATCH(COLUMNS($Q$1006:Q1006),$Q$1006:$U$1006,0)))),"Fix")))</f>
        <v xml:space="preserve"> </v>
      </c>
      <c r="C967" s="3" t="str">
        <f ca="1">IF(OR(INDEX($K$2:$K$1001,MATCH(ROWS($J$2:J967),$J$2:$J$1001,0),1)&gt;=100000,INDEX($Q$1005:$U$1005,1,MATCH(COLUMNS($Q$1006:R1006),$Q$1006:$U$1006,0))&gt;=100000), " ",IF(INDEX($Q$2:$U$1001,MATCH(ROWS($J$2:J967),$J$2:$J$1001,0),MATCH(COLUMNS($Q$1006:R1006),$Q$1006:$U$1006,0)), HYPERLINK("#",""), HYPERLINK(CONCATENATE("#Metadata!", ADDRESS(INDEX($L$2:$L$1001,MATCH(ROWS($J$2:J967),$J$2:$J$1001,0),0), INDEX($Q$1004:$U$1004,1,MATCH(COLUMNS($Q$1006:R1006),$Q$1006:$U$1006,0)))),"Fix")))</f>
        <v xml:space="preserve"> </v>
      </c>
      <c r="D967" s="3" t="str">
        <f ca="1">IF(OR(INDEX($K$2:$K$1001,MATCH(ROWS($J$2:J967),$J$2:$J$1001,0),1)&gt;=100000,INDEX($Q$1005:$U$1005,1,MATCH(COLUMNS($Q$1006:S1006),$Q$1006:$U$1006,0))&gt;=100000), " ",IF(INDEX($Q$2:$U$1001,MATCH(ROWS($J$2:J967),$J$2:$J$1001,0),MATCH(COLUMNS($Q$1006:S1006),$Q$1006:$U$1006,0)), HYPERLINK("#",""), HYPERLINK(CONCATENATE("#Metadata!", ADDRESS(INDEX($L$2:$L$1001,MATCH(ROWS($J$2:J967),$J$2:$J$1001,0),0), INDEX($Q$1004:$U$1004,1,MATCH(COLUMNS($Q$1006:S1006),$Q$1006:$U$1006,0)))),"Fix")))</f>
        <v xml:space="preserve"> </v>
      </c>
      <c r="E967" s="3" t="str">
        <f ca="1">IF(OR(INDEX($K$2:$K$1001,MATCH(ROWS($J$2:J967),$J$2:$J$1001,0),1)&gt;=100000,INDEX($Q$1005:$U$1005,1,MATCH(COLUMNS($Q$1006:T1006),$Q$1006:$U$1006,0))&gt;=100000), " ",IF(INDEX($Q$2:$U$1001,MATCH(ROWS($J$2:J967),$J$2:$J$1001,0),MATCH(COLUMNS($Q$1006:T1006),$Q$1006:$U$1006,0)), HYPERLINK("#",""), HYPERLINK(CONCATENATE("#Metadata!", ADDRESS(INDEX($L$2:$L$1001,MATCH(ROWS($J$2:J967),$J$2:$J$1001,0),0), INDEX($Q$1004:$U$1004,1,MATCH(COLUMNS($Q$1006:T1006),$Q$1006:$U$1006,0)))),"Fix")))</f>
        <v xml:space="preserve"> </v>
      </c>
      <c r="F967" s="3" t="str">
        <f ca="1">IF(OR(INDEX($K$2:$K$1001,MATCH(ROWS($J$2:J967),$J$2:$J$1001,0),1)&gt;=100000,INDEX($Q$1005:$U$1005,1,MATCH(COLUMNS($Q$1006:U1006),$Q$1006:$U$1006,0))&gt;=100000), " ",IF(INDEX($Q$2:$U$1001,MATCH(ROWS($J$2:J967),$J$2:$J$1001,0),MATCH(COLUMNS($Q$1006:U1006),$Q$1006:$U$1006,0)), HYPERLINK("#",""), HYPERLINK(CONCATENATE("#Metadata!", ADDRESS(INDEX($L$2:$L$1001,MATCH(ROWS($J$2:J967),$J$2:$J$1001,0),0), INDEX($Q$1004:$U$1004,1,MATCH(COLUMNS($Q$1006:U1006),$Q$1006:$U$1006,0)))),"Fix")))</f>
        <v xml:space="preserve"> </v>
      </c>
      <c r="J967">
        <f ca="1"/>
        <v>966</v>
      </c>
      <c r="K967">
        <v>100967</v>
      </c>
      <c r="L967">
        <v>967</v>
      </c>
      <c r="M967" t="b">
        <f t="shared" si="15"/>
        <v>1</v>
      </c>
      <c r="N967" t="b">
        <f>COUNTBLANK(Metadata!B967:F967)=COLUMNS(Metadata!B967:F967)</f>
        <v>1</v>
      </c>
      <c r="O967" t="str">
        <v/>
      </c>
      <c r="Q967" t="b">
        <f ca="1"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R967" t="b">
        <f>IF(Metadata!C967="",FALSE,TRUE)</f>
        <v>0</v>
      </c>
      <c r="S967" t="b">
        <f>OR(AND(IF(Metadata!D967="",FALSE,TRUE),EXACT(Metadata!D967,"missing: not collected")),AND(IF(Metadata!D967="",FALSE,TRUE),OR(EXACT(Metadata!D967,"t"),EXACT(Metadata!D967,"f"))))</f>
        <v>0</v>
      </c>
      <c r="T967" t="b">
        <f>AND(IF(Metadata!E967="",FALSE,TRUE),OR(EXACT(Metadata!E967,"a"),EXACT(Metadata!E967,"b")))</f>
        <v>0</v>
      </c>
      <c r="U967" t="b">
        <f>OR(AND(IF(Metadata!F967="",FALSE,TRUE),OR(EXACT(Metadata!F967,"missing: not collected"),EXACT(Metadata!F967,"missing: not provided"))),AND(IF(Metadata!F967="",FALSE,TRUE),OR(EXACT(Metadata!F967,"lo"),EXACT(Metadata!F967,"med"),EXACT(Metadata!F967,"hi"))))</f>
        <v>0</v>
      </c>
    </row>
    <row r="968" spans="1:21" x14ac:dyDescent="0.2">
      <c r="A968" s="4" t="str">
        <f ca="1">IF(B968=" "," ",HYPERLINK(CONCATENATE("#metadata!",ADDRESS(INDEX($L$2:$L$1001,MATCH(ROWS($J$2:J968),$J$2:$J$1001,0),0),1)),INDEX($O$2:$O$1001,MATCH(ROWS($J$2:J968),$J$2:$J$1001,0),0)))</f>
        <v xml:space="preserve"> </v>
      </c>
      <c r="B968" s="3" t="str">
        <f ca="1">IF(OR(INDEX($K$2:$K$1001,MATCH(ROWS($J$2:J968),$J$2:$J$1001,0),1)&gt;=100000,INDEX($Q$1005:$U$1005,1,MATCH(COLUMNS($Q$1006:Q1006),$Q$1006:$U$1006,0))&gt;=100000), " ",IF(INDEX($Q$2:$U$1001,MATCH(ROWS($J$2:J968),$J$2:$J$1001,0),MATCH(COLUMNS($Q$1006:Q1006),$Q$1006:$U$1006,0)), HYPERLINK("#",""), HYPERLINK(CONCATENATE("#Metadata!", ADDRESS(INDEX($L$2:$L$1001,MATCH(ROWS($J$2:J968),$J$2:$J$1001,0),0), INDEX($Q$1004:$U$1004,1,MATCH(COLUMNS($Q$1006:Q1006),$Q$1006:$U$1006,0)))),"Fix")))</f>
        <v xml:space="preserve"> </v>
      </c>
      <c r="C968" s="3" t="str">
        <f ca="1">IF(OR(INDEX($K$2:$K$1001,MATCH(ROWS($J$2:J968),$J$2:$J$1001,0),1)&gt;=100000,INDEX($Q$1005:$U$1005,1,MATCH(COLUMNS($Q$1006:R1006),$Q$1006:$U$1006,0))&gt;=100000), " ",IF(INDEX($Q$2:$U$1001,MATCH(ROWS($J$2:J968),$J$2:$J$1001,0),MATCH(COLUMNS($Q$1006:R1006),$Q$1006:$U$1006,0)), HYPERLINK("#",""), HYPERLINK(CONCATENATE("#Metadata!", ADDRESS(INDEX($L$2:$L$1001,MATCH(ROWS($J$2:J968),$J$2:$J$1001,0),0), INDEX($Q$1004:$U$1004,1,MATCH(COLUMNS($Q$1006:R1006),$Q$1006:$U$1006,0)))),"Fix")))</f>
        <v xml:space="preserve"> </v>
      </c>
      <c r="D968" s="3" t="str">
        <f ca="1">IF(OR(INDEX($K$2:$K$1001,MATCH(ROWS($J$2:J968),$J$2:$J$1001,0),1)&gt;=100000,INDEX($Q$1005:$U$1005,1,MATCH(COLUMNS($Q$1006:S1006),$Q$1006:$U$1006,0))&gt;=100000), " ",IF(INDEX($Q$2:$U$1001,MATCH(ROWS($J$2:J968),$J$2:$J$1001,0),MATCH(COLUMNS($Q$1006:S1006),$Q$1006:$U$1006,0)), HYPERLINK("#",""), HYPERLINK(CONCATENATE("#Metadata!", ADDRESS(INDEX($L$2:$L$1001,MATCH(ROWS($J$2:J968),$J$2:$J$1001,0),0), INDEX($Q$1004:$U$1004,1,MATCH(COLUMNS($Q$1006:S1006),$Q$1006:$U$1006,0)))),"Fix")))</f>
        <v xml:space="preserve"> </v>
      </c>
      <c r="E968" s="3" t="str">
        <f ca="1">IF(OR(INDEX($K$2:$K$1001,MATCH(ROWS($J$2:J968),$J$2:$J$1001,0),1)&gt;=100000,INDEX($Q$1005:$U$1005,1,MATCH(COLUMNS($Q$1006:T1006),$Q$1006:$U$1006,0))&gt;=100000), " ",IF(INDEX($Q$2:$U$1001,MATCH(ROWS($J$2:J968),$J$2:$J$1001,0),MATCH(COLUMNS($Q$1006:T1006),$Q$1006:$U$1006,0)), HYPERLINK("#",""), HYPERLINK(CONCATENATE("#Metadata!", ADDRESS(INDEX($L$2:$L$1001,MATCH(ROWS($J$2:J968),$J$2:$J$1001,0),0), INDEX($Q$1004:$U$1004,1,MATCH(COLUMNS($Q$1006:T1006),$Q$1006:$U$1006,0)))),"Fix")))</f>
        <v xml:space="preserve"> </v>
      </c>
      <c r="F968" s="3" t="str">
        <f ca="1">IF(OR(INDEX($K$2:$K$1001,MATCH(ROWS($J$2:J968),$J$2:$J$1001,0),1)&gt;=100000,INDEX($Q$1005:$U$1005,1,MATCH(COLUMNS($Q$1006:U1006),$Q$1006:$U$1006,0))&gt;=100000), " ",IF(INDEX($Q$2:$U$1001,MATCH(ROWS($J$2:J968),$J$2:$J$1001,0),MATCH(COLUMNS($Q$1006:U1006),$Q$1006:$U$1006,0)), HYPERLINK("#",""), HYPERLINK(CONCATENATE("#Metadata!", ADDRESS(INDEX($L$2:$L$1001,MATCH(ROWS($J$2:J968),$J$2:$J$1001,0),0), INDEX($Q$1004:$U$1004,1,MATCH(COLUMNS($Q$1006:U1006),$Q$1006:$U$1006,0)))),"Fix")))</f>
        <v xml:space="preserve"> </v>
      </c>
      <c r="J968">
        <f ca="1"/>
        <v>967</v>
      </c>
      <c r="K968">
        <v>100968</v>
      </c>
      <c r="L968">
        <v>968</v>
      </c>
      <c r="M968" t="b">
        <f t="shared" si="15"/>
        <v>1</v>
      </c>
      <c r="N968" t="b">
        <f>COUNTBLANK(Metadata!B968:F968)=COLUMNS(Metadata!B968:F968)</f>
        <v>1</v>
      </c>
      <c r="O968" t="str">
        <v/>
      </c>
      <c r="Q968" t="b">
        <f ca="1"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R968" t="b">
        <f>IF(Metadata!C968="",FALSE,TRUE)</f>
        <v>0</v>
      </c>
      <c r="S968" t="b">
        <f>OR(AND(IF(Metadata!D968="",FALSE,TRUE),EXACT(Metadata!D968,"missing: not collected")),AND(IF(Metadata!D968="",FALSE,TRUE),OR(EXACT(Metadata!D968,"t"),EXACT(Metadata!D968,"f"))))</f>
        <v>0</v>
      </c>
      <c r="T968" t="b">
        <f>AND(IF(Metadata!E968="",FALSE,TRUE),OR(EXACT(Metadata!E968,"a"),EXACT(Metadata!E968,"b")))</f>
        <v>0</v>
      </c>
      <c r="U968" t="b">
        <f>OR(AND(IF(Metadata!F968="",FALSE,TRUE),OR(EXACT(Metadata!F968,"missing: not collected"),EXACT(Metadata!F968,"missing: not provided"))),AND(IF(Metadata!F968="",FALSE,TRUE),OR(EXACT(Metadata!F968,"lo"),EXACT(Metadata!F968,"med"),EXACT(Metadata!F968,"hi"))))</f>
        <v>0</v>
      </c>
    </row>
    <row r="969" spans="1:21" x14ac:dyDescent="0.2">
      <c r="A969" s="4" t="str">
        <f ca="1">IF(B969=" "," ",HYPERLINK(CONCATENATE("#metadata!",ADDRESS(INDEX($L$2:$L$1001,MATCH(ROWS($J$2:J969),$J$2:$J$1001,0),0),1)),INDEX($O$2:$O$1001,MATCH(ROWS($J$2:J969),$J$2:$J$1001,0),0)))</f>
        <v xml:space="preserve"> </v>
      </c>
      <c r="B969" s="3" t="str">
        <f ca="1">IF(OR(INDEX($K$2:$K$1001,MATCH(ROWS($J$2:J969),$J$2:$J$1001,0),1)&gt;=100000,INDEX($Q$1005:$U$1005,1,MATCH(COLUMNS($Q$1006:Q1006),$Q$1006:$U$1006,0))&gt;=100000), " ",IF(INDEX($Q$2:$U$1001,MATCH(ROWS($J$2:J969),$J$2:$J$1001,0),MATCH(COLUMNS($Q$1006:Q1006),$Q$1006:$U$1006,0)), HYPERLINK("#",""), HYPERLINK(CONCATENATE("#Metadata!", ADDRESS(INDEX($L$2:$L$1001,MATCH(ROWS($J$2:J969),$J$2:$J$1001,0),0), INDEX($Q$1004:$U$1004,1,MATCH(COLUMNS($Q$1006:Q1006),$Q$1006:$U$1006,0)))),"Fix")))</f>
        <v xml:space="preserve"> </v>
      </c>
      <c r="C969" s="3" t="str">
        <f ca="1">IF(OR(INDEX($K$2:$K$1001,MATCH(ROWS($J$2:J969),$J$2:$J$1001,0),1)&gt;=100000,INDEX($Q$1005:$U$1005,1,MATCH(COLUMNS($Q$1006:R1006),$Q$1006:$U$1006,0))&gt;=100000), " ",IF(INDEX($Q$2:$U$1001,MATCH(ROWS($J$2:J969),$J$2:$J$1001,0),MATCH(COLUMNS($Q$1006:R1006),$Q$1006:$U$1006,0)), HYPERLINK("#",""), HYPERLINK(CONCATENATE("#Metadata!", ADDRESS(INDEX($L$2:$L$1001,MATCH(ROWS($J$2:J969),$J$2:$J$1001,0),0), INDEX($Q$1004:$U$1004,1,MATCH(COLUMNS($Q$1006:R1006),$Q$1006:$U$1006,0)))),"Fix")))</f>
        <v xml:space="preserve"> </v>
      </c>
      <c r="D969" s="3" t="str">
        <f ca="1">IF(OR(INDEX($K$2:$K$1001,MATCH(ROWS($J$2:J969),$J$2:$J$1001,0),1)&gt;=100000,INDEX($Q$1005:$U$1005,1,MATCH(COLUMNS($Q$1006:S1006),$Q$1006:$U$1006,0))&gt;=100000), " ",IF(INDEX($Q$2:$U$1001,MATCH(ROWS($J$2:J969),$J$2:$J$1001,0),MATCH(COLUMNS($Q$1006:S1006),$Q$1006:$U$1006,0)), HYPERLINK("#",""), HYPERLINK(CONCATENATE("#Metadata!", ADDRESS(INDEX($L$2:$L$1001,MATCH(ROWS($J$2:J969),$J$2:$J$1001,0),0), INDEX($Q$1004:$U$1004,1,MATCH(COLUMNS($Q$1006:S1006),$Q$1006:$U$1006,0)))),"Fix")))</f>
        <v xml:space="preserve"> </v>
      </c>
      <c r="E969" s="3" t="str">
        <f ca="1">IF(OR(INDEX($K$2:$K$1001,MATCH(ROWS($J$2:J969),$J$2:$J$1001,0),1)&gt;=100000,INDEX($Q$1005:$U$1005,1,MATCH(COLUMNS($Q$1006:T1006),$Q$1006:$U$1006,0))&gt;=100000), " ",IF(INDEX($Q$2:$U$1001,MATCH(ROWS($J$2:J969),$J$2:$J$1001,0),MATCH(COLUMNS($Q$1006:T1006),$Q$1006:$U$1006,0)), HYPERLINK("#",""), HYPERLINK(CONCATENATE("#Metadata!", ADDRESS(INDEX($L$2:$L$1001,MATCH(ROWS($J$2:J969),$J$2:$J$1001,0),0), INDEX($Q$1004:$U$1004,1,MATCH(COLUMNS($Q$1006:T1006),$Q$1006:$U$1006,0)))),"Fix")))</f>
        <v xml:space="preserve"> </v>
      </c>
      <c r="F969" s="3" t="str">
        <f ca="1">IF(OR(INDEX($K$2:$K$1001,MATCH(ROWS($J$2:J969),$J$2:$J$1001,0),1)&gt;=100000,INDEX($Q$1005:$U$1005,1,MATCH(COLUMNS($Q$1006:U1006),$Q$1006:$U$1006,0))&gt;=100000), " ",IF(INDEX($Q$2:$U$1001,MATCH(ROWS($J$2:J969),$J$2:$J$1001,0),MATCH(COLUMNS($Q$1006:U1006),$Q$1006:$U$1006,0)), HYPERLINK("#",""), HYPERLINK(CONCATENATE("#Metadata!", ADDRESS(INDEX($L$2:$L$1001,MATCH(ROWS($J$2:J969),$J$2:$J$1001,0),0), INDEX($Q$1004:$U$1004,1,MATCH(COLUMNS($Q$1006:U1006),$Q$1006:$U$1006,0)))),"Fix")))</f>
        <v xml:space="preserve"> </v>
      </c>
      <c r="J969">
        <f ca="1"/>
        <v>968</v>
      </c>
      <c r="K969">
        <v>100969</v>
      </c>
      <c r="L969">
        <v>969</v>
      </c>
      <c r="M969" t="b">
        <f t="shared" si="15"/>
        <v>1</v>
      </c>
      <c r="N969" t="b">
        <f>COUNTBLANK(Metadata!B969:F969)=COLUMNS(Metadata!B969:F969)</f>
        <v>1</v>
      </c>
      <c r="O969" t="str">
        <v/>
      </c>
      <c r="Q969" t="b">
        <f ca="1"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R969" t="b">
        <f>IF(Metadata!C969="",FALSE,TRUE)</f>
        <v>0</v>
      </c>
      <c r="S969" t="b">
        <f>OR(AND(IF(Metadata!D969="",FALSE,TRUE),EXACT(Metadata!D969,"missing: not collected")),AND(IF(Metadata!D969="",FALSE,TRUE),OR(EXACT(Metadata!D969,"t"),EXACT(Metadata!D969,"f"))))</f>
        <v>0</v>
      </c>
      <c r="T969" t="b">
        <f>AND(IF(Metadata!E969="",FALSE,TRUE),OR(EXACT(Metadata!E969,"a"),EXACT(Metadata!E969,"b")))</f>
        <v>0</v>
      </c>
      <c r="U969" t="b">
        <f>OR(AND(IF(Metadata!F969="",FALSE,TRUE),OR(EXACT(Metadata!F969,"missing: not collected"),EXACT(Metadata!F969,"missing: not provided"))),AND(IF(Metadata!F969="",FALSE,TRUE),OR(EXACT(Metadata!F969,"lo"),EXACT(Metadata!F969,"med"),EXACT(Metadata!F969,"hi"))))</f>
        <v>0</v>
      </c>
    </row>
    <row r="970" spans="1:21" x14ac:dyDescent="0.2">
      <c r="A970" s="4" t="str">
        <f ca="1">IF(B970=" "," ",HYPERLINK(CONCATENATE("#metadata!",ADDRESS(INDEX($L$2:$L$1001,MATCH(ROWS($J$2:J970),$J$2:$J$1001,0),0),1)),INDEX($O$2:$O$1001,MATCH(ROWS($J$2:J970),$J$2:$J$1001,0),0)))</f>
        <v xml:space="preserve"> </v>
      </c>
      <c r="B970" s="3" t="str">
        <f ca="1">IF(OR(INDEX($K$2:$K$1001,MATCH(ROWS($J$2:J970),$J$2:$J$1001,0),1)&gt;=100000,INDEX($Q$1005:$U$1005,1,MATCH(COLUMNS($Q$1006:Q1006),$Q$1006:$U$1006,0))&gt;=100000), " ",IF(INDEX($Q$2:$U$1001,MATCH(ROWS($J$2:J970),$J$2:$J$1001,0),MATCH(COLUMNS($Q$1006:Q1006),$Q$1006:$U$1006,0)), HYPERLINK("#",""), HYPERLINK(CONCATENATE("#Metadata!", ADDRESS(INDEX($L$2:$L$1001,MATCH(ROWS($J$2:J970),$J$2:$J$1001,0),0), INDEX($Q$1004:$U$1004,1,MATCH(COLUMNS($Q$1006:Q1006),$Q$1006:$U$1006,0)))),"Fix")))</f>
        <v xml:space="preserve"> </v>
      </c>
      <c r="C970" s="3" t="str">
        <f ca="1">IF(OR(INDEX($K$2:$K$1001,MATCH(ROWS($J$2:J970),$J$2:$J$1001,0),1)&gt;=100000,INDEX($Q$1005:$U$1005,1,MATCH(COLUMNS($Q$1006:R1006),$Q$1006:$U$1006,0))&gt;=100000), " ",IF(INDEX($Q$2:$U$1001,MATCH(ROWS($J$2:J970),$J$2:$J$1001,0),MATCH(COLUMNS($Q$1006:R1006),$Q$1006:$U$1006,0)), HYPERLINK("#",""), HYPERLINK(CONCATENATE("#Metadata!", ADDRESS(INDEX($L$2:$L$1001,MATCH(ROWS($J$2:J970),$J$2:$J$1001,0),0), INDEX($Q$1004:$U$1004,1,MATCH(COLUMNS($Q$1006:R1006),$Q$1006:$U$1006,0)))),"Fix")))</f>
        <v xml:space="preserve"> </v>
      </c>
      <c r="D970" s="3" t="str">
        <f ca="1">IF(OR(INDEX($K$2:$K$1001,MATCH(ROWS($J$2:J970),$J$2:$J$1001,0),1)&gt;=100000,INDEX($Q$1005:$U$1005,1,MATCH(COLUMNS($Q$1006:S1006),$Q$1006:$U$1006,0))&gt;=100000), " ",IF(INDEX($Q$2:$U$1001,MATCH(ROWS($J$2:J970),$J$2:$J$1001,0),MATCH(COLUMNS($Q$1006:S1006),$Q$1006:$U$1006,0)), HYPERLINK("#",""), HYPERLINK(CONCATENATE("#Metadata!", ADDRESS(INDEX($L$2:$L$1001,MATCH(ROWS($J$2:J970),$J$2:$J$1001,0),0), INDEX($Q$1004:$U$1004,1,MATCH(COLUMNS($Q$1006:S1006),$Q$1006:$U$1006,0)))),"Fix")))</f>
        <v xml:space="preserve"> </v>
      </c>
      <c r="E970" s="3" t="str">
        <f ca="1">IF(OR(INDEX($K$2:$K$1001,MATCH(ROWS($J$2:J970),$J$2:$J$1001,0),1)&gt;=100000,INDEX($Q$1005:$U$1005,1,MATCH(COLUMNS($Q$1006:T1006),$Q$1006:$U$1006,0))&gt;=100000), " ",IF(INDEX($Q$2:$U$1001,MATCH(ROWS($J$2:J970),$J$2:$J$1001,0),MATCH(COLUMNS($Q$1006:T1006),$Q$1006:$U$1006,0)), HYPERLINK("#",""), HYPERLINK(CONCATENATE("#Metadata!", ADDRESS(INDEX($L$2:$L$1001,MATCH(ROWS($J$2:J970),$J$2:$J$1001,0),0), INDEX($Q$1004:$U$1004,1,MATCH(COLUMNS($Q$1006:T1006),$Q$1006:$U$1006,0)))),"Fix")))</f>
        <v xml:space="preserve"> </v>
      </c>
      <c r="F970" s="3" t="str">
        <f ca="1">IF(OR(INDEX($K$2:$K$1001,MATCH(ROWS($J$2:J970),$J$2:$J$1001,0),1)&gt;=100000,INDEX($Q$1005:$U$1005,1,MATCH(COLUMNS($Q$1006:U1006),$Q$1006:$U$1006,0))&gt;=100000), " ",IF(INDEX($Q$2:$U$1001,MATCH(ROWS($J$2:J970),$J$2:$J$1001,0),MATCH(COLUMNS($Q$1006:U1006),$Q$1006:$U$1006,0)), HYPERLINK("#",""), HYPERLINK(CONCATENATE("#Metadata!", ADDRESS(INDEX($L$2:$L$1001,MATCH(ROWS($J$2:J970),$J$2:$J$1001,0),0), INDEX($Q$1004:$U$1004,1,MATCH(COLUMNS($Q$1006:U1006),$Q$1006:$U$1006,0)))),"Fix")))</f>
        <v xml:space="preserve"> </v>
      </c>
      <c r="J970">
        <f ca="1"/>
        <v>969</v>
      </c>
      <c r="K970">
        <v>100970</v>
      </c>
      <c r="L970">
        <v>970</v>
      </c>
      <c r="M970" t="b">
        <f t="shared" si="15"/>
        <v>1</v>
      </c>
      <c r="N970" t="b">
        <f>COUNTBLANK(Metadata!B970:F970)=COLUMNS(Metadata!B970:F970)</f>
        <v>1</v>
      </c>
      <c r="O970" t="str">
        <v/>
      </c>
      <c r="Q970" t="b">
        <f ca="1"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R970" t="b">
        <f>IF(Metadata!C970="",FALSE,TRUE)</f>
        <v>0</v>
      </c>
      <c r="S970" t="b">
        <f>OR(AND(IF(Metadata!D970="",FALSE,TRUE),EXACT(Metadata!D970,"missing: not collected")),AND(IF(Metadata!D970="",FALSE,TRUE),OR(EXACT(Metadata!D970,"t"),EXACT(Metadata!D970,"f"))))</f>
        <v>0</v>
      </c>
      <c r="T970" t="b">
        <f>AND(IF(Metadata!E970="",FALSE,TRUE),OR(EXACT(Metadata!E970,"a"),EXACT(Metadata!E970,"b")))</f>
        <v>0</v>
      </c>
      <c r="U970" t="b">
        <f>OR(AND(IF(Metadata!F970="",FALSE,TRUE),OR(EXACT(Metadata!F970,"missing: not collected"),EXACT(Metadata!F970,"missing: not provided"))),AND(IF(Metadata!F970="",FALSE,TRUE),OR(EXACT(Metadata!F970,"lo"),EXACT(Metadata!F970,"med"),EXACT(Metadata!F970,"hi"))))</f>
        <v>0</v>
      </c>
    </row>
    <row r="971" spans="1:21" x14ac:dyDescent="0.2">
      <c r="A971" s="4" t="str">
        <f ca="1">IF(B971=" "," ",HYPERLINK(CONCATENATE("#metadata!",ADDRESS(INDEX($L$2:$L$1001,MATCH(ROWS($J$2:J971),$J$2:$J$1001,0),0),1)),INDEX($O$2:$O$1001,MATCH(ROWS($J$2:J971),$J$2:$J$1001,0),0)))</f>
        <v xml:space="preserve"> </v>
      </c>
      <c r="B971" s="3" t="str">
        <f ca="1">IF(OR(INDEX($K$2:$K$1001,MATCH(ROWS($J$2:J971),$J$2:$J$1001,0),1)&gt;=100000,INDEX($Q$1005:$U$1005,1,MATCH(COLUMNS($Q$1006:Q1006),$Q$1006:$U$1006,0))&gt;=100000), " ",IF(INDEX($Q$2:$U$1001,MATCH(ROWS($J$2:J971),$J$2:$J$1001,0),MATCH(COLUMNS($Q$1006:Q1006),$Q$1006:$U$1006,0)), HYPERLINK("#",""), HYPERLINK(CONCATENATE("#Metadata!", ADDRESS(INDEX($L$2:$L$1001,MATCH(ROWS($J$2:J971),$J$2:$J$1001,0),0), INDEX($Q$1004:$U$1004,1,MATCH(COLUMNS($Q$1006:Q1006),$Q$1006:$U$1006,0)))),"Fix")))</f>
        <v xml:space="preserve"> </v>
      </c>
      <c r="C971" s="3" t="str">
        <f ca="1">IF(OR(INDEX($K$2:$K$1001,MATCH(ROWS($J$2:J971),$J$2:$J$1001,0),1)&gt;=100000,INDEX($Q$1005:$U$1005,1,MATCH(COLUMNS($Q$1006:R1006),$Q$1006:$U$1006,0))&gt;=100000), " ",IF(INDEX($Q$2:$U$1001,MATCH(ROWS($J$2:J971),$J$2:$J$1001,0),MATCH(COLUMNS($Q$1006:R1006),$Q$1006:$U$1006,0)), HYPERLINK("#",""), HYPERLINK(CONCATENATE("#Metadata!", ADDRESS(INDEX($L$2:$L$1001,MATCH(ROWS($J$2:J971),$J$2:$J$1001,0),0), INDEX($Q$1004:$U$1004,1,MATCH(COLUMNS($Q$1006:R1006),$Q$1006:$U$1006,0)))),"Fix")))</f>
        <v xml:space="preserve"> </v>
      </c>
      <c r="D971" s="3" t="str">
        <f ca="1">IF(OR(INDEX($K$2:$K$1001,MATCH(ROWS($J$2:J971),$J$2:$J$1001,0),1)&gt;=100000,INDEX($Q$1005:$U$1005,1,MATCH(COLUMNS($Q$1006:S1006),$Q$1006:$U$1006,0))&gt;=100000), " ",IF(INDEX($Q$2:$U$1001,MATCH(ROWS($J$2:J971),$J$2:$J$1001,0),MATCH(COLUMNS($Q$1006:S1006),$Q$1006:$U$1006,0)), HYPERLINK("#",""), HYPERLINK(CONCATENATE("#Metadata!", ADDRESS(INDEX($L$2:$L$1001,MATCH(ROWS($J$2:J971),$J$2:$J$1001,0),0), INDEX($Q$1004:$U$1004,1,MATCH(COLUMNS($Q$1006:S1006),$Q$1006:$U$1006,0)))),"Fix")))</f>
        <v xml:space="preserve"> </v>
      </c>
      <c r="E971" s="3" t="str">
        <f ca="1">IF(OR(INDEX($K$2:$K$1001,MATCH(ROWS($J$2:J971),$J$2:$J$1001,0),1)&gt;=100000,INDEX($Q$1005:$U$1005,1,MATCH(COLUMNS($Q$1006:T1006),$Q$1006:$U$1006,0))&gt;=100000), " ",IF(INDEX($Q$2:$U$1001,MATCH(ROWS($J$2:J971),$J$2:$J$1001,0),MATCH(COLUMNS($Q$1006:T1006),$Q$1006:$U$1006,0)), HYPERLINK("#",""), HYPERLINK(CONCATENATE("#Metadata!", ADDRESS(INDEX($L$2:$L$1001,MATCH(ROWS($J$2:J971),$J$2:$J$1001,0),0), INDEX($Q$1004:$U$1004,1,MATCH(COLUMNS($Q$1006:T1006),$Q$1006:$U$1006,0)))),"Fix")))</f>
        <v xml:space="preserve"> </v>
      </c>
      <c r="F971" s="3" t="str">
        <f ca="1">IF(OR(INDEX($K$2:$K$1001,MATCH(ROWS($J$2:J971),$J$2:$J$1001,0),1)&gt;=100000,INDEX($Q$1005:$U$1005,1,MATCH(COLUMNS($Q$1006:U1006),$Q$1006:$U$1006,0))&gt;=100000), " ",IF(INDEX($Q$2:$U$1001,MATCH(ROWS($J$2:J971),$J$2:$J$1001,0),MATCH(COLUMNS($Q$1006:U1006),$Q$1006:$U$1006,0)), HYPERLINK("#",""), HYPERLINK(CONCATENATE("#Metadata!", ADDRESS(INDEX($L$2:$L$1001,MATCH(ROWS($J$2:J971),$J$2:$J$1001,0),0), INDEX($Q$1004:$U$1004,1,MATCH(COLUMNS($Q$1006:U1006),$Q$1006:$U$1006,0)))),"Fix")))</f>
        <v xml:space="preserve"> </v>
      </c>
      <c r="J971">
        <f ca="1"/>
        <v>970</v>
      </c>
      <c r="K971">
        <v>100971</v>
      </c>
      <c r="L971">
        <v>971</v>
      </c>
      <c r="M971" t="b">
        <f t="shared" si="15"/>
        <v>1</v>
      </c>
      <c r="N971" t="b">
        <f>COUNTBLANK(Metadata!B971:F971)=COLUMNS(Metadata!B971:F971)</f>
        <v>1</v>
      </c>
      <c r="O971" t="str">
        <v/>
      </c>
      <c r="Q971" t="b">
        <f ca="1"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R971" t="b">
        <f>IF(Metadata!C971="",FALSE,TRUE)</f>
        <v>0</v>
      </c>
      <c r="S971" t="b">
        <f>OR(AND(IF(Metadata!D971="",FALSE,TRUE),EXACT(Metadata!D971,"missing: not collected")),AND(IF(Metadata!D971="",FALSE,TRUE),OR(EXACT(Metadata!D971,"t"),EXACT(Metadata!D971,"f"))))</f>
        <v>0</v>
      </c>
      <c r="T971" t="b">
        <f>AND(IF(Metadata!E971="",FALSE,TRUE),OR(EXACT(Metadata!E971,"a"),EXACT(Metadata!E971,"b")))</f>
        <v>0</v>
      </c>
      <c r="U971" t="b">
        <f>OR(AND(IF(Metadata!F971="",FALSE,TRUE),OR(EXACT(Metadata!F971,"missing: not collected"),EXACT(Metadata!F971,"missing: not provided"))),AND(IF(Metadata!F971="",FALSE,TRUE),OR(EXACT(Metadata!F971,"lo"),EXACT(Metadata!F971,"med"),EXACT(Metadata!F971,"hi"))))</f>
        <v>0</v>
      </c>
    </row>
    <row r="972" spans="1:21" x14ac:dyDescent="0.2">
      <c r="A972" s="4" t="str">
        <f ca="1">IF(B972=" "," ",HYPERLINK(CONCATENATE("#metadata!",ADDRESS(INDEX($L$2:$L$1001,MATCH(ROWS($J$2:J972),$J$2:$J$1001,0),0),1)),INDEX($O$2:$O$1001,MATCH(ROWS($J$2:J972),$J$2:$J$1001,0),0)))</f>
        <v xml:space="preserve"> </v>
      </c>
      <c r="B972" s="3" t="str">
        <f ca="1">IF(OR(INDEX($K$2:$K$1001,MATCH(ROWS($J$2:J972),$J$2:$J$1001,0),1)&gt;=100000,INDEX($Q$1005:$U$1005,1,MATCH(COLUMNS($Q$1006:Q1006),$Q$1006:$U$1006,0))&gt;=100000), " ",IF(INDEX($Q$2:$U$1001,MATCH(ROWS($J$2:J972),$J$2:$J$1001,0),MATCH(COLUMNS($Q$1006:Q1006),$Q$1006:$U$1006,0)), HYPERLINK("#",""), HYPERLINK(CONCATENATE("#Metadata!", ADDRESS(INDEX($L$2:$L$1001,MATCH(ROWS($J$2:J972),$J$2:$J$1001,0),0), INDEX($Q$1004:$U$1004,1,MATCH(COLUMNS($Q$1006:Q1006),$Q$1006:$U$1006,0)))),"Fix")))</f>
        <v xml:space="preserve"> </v>
      </c>
      <c r="C972" s="3" t="str">
        <f ca="1">IF(OR(INDEX($K$2:$K$1001,MATCH(ROWS($J$2:J972),$J$2:$J$1001,0),1)&gt;=100000,INDEX($Q$1005:$U$1005,1,MATCH(COLUMNS($Q$1006:R1006),$Q$1006:$U$1006,0))&gt;=100000), " ",IF(INDEX($Q$2:$U$1001,MATCH(ROWS($J$2:J972),$J$2:$J$1001,0),MATCH(COLUMNS($Q$1006:R1006),$Q$1006:$U$1006,0)), HYPERLINK("#",""), HYPERLINK(CONCATENATE("#Metadata!", ADDRESS(INDEX($L$2:$L$1001,MATCH(ROWS($J$2:J972),$J$2:$J$1001,0),0), INDEX($Q$1004:$U$1004,1,MATCH(COLUMNS($Q$1006:R1006),$Q$1006:$U$1006,0)))),"Fix")))</f>
        <v xml:space="preserve"> </v>
      </c>
      <c r="D972" s="3" t="str">
        <f ca="1">IF(OR(INDEX($K$2:$K$1001,MATCH(ROWS($J$2:J972),$J$2:$J$1001,0),1)&gt;=100000,INDEX($Q$1005:$U$1005,1,MATCH(COLUMNS($Q$1006:S1006),$Q$1006:$U$1006,0))&gt;=100000), " ",IF(INDEX($Q$2:$U$1001,MATCH(ROWS($J$2:J972),$J$2:$J$1001,0),MATCH(COLUMNS($Q$1006:S1006),$Q$1006:$U$1006,0)), HYPERLINK("#",""), HYPERLINK(CONCATENATE("#Metadata!", ADDRESS(INDEX($L$2:$L$1001,MATCH(ROWS($J$2:J972),$J$2:$J$1001,0),0), INDEX($Q$1004:$U$1004,1,MATCH(COLUMNS($Q$1006:S1006),$Q$1006:$U$1006,0)))),"Fix")))</f>
        <v xml:space="preserve"> </v>
      </c>
      <c r="E972" s="3" t="str">
        <f ca="1">IF(OR(INDEX($K$2:$K$1001,MATCH(ROWS($J$2:J972),$J$2:$J$1001,0),1)&gt;=100000,INDEX($Q$1005:$U$1005,1,MATCH(COLUMNS($Q$1006:T1006),$Q$1006:$U$1006,0))&gt;=100000), " ",IF(INDEX($Q$2:$U$1001,MATCH(ROWS($J$2:J972),$J$2:$J$1001,0),MATCH(COLUMNS($Q$1006:T1006),$Q$1006:$U$1006,0)), HYPERLINK("#",""), HYPERLINK(CONCATENATE("#Metadata!", ADDRESS(INDEX($L$2:$L$1001,MATCH(ROWS($J$2:J972),$J$2:$J$1001,0),0), INDEX($Q$1004:$U$1004,1,MATCH(COLUMNS($Q$1006:T1006),$Q$1006:$U$1006,0)))),"Fix")))</f>
        <v xml:space="preserve"> </v>
      </c>
      <c r="F972" s="3" t="str">
        <f ca="1">IF(OR(INDEX($K$2:$K$1001,MATCH(ROWS($J$2:J972),$J$2:$J$1001,0),1)&gt;=100000,INDEX($Q$1005:$U$1005,1,MATCH(COLUMNS($Q$1006:U1006),$Q$1006:$U$1006,0))&gt;=100000), " ",IF(INDEX($Q$2:$U$1001,MATCH(ROWS($J$2:J972),$J$2:$J$1001,0),MATCH(COLUMNS($Q$1006:U1006),$Q$1006:$U$1006,0)), HYPERLINK("#",""), HYPERLINK(CONCATENATE("#Metadata!", ADDRESS(INDEX($L$2:$L$1001,MATCH(ROWS($J$2:J972),$J$2:$J$1001,0),0), INDEX($Q$1004:$U$1004,1,MATCH(COLUMNS($Q$1006:U1006),$Q$1006:$U$1006,0)))),"Fix")))</f>
        <v xml:space="preserve"> </v>
      </c>
      <c r="J972">
        <f ca="1"/>
        <v>971</v>
      </c>
      <c r="K972">
        <v>100972</v>
      </c>
      <c r="L972">
        <v>972</v>
      </c>
      <c r="M972" t="b">
        <f t="shared" si="15"/>
        <v>1</v>
      </c>
      <c r="N972" t="b">
        <f>COUNTBLANK(Metadata!B972:F972)=COLUMNS(Metadata!B972:F972)</f>
        <v>1</v>
      </c>
      <c r="O972" t="str">
        <v/>
      </c>
      <c r="Q972" t="b">
        <f ca="1"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R972" t="b">
        <f>IF(Metadata!C972="",FALSE,TRUE)</f>
        <v>0</v>
      </c>
      <c r="S972" t="b">
        <f>OR(AND(IF(Metadata!D972="",FALSE,TRUE),EXACT(Metadata!D972,"missing: not collected")),AND(IF(Metadata!D972="",FALSE,TRUE),OR(EXACT(Metadata!D972,"t"),EXACT(Metadata!D972,"f"))))</f>
        <v>0</v>
      </c>
      <c r="T972" t="b">
        <f>AND(IF(Metadata!E972="",FALSE,TRUE),OR(EXACT(Metadata!E972,"a"),EXACT(Metadata!E972,"b")))</f>
        <v>0</v>
      </c>
      <c r="U972" t="b">
        <f>OR(AND(IF(Metadata!F972="",FALSE,TRUE),OR(EXACT(Metadata!F972,"missing: not collected"),EXACT(Metadata!F972,"missing: not provided"))),AND(IF(Metadata!F972="",FALSE,TRUE),OR(EXACT(Metadata!F972,"lo"),EXACT(Metadata!F972,"med"),EXACT(Metadata!F972,"hi"))))</f>
        <v>0</v>
      </c>
    </row>
    <row r="973" spans="1:21" x14ac:dyDescent="0.2">
      <c r="A973" s="4" t="str">
        <f ca="1">IF(B973=" "," ",HYPERLINK(CONCATENATE("#metadata!",ADDRESS(INDEX($L$2:$L$1001,MATCH(ROWS($J$2:J973),$J$2:$J$1001,0),0),1)),INDEX($O$2:$O$1001,MATCH(ROWS($J$2:J973),$J$2:$J$1001,0),0)))</f>
        <v xml:space="preserve"> </v>
      </c>
      <c r="B973" s="3" t="str">
        <f ca="1">IF(OR(INDEX($K$2:$K$1001,MATCH(ROWS($J$2:J973),$J$2:$J$1001,0),1)&gt;=100000,INDEX($Q$1005:$U$1005,1,MATCH(COLUMNS($Q$1006:Q1006),$Q$1006:$U$1006,0))&gt;=100000), " ",IF(INDEX($Q$2:$U$1001,MATCH(ROWS($J$2:J973),$J$2:$J$1001,0),MATCH(COLUMNS($Q$1006:Q1006),$Q$1006:$U$1006,0)), HYPERLINK("#",""), HYPERLINK(CONCATENATE("#Metadata!", ADDRESS(INDEX($L$2:$L$1001,MATCH(ROWS($J$2:J973),$J$2:$J$1001,0),0), INDEX($Q$1004:$U$1004,1,MATCH(COLUMNS($Q$1006:Q1006),$Q$1006:$U$1006,0)))),"Fix")))</f>
        <v xml:space="preserve"> </v>
      </c>
      <c r="C973" s="3" t="str">
        <f ca="1">IF(OR(INDEX($K$2:$K$1001,MATCH(ROWS($J$2:J973),$J$2:$J$1001,0),1)&gt;=100000,INDEX($Q$1005:$U$1005,1,MATCH(COLUMNS($Q$1006:R1006),$Q$1006:$U$1006,0))&gt;=100000), " ",IF(INDEX($Q$2:$U$1001,MATCH(ROWS($J$2:J973),$J$2:$J$1001,0),MATCH(COLUMNS($Q$1006:R1006),$Q$1006:$U$1006,0)), HYPERLINK("#",""), HYPERLINK(CONCATENATE("#Metadata!", ADDRESS(INDEX($L$2:$L$1001,MATCH(ROWS($J$2:J973),$J$2:$J$1001,0),0), INDEX($Q$1004:$U$1004,1,MATCH(COLUMNS($Q$1006:R1006),$Q$1006:$U$1006,0)))),"Fix")))</f>
        <v xml:space="preserve"> </v>
      </c>
      <c r="D973" s="3" t="str">
        <f ca="1">IF(OR(INDEX($K$2:$K$1001,MATCH(ROWS($J$2:J973),$J$2:$J$1001,0),1)&gt;=100000,INDEX($Q$1005:$U$1005,1,MATCH(COLUMNS($Q$1006:S1006),$Q$1006:$U$1006,0))&gt;=100000), " ",IF(INDEX($Q$2:$U$1001,MATCH(ROWS($J$2:J973),$J$2:$J$1001,0),MATCH(COLUMNS($Q$1006:S1006),$Q$1006:$U$1006,0)), HYPERLINK("#",""), HYPERLINK(CONCATENATE("#Metadata!", ADDRESS(INDEX($L$2:$L$1001,MATCH(ROWS($J$2:J973),$J$2:$J$1001,0),0), INDEX($Q$1004:$U$1004,1,MATCH(COLUMNS($Q$1006:S1006),$Q$1006:$U$1006,0)))),"Fix")))</f>
        <v xml:space="preserve"> </v>
      </c>
      <c r="E973" s="3" t="str">
        <f ca="1">IF(OR(INDEX($K$2:$K$1001,MATCH(ROWS($J$2:J973),$J$2:$J$1001,0),1)&gt;=100000,INDEX($Q$1005:$U$1005,1,MATCH(COLUMNS($Q$1006:T1006),$Q$1006:$U$1006,0))&gt;=100000), " ",IF(INDEX($Q$2:$U$1001,MATCH(ROWS($J$2:J973),$J$2:$J$1001,0),MATCH(COLUMNS($Q$1006:T1006),$Q$1006:$U$1006,0)), HYPERLINK("#",""), HYPERLINK(CONCATENATE("#Metadata!", ADDRESS(INDEX($L$2:$L$1001,MATCH(ROWS($J$2:J973),$J$2:$J$1001,0),0), INDEX($Q$1004:$U$1004,1,MATCH(COLUMNS($Q$1006:T1006),$Q$1006:$U$1006,0)))),"Fix")))</f>
        <v xml:space="preserve"> </v>
      </c>
      <c r="F973" s="3" t="str">
        <f ca="1">IF(OR(INDEX($K$2:$K$1001,MATCH(ROWS($J$2:J973),$J$2:$J$1001,0),1)&gt;=100000,INDEX($Q$1005:$U$1005,1,MATCH(COLUMNS($Q$1006:U1006),$Q$1006:$U$1006,0))&gt;=100000), " ",IF(INDEX($Q$2:$U$1001,MATCH(ROWS($J$2:J973),$J$2:$J$1001,0),MATCH(COLUMNS($Q$1006:U1006),$Q$1006:$U$1006,0)), HYPERLINK("#",""), HYPERLINK(CONCATENATE("#Metadata!", ADDRESS(INDEX($L$2:$L$1001,MATCH(ROWS($J$2:J973),$J$2:$J$1001,0),0), INDEX($Q$1004:$U$1004,1,MATCH(COLUMNS($Q$1006:U1006),$Q$1006:$U$1006,0)))),"Fix")))</f>
        <v xml:space="preserve"> </v>
      </c>
      <c r="J973">
        <f ca="1"/>
        <v>972</v>
      </c>
      <c r="K973">
        <v>100973</v>
      </c>
      <c r="L973">
        <v>973</v>
      </c>
      <c r="M973" t="b">
        <f t="shared" si="15"/>
        <v>1</v>
      </c>
      <c r="N973" t="b">
        <f>COUNTBLANK(Metadata!B973:F973)=COLUMNS(Metadata!B973:F973)</f>
        <v>1</v>
      </c>
      <c r="O973" t="str">
        <v/>
      </c>
      <c r="Q973" t="b">
        <f ca="1"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R973" t="b">
        <f>IF(Metadata!C973="",FALSE,TRUE)</f>
        <v>0</v>
      </c>
      <c r="S973" t="b">
        <f>OR(AND(IF(Metadata!D973="",FALSE,TRUE),EXACT(Metadata!D973,"missing: not collected")),AND(IF(Metadata!D973="",FALSE,TRUE),OR(EXACT(Metadata!D973,"t"),EXACT(Metadata!D973,"f"))))</f>
        <v>0</v>
      </c>
      <c r="T973" t="b">
        <f>AND(IF(Metadata!E973="",FALSE,TRUE),OR(EXACT(Metadata!E973,"a"),EXACT(Metadata!E973,"b")))</f>
        <v>0</v>
      </c>
      <c r="U973" t="b">
        <f>OR(AND(IF(Metadata!F973="",FALSE,TRUE),OR(EXACT(Metadata!F973,"missing: not collected"),EXACT(Metadata!F973,"missing: not provided"))),AND(IF(Metadata!F973="",FALSE,TRUE),OR(EXACT(Metadata!F973,"lo"),EXACT(Metadata!F973,"med"),EXACT(Metadata!F973,"hi"))))</f>
        <v>0</v>
      </c>
    </row>
    <row r="974" spans="1:21" x14ac:dyDescent="0.2">
      <c r="A974" s="4" t="str">
        <f ca="1">IF(B974=" "," ",HYPERLINK(CONCATENATE("#metadata!",ADDRESS(INDEX($L$2:$L$1001,MATCH(ROWS($J$2:J974),$J$2:$J$1001,0),0),1)),INDEX($O$2:$O$1001,MATCH(ROWS($J$2:J974),$J$2:$J$1001,0),0)))</f>
        <v xml:space="preserve"> </v>
      </c>
      <c r="B974" s="3" t="str">
        <f ca="1">IF(OR(INDEX($K$2:$K$1001,MATCH(ROWS($J$2:J974),$J$2:$J$1001,0),1)&gt;=100000,INDEX($Q$1005:$U$1005,1,MATCH(COLUMNS($Q$1006:Q1006),$Q$1006:$U$1006,0))&gt;=100000), " ",IF(INDEX($Q$2:$U$1001,MATCH(ROWS($J$2:J974),$J$2:$J$1001,0),MATCH(COLUMNS($Q$1006:Q1006),$Q$1006:$U$1006,0)), HYPERLINK("#",""), HYPERLINK(CONCATENATE("#Metadata!", ADDRESS(INDEX($L$2:$L$1001,MATCH(ROWS($J$2:J974),$J$2:$J$1001,0),0), INDEX($Q$1004:$U$1004,1,MATCH(COLUMNS($Q$1006:Q1006),$Q$1006:$U$1006,0)))),"Fix")))</f>
        <v xml:space="preserve"> </v>
      </c>
      <c r="C974" s="3" t="str">
        <f ca="1">IF(OR(INDEX($K$2:$K$1001,MATCH(ROWS($J$2:J974),$J$2:$J$1001,0),1)&gt;=100000,INDEX($Q$1005:$U$1005,1,MATCH(COLUMNS($Q$1006:R1006),$Q$1006:$U$1006,0))&gt;=100000), " ",IF(INDEX($Q$2:$U$1001,MATCH(ROWS($J$2:J974),$J$2:$J$1001,0),MATCH(COLUMNS($Q$1006:R1006),$Q$1006:$U$1006,0)), HYPERLINK("#",""), HYPERLINK(CONCATENATE("#Metadata!", ADDRESS(INDEX($L$2:$L$1001,MATCH(ROWS($J$2:J974),$J$2:$J$1001,0),0), INDEX($Q$1004:$U$1004,1,MATCH(COLUMNS($Q$1006:R1006),$Q$1006:$U$1006,0)))),"Fix")))</f>
        <v xml:space="preserve"> </v>
      </c>
      <c r="D974" s="3" t="str">
        <f ca="1">IF(OR(INDEX($K$2:$K$1001,MATCH(ROWS($J$2:J974),$J$2:$J$1001,0),1)&gt;=100000,INDEX($Q$1005:$U$1005,1,MATCH(COLUMNS($Q$1006:S1006),$Q$1006:$U$1006,0))&gt;=100000), " ",IF(INDEX($Q$2:$U$1001,MATCH(ROWS($J$2:J974),$J$2:$J$1001,0),MATCH(COLUMNS($Q$1006:S1006),$Q$1006:$U$1006,0)), HYPERLINK("#",""), HYPERLINK(CONCATENATE("#Metadata!", ADDRESS(INDEX($L$2:$L$1001,MATCH(ROWS($J$2:J974),$J$2:$J$1001,0),0), INDEX($Q$1004:$U$1004,1,MATCH(COLUMNS($Q$1006:S1006),$Q$1006:$U$1006,0)))),"Fix")))</f>
        <v xml:space="preserve"> </v>
      </c>
      <c r="E974" s="3" t="str">
        <f ca="1">IF(OR(INDEX($K$2:$K$1001,MATCH(ROWS($J$2:J974),$J$2:$J$1001,0),1)&gt;=100000,INDEX($Q$1005:$U$1005,1,MATCH(COLUMNS($Q$1006:T1006),$Q$1006:$U$1006,0))&gt;=100000), " ",IF(INDEX($Q$2:$U$1001,MATCH(ROWS($J$2:J974),$J$2:$J$1001,0),MATCH(COLUMNS($Q$1006:T1006),$Q$1006:$U$1006,0)), HYPERLINK("#",""), HYPERLINK(CONCATENATE("#Metadata!", ADDRESS(INDEX($L$2:$L$1001,MATCH(ROWS($J$2:J974),$J$2:$J$1001,0),0), INDEX($Q$1004:$U$1004,1,MATCH(COLUMNS($Q$1006:T1006),$Q$1006:$U$1006,0)))),"Fix")))</f>
        <v xml:space="preserve"> </v>
      </c>
      <c r="F974" s="3" t="str">
        <f ca="1">IF(OR(INDEX($K$2:$K$1001,MATCH(ROWS($J$2:J974),$J$2:$J$1001,0),1)&gt;=100000,INDEX($Q$1005:$U$1005,1,MATCH(COLUMNS($Q$1006:U1006),$Q$1006:$U$1006,0))&gt;=100000), " ",IF(INDEX($Q$2:$U$1001,MATCH(ROWS($J$2:J974),$J$2:$J$1001,0),MATCH(COLUMNS($Q$1006:U1006),$Q$1006:$U$1006,0)), HYPERLINK("#",""), HYPERLINK(CONCATENATE("#Metadata!", ADDRESS(INDEX($L$2:$L$1001,MATCH(ROWS($J$2:J974),$J$2:$J$1001,0),0), INDEX($Q$1004:$U$1004,1,MATCH(COLUMNS($Q$1006:U1006),$Q$1006:$U$1006,0)))),"Fix")))</f>
        <v xml:space="preserve"> </v>
      </c>
      <c r="J974">
        <f ca="1"/>
        <v>973</v>
      </c>
      <c r="K974">
        <v>100974</v>
      </c>
      <c r="L974">
        <v>974</v>
      </c>
      <c r="M974" t="b">
        <f t="shared" si="15"/>
        <v>1</v>
      </c>
      <c r="N974" t="b">
        <f>COUNTBLANK(Metadata!B974:F974)=COLUMNS(Metadata!B974:F974)</f>
        <v>1</v>
      </c>
      <c r="O974" t="str">
        <v/>
      </c>
      <c r="Q974" t="b">
        <f ca="1"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R974" t="b">
        <f>IF(Metadata!C974="",FALSE,TRUE)</f>
        <v>0</v>
      </c>
      <c r="S974" t="b">
        <f>OR(AND(IF(Metadata!D974="",FALSE,TRUE),EXACT(Metadata!D974,"missing: not collected")),AND(IF(Metadata!D974="",FALSE,TRUE),OR(EXACT(Metadata!D974,"t"),EXACT(Metadata!D974,"f"))))</f>
        <v>0</v>
      </c>
      <c r="T974" t="b">
        <f>AND(IF(Metadata!E974="",FALSE,TRUE),OR(EXACT(Metadata!E974,"a"),EXACT(Metadata!E974,"b")))</f>
        <v>0</v>
      </c>
      <c r="U974" t="b">
        <f>OR(AND(IF(Metadata!F974="",FALSE,TRUE),OR(EXACT(Metadata!F974,"missing: not collected"),EXACT(Metadata!F974,"missing: not provided"))),AND(IF(Metadata!F974="",FALSE,TRUE),OR(EXACT(Metadata!F974,"lo"),EXACT(Metadata!F974,"med"),EXACT(Metadata!F974,"hi"))))</f>
        <v>0</v>
      </c>
    </row>
    <row r="975" spans="1:21" x14ac:dyDescent="0.2">
      <c r="A975" s="4" t="str">
        <f ca="1">IF(B975=" "," ",HYPERLINK(CONCATENATE("#metadata!",ADDRESS(INDEX($L$2:$L$1001,MATCH(ROWS($J$2:J975),$J$2:$J$1001,0),0),1)),INDEX($O$2:$O$1001,MATCH(ROWS($J$2:J975),$J$2:$J$1001,0),0)))</f>
        <v xml:space="preserve"> </v>
      </c>
      <c r="B975" s="3" t="str">
        <f ca="1">IF(OR(INDEX($K$2:$K$1001,MATCH(ROWS($J$2:J975),$J$2:$J$1001,0),1)&gt;=100000,INDEX($Q$1005:$U$1005,1,MATCH(COLUMNS($Q$1006:Q1006),$Q$1006:$U$1006,0))&gt;=100000), " ",IF(INDEX($Q$2:$U$1001,MATCH(ROWS($J$2:J975),$J$2:$J$1001,0),MATCH(COLUMNS($Q$1006:Q1006),$Q$1006:$U$1006,0)), HYPERLINK("#",""), HYPERLINK(CONCATENATE("#Metadata!", ADDRESS(INDEX($L$2:$L$1001,MATCH(ROWS($J$2:J975),$J$2:$J$1001,0),0), INDEX($Q$1004:$U$1004,1,MATCH(COLUMNS($Q$1006:Q1006),$Q$1006:$U$1006,0)))),"Fix")))</f>
        <v xml:space="preserve"> </v>
      </c>
      <c r="C975" s="3" t="str">
        <f ca="1">IF(OR(INDEX($K$2:$K$1001,MATCH(ROWS($J$2:J975),$J$2:$J$1001,0),1)&gt;=100000,INDEX($Q$1005:$U$1005,1,MATCH(COLUMNS($Q$1006:R1006),$Q$1006:$U$1006,0))&gt;=100000), " ",IF(INDEX($Q$2:$U$1001,MATCH(ROWS($J$2:J975),$J$2:$J$1001,0),MATCH(COLUMNS($Q$1006:R1006),$Q$1006:$U$1006,0)), HYPERLINK("#",""), HYPERLINK(CONCATENATE("#Metadata!", ADDRESS(INDEX($L$2:$L$1001,MATCH(ROWS($J$2:J975),$J$2:$J$1001,0),0), INDEX($Q$1004:$U$1004,1,MATCH(COLUMNS($Q$1006:R1006),$Q$1006:$U$1006,0)))),"Fix")))</f>
        <v xml:space="preserve"> </v>
      </c>
      <c r="D975" s="3" t="str">
        <f ca="1">IF(OR(INDEX($K$2:$K$1001,MATCH(ROWS($J$2:J975),$J$2:$J$1001,0),1)&gt;=100000,INDEX($Q$1005:$U$1005,1,MATCH(COLUMNS($Q$1006:S1006),$Q$1006:$U$1006,0))&gt;=100000), " ",IF(INDEX($Q$2:$U$1001,MATCH(ROWS($J$2:J975),$J$2:$J$1001,0),MATCH(COLUMNS($Q$1006:S1006),$Q$1006:$U$1006,0)), HYPERLINK("#",""), HYPERLINK(CONCATENATE("#Metadata!", ADDRESS(INDEX($L$2:$L$1001,MATCH(ROWS($J$2:J975),$J$2:$J$1001,0),0), INDEX($Q$1004:$U$1004,1,MATCH(COLUMNS($Q$1006:S1006),$Q$1006:$U$1006,0)))),"Fix")))</f>
        <v xml:space="preserve"> </v>
      </c>
      <c r="E975" s="3" t="str">
        <f ca="1">IF(OR(INDEX($K$2:$K$1001,MATCH(ROWS($J$2:J975),$J$2:$J$1001,0),1)&gt;=100000,INDEX($Q$1005:$U$1005,1,MATCH(COLUMNS($Q$1006:T1006),$Q$1006:$U$1006,0))&gt;=100000), " ",IF(INDEX($Q$2:$U$1001,MATCH(ROWS($J$2:J975),$J$2:$J$1001,0),MATCH(COLUMNS($Q$1006:T1006),$Q$1006:$U$1006,0)), HYPERLINK("#",""), HYPERLINK(CONCATENATE("#Metadata!", ADDRESS(INDEX($L$2:$L$1001,MATCH(ROWS($J$2:J975),$J$2:$J$1001,0),0), INDEX($Q$1004:$U$1004,1,MATCH(COLUMNS($Q$1006:T1006),$Q$1006:$U$1006,0)))),"Fix")))</f>
        <v xml:space="preserve"> </v>
      </c>
      <c r="F975" s="3" t="str">
        <f ca="1">IF(OR(INDEX($K$2:$K$1001,MATCH(ROWS($J$2:J975),$J$2:$J$1001,0),1)&gt;=100000,INDEX($Q$1005:$U$1005,1,MATCH(COLUMNS($Q$1006:U1006),$Q$1006:$U$1006,0))&gt;=100000), " ",IF(INDEX($Q$2:$U$1001,MATCH(ROWS($J$2:J975),$J$2:$J$1001,0),MATCH(COLUMNS($Q$1006:U1006),$Q$1006:$U$1006,0)), HYPERLINK("#",""), HYPERLINK(CONCATENATE("#Metadata!", ADDRESS(INDEX($L$2:$L$1001,MATCH(ROWS($J$2:J975),$J$2:$J$1001,0),0), INDEX($Q$1004:$U$1004,1,MATCH(COLUMNS($Q$1006:U1006),$Q$1006:$U$1006,0)))),"Fix")))</f>
        <v xml:space="preserve"> </v>
      </c>
      <c r="J975">
        <f ca="1"/>
        <v>974</v>
      </c>
      <c r="K975">
        <v>100975</v>
      </c>
      <c r="L975">
        <v>975</v>
      </c>
      <c r="M975" t="b">
        <f t="shared" si="15"/>
        <v>1</v>
      </c>
      <c r="N975" t="b">
        <f>COUNTBLANK(Metadata!B975:F975)=COLUMNS(Metadata!B975:F975)</f>
        <v>1</v>
      </c>
      <c r="O975" t="str">
        <v/>
      </c>
      <c r="Q975" t="b">
        <f ca="1"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R975" t="b">
        <f>IF(Metadata!C975="",FALSE,TRUE)</f>
        <v>0</v>
      </c>
      <c r="S975" t="b">
        <f>OR(AND(IF(Metadata!D975="",FALSE,TRUE),EXACT(Metadata!D975,"missing: not collected")),AND(IF(Metadata!D975="",FALSE,TRUE),OR(EXACT(Metadata!D975,"t"),EXACT(Metadata!D975,"f"))))</f>
        <v>0</v>
      </c>
      <c r="T975" t="b">
        <f>AND(IF(Metadata!E975="",FALSE,TRUE),OR(EXACT(Metadata!E975,"a"),EXACT(Metadata!E975,"b")))</f>
        <v>0</v>
      </c>
      <c r="U975" t="b">
        <f>OR(AND(IF(Metadata!F975="",FALSE,TRUE),OR(EXACT(Metadata!F975,"missing: not collected"),EXACT(Metadata!F975,"missing: not provided"))),AND(IF(Metadata!F975="",FALSE,TRUE),OR(EXACT(Metadata!F975,"lo"),EXACT(Metadata!F975,"med"),EXACT(Metadata!F975,"hi"))))</f>
        <v>0</v>
      </c>
    </row>
    <row r="976" spans="1:21" x14ac:dyDescent="0.2">
      <c r="A976" s="4" t="str">
        <f ca="1">IF(B976=" "," ",HYPERLINK(CONCATENATE("#metadata!",ADDRESS(INDEX($L$2:$L$1001,MATCH(ROWS($J$2:J976),$J$2:$J$1001,0),0),1)),INDEX($O$2:$O$1001,MATCH(ROWS($J$2:J976),$J$2:$J$1001,0),0)))</f>
        <v xml:space="preserve"> </v>
      </c>
      <c r="B976" s="3" t="str">
        <f ca="1">IF(OR(INDEX($K$2:$K$1001,MATCH(ROWS($J$2:J976),$J$2:$J$1001,0),1)&gt;=100000,INDEX($Q$1005:$U$1005,1,MATCH(COLUMNS($Q$1006:Q1006),$Q$1006:$U$1006,0))&gt;=100000), " ",IF(INDEX($Q$2:$U$1001,MATCH(ROWS($J$2:J976),$J$2:$J$1001,0),MATCH(COLUMNS($Q$1006:Q1006),$Q$1006:$U$1006,0)), HYPERLINK("#",""), HYPERLINK(CONCATENATE("#Metadata!", ADDRESS(INDEX($L$2:$L$1001,MATCH(ROWS($J$2:J976),$J$2:$J$1001,0),0), INDEX($Q$1004:$U$1004,1,MATCH(COLUMNS($Q$1006:Q1006),$Q$1006:$U$1006,0)))),"Fix")))</f>
        <v xml:space="preserve"> </v>
      </c>
      <c r="C976" s="3" t="str">
        <f ca="1">IF(OR(INDEX($K$2:$K$1001,MATCH(ROWS($J$2:J976),$J$2:$J$1001,0),1)&gt;=100000,INDEX($Q$1005:$U$1005,1,MATCH(COLUMNS($Q$1006:R1006),$Q$1006:$U$1006,0))&gt;=100000), " ",IF(INDEX($Q$2:$U$1001,MATCH(ROWS($J$2:J976),$J$2:$J$1001,0),MATCH(COLUMNS($Q$1006:R1006),$Q$1006:$U$1006,0)), HYPERLINK("#",""), HYPERLINK(CONCATENATE("#Metadata!", ADDRESS(INDEX($L$2:$L$1001,MATCH(ROWS($J$2:J976),$J$2:$J$1001,0),0), INDEX($Q$1004:$U$1004,1,MATCH(COLUMNS($Q$1006:R1006),$Q$1006:$U$1006,0)))),"Fix")))</f>
        <v xml:space="preserve"> </v>
      </c>
      <c r="D976" s="3" t="str">
        <f ca="1">IF(OR(INDEX($K$2:$K$1001,MATCH(ROWS($J$2:J976),$J$2:$J$1001,0),1)&gt;=100000,INDEX($Q$1005:$U$1005,1,MATCH(COLUMNS($Q$1006:S1006),$Q$1006:$U$1006,0))&gt;=100000), " ",IF(INDEX($Q$2:$U$1001,MATCH(ROWS($J$2:J976),$J$2:$J$1001,0),MATCH(COLUMNS($Q$1006:S1006),$Q$1006:$U$1006,0)), HYPERLINK("#",""), HYPERLINK(CONCATENATE("#Metadata!", ADDRESS(INDEX($L$2:$L$1001,MATCH(ROWS($J$2:J976),$J$2:$J$1001,0),0), INDEX($Q$1004:$U$1004,1,MATCH(COLUMNS($Q$1006:S1006),$Q$1006:$U$1006,0)))),"Fix")))</f>
        <v xml:space="preserve"> </v>
      </c>
      <c r="E976" s="3" t="str">
        <f ca="1">IF(OR(INDEX($K$2:$K$1001,MATCH(ROWS($J$2:J976),$J$2:$J$1001,0),1)&gt;=100000,INDEX($Q$1005:$U$1005,1,MATCH(COLUMNS($Q$1006:T1006),$Q$1006:$U$1006,0))&gt;=100000), " ",IF(INDEX($Q$2:$U$1001,MATCH(ROWS($J$2:J976),$J$2:$J$1001,0),MATCH(COLUMNS($Q$1006:T1006),$Q$1006:$U$1006,0)), HYPERLINK("#",""), HYPERLINK(CONCATENATE("#Metadata!", ADDRESS(INDEX($L$2:$L$1001,MATCH(ROWS($J$2:J976),$J$2:$J$1001,0),0), INDEX($Q$1004:$U$1004,1,MATCH(COLUMNS($Q$1006:T1006),$Q$1006:$U$1006,0)))),"Fix")))</f>
        <v xml:space="preserve"> </v>
      </c>
      <c r="F976" s="3" t="str">
        <f ca="1">IF(OR(INDEX($K$2:$K$1001,MATCH(ROWS($J$2:J976),$J$2:$J$1001,0),1)&gt;=100000,INDEX($Q$1005:$U$1005,1,MATCH(COLUMNS($Q$1006:U1006),$Q$1006:$U$1006,0))&gt;=100000), " ",IF(INDEX($Q$2:$U$1001,MATCH(ROWS($J$2:J976),$J$2:$J$1001,0),MATCH(COLUMNS($Q$1006:U1006),$Q$1006:$U$1006,0)), HYPERLINK("#",""), HYPERLINK(CONCATENATE("#Metadata!", ADDRESS(INDEX($L$2:$L$1001,MATCH(ROWS($J$2:J976),$J$2:$J$1001,0),0), INDEX($Q$1004:$U$1004,1,MATCH(COLUMNS($Q$1006:U1006),$Q$1006:$U$1006,0)))),"Fix")))</f>
        <v xml:space="preserve"> </v>
      </c>
      <c r="J976">
        <f ca="1"/>
        <v>975</v>
      </c>
      <c r="K976">
        <v>100976</v>
      </c>
      <c r="L976">
        <v>976</v>
      </c>
      <c r="M976" t="b">
        <f t="shared" si="15"/>
        <v>1</v>
      </c>
      <c r="N976" t="b">
        <f>COUNTBLANK(Metadata!B976:F976)=COLUMNS(Metadata!B976:F976)</f>
        <v>1</v>
      </c>
      <c r="O976" t="str">
        <v/>
      </c>
      <c r="Q976" t="b">
        <f ca="1"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R976" t="b">
        <f>IF(Metadata!C976="",FALSE,TRUE)</f>
        <v>0</v>
      </c>
      <c r="S976" t="b">
        <f>OR(AND(IF(Metadata!D976="",FALSE,TRUE),EXACT(Metadata!D976,"missing: not collected")),AND(IF(Metadata!D976="",FALSE,TRUE),OR(EXACT(Metadata!D976,"t"),EXACT(Metadata!D976,"f"))))</f>
        <v>0</v>
      </c>
      <c r="T976" t="b">
        <f>AND(IF(Metadata!E976="",FALSE,TRUE),OR(EXACT(Metadata!E976,"a"),EXACT(Metadata!E976,"b")))</f>
        <v>0</v>
      </c>
      <c r="U976" t="b">
        <f>OR(AND(IF(Metadata!F976="",FALSE,TRUE),OR(EXACT(Metadata!F976,"missing: not collected"),EXACT(Metadata!F976,"missing: not provided"))),AND(IF(Metadata!F976="",FALSE,TRUE),OR(EXACT(Metadata!F976,"lo"),EXACT(Metadata!F976,"med"),EXACT(Metadata!F976,"hi"))))</f>
        <v>0</v>
      </c>
    </row>
    <row r="977" spans="1:21" x14ac:dyDescent="0.2">
      <c r="A977" s="4" t="str">
        <f ca="1">IF(B977=" "," ",HYPERLINK(CONCATENATE("#metadata!",ADDRESS(INDEX($L$2:$L$1001,MATCH(ROWS($J$2:J977),$J$2:$J$1001,0),0),1)),INDEX($O$2:$O$1001,MATCH(ROWS($J$2:J977),$J$2:$J$1001,0),0)))</f>
        <v xml:space="preserve"> </v>
      </c>
      <c r="B977" s="3" t="str">
        <f ca="1">IF(OR(INDEX($K$2:$K$1001,MATCH(ROWS($J$2:J977),$J$2:$J$1001,0),1)&gt;=100000,INDEX($Q$1005:$U$1005,1,MATCH(COLUMNS($Q$1006:Q1006),$Q$1006:$U$1006,0))&gt;=100000), " ",IF(INDEX($Q$2:$U$1001,MATCH(ROWS($J$2:J977),$J$2:$J$1001,0),MATCH(COLUMNS($Q$1006:Q1006),$Q$1006:$U$1006,0)), HYPERLINK("#",""), HYPERLINK(CONCATENATE("#Metadata!", ADDRESS(INDEX($L$2:$L$1001,MATCH(ROWS($J$2:J977),$J$2:$J$1001,0),0), INDEX($Q$1004:$U$1004,1,MATCH(COLUMNS($Q$1006:Q1006),$Q$1006:$U$1006,0)))),"Fix")))</f>
        <v xml:space="preserve"> </v>
      </c>
      <c r="C977" s="3" t="str">
        <f ca="1">IF(OR(INDEX($K$2:$K$1001,MATCH(ROWS($J$2:J977),$J$2:$J$1001,0),1)&gt;=100000,INDEX($Q$1005:$U$1005,1,MATCH(COLUMNS($Q$1006:R1006),$Q$1006:$U$1006,0))&gt;=100000), " ",IF(INDEX($Q$2:$U$1001,MATCH(ROWS($J$2:J977),$J$2:$J$1001,0),MATCH(COLUMNS($Q$1006:R1006),$Q$1006:$U$1006,0)), HYPERLINK("#",""), HYPERLINK(CONCATENATE("#Metadata!", ADDRESS(INDEX($L$2:$L$1001,MATCH(ROWS($J$2:J977),$J$2:$J$1001,0),0), INDEX($Q$1004:$U$1004,1,MATCH(COLUMNS($Q$1006:R1006),$Q$1006:$U$1006,0)))),"Fix")))</f>
        <v xml:space="preserve"> </v>
      </c>
      <c r="D977" s="3" t="str">
        <f ca="1">IF(OR(INDEX($K$2:$K$1001,MATCH(ROWS($J$2:J977),$J$2:$J$1001,0),1)&gt;=100000,INDEX($Q$1005:$U$1005,1,MATCH(COLUMNS($Q$1006:S1006),$Q$1006:$U$1006,0))&gt;=100000), " ",IF(INDEX($Q$2:$U$1001,MATCH(ROWS($J$2:J977),$J$2:$J$1001,0),MATCH(COLUMNS($Q$1006:S1006),$Q$1006:$U$1006,0)), HYPERLINK("#",""), HYPERLINK(CONCATENATE("#Metadata!", ADDRESS(INDEX($L$2:$L$1001,MATCH(ROWS($J$2:J977),$J$2:$J$1001,0),0), INDEX($Q$1004:$U$1004,1,MATCH(COLUMNS($Q$1006:S1006),$Q$1006:$U$1006,0)))),"Fix")))</f>
        <v xml:space="preserve"> </v>
      </c>
      <c r="E977" s="3" t="str">
        <f ca="1">IF(OR(INDEX($K$2:$K$1001,MATCH(ROWS($J$2:J977),$J$2:$J$1001,0),1)&gt;=100000,INDEX($Q$1005:$U$1005,1,MATCH(COLUMNS($Q$1006:T1006),$Q$1006:$U$1006,0))&gt;=100000), " ",IF(INDEX($Q$2:$U$1001,MATCH(ROWS($J$2:J977),$J$2:$J$1001,0),MATCH(COLUMNS($Q$1006:T1006),$Q$1006:$U$1006,0)), HYPERLINK("#",""), HYPERLINK(CONCATENATE("#Metadata!", ADDRESS(INDEX($L$2:$L$1001,MATCH(ROWS($J$2:J977),$J$2:$J$1001,0),0), INDEX($Q$1004:$U$1004,1,MATCH(COLUMNS($Q$1006:T1006),$Q$1006:$U$1006,0)))),"Fix")))</f>
        <v xml:space="preserve"> </v>
      </c>
      <c r="F977" s="3" t="str">
        <f ca="1">IF(OR(INDEX($K$2:$K$1001,MATCH(ROWS($J$2:J977),$J$2:$J$1001,0),1)&gt;=100000,INDEX($Q$1005:$U$1005,1,MATCH(COLUMNS($Q$1006:U1006),$Q$1006:$U$1006,0))&gt;=100000), " ",IF(INDEX($Q$2:$U$1001,MATCH(ROWS($J$2:J977),$J$2:$J$1001,0),MATCH(COLUMNS($Q$1006:U1006),$Q$1006:$U$1006,0)), HYPERLINK("#",""), HYPERLINK(CONCATENATE("#Metadata!", ADDRESS(INDEX($L$2:$L$1001,MATCH(ROWS($J$2:J977),$J$2:$J$1001,0),0), INDEX($Q$1004:$U$1004,1,MATCH(COLUMNS($Q$1006:U1006),$Q$1006:$U$1006,0)))),"Fix")))</f>
        <v xml:space="preserve"> </v>
      </c>
      <c r="J977">
        <f ca="1"/>
        <v>976</v>
      </c>
      <c r="K977">
        <v>100977</v>
      </c>
      <c r="L977">
        <v>977</v>
      </c>
      <c r="M977" t="b">
        <f t="shared" si="15"/>
        <v>1</v>
      </c>
      <c r="N977" t="b">
        <f>COUNTBLANK(Metadata!B977:F977)=COLUMNS(Metadata!B977:F977)</f>
        <v>1</v>
      </c>
      <c r="O977" t="str">
        <v/>
      </c>
      <c r="Q977" t="b">
        <f ca="1"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R977" t="b">
        <f>IF(Metadata!C977="",FALSE,TRUE)</f>
        <v>0</v>
      </c>
      <c r="S977" t="b">
        <f>OR(AND(IF(Metadata!D977="",FALSE,TRUE),EXACT(Metadata!D977,"missing: not collected")),AND(IF(Metadata!D977="",FALSE,TRUE),OR(EXACT(Metadata!D977,"t"),EXACT(Metadata!D977,"f"))))</f>
        <v>0</v>
      </c>
      <c r="T977" t="b">
        <f>AND(IF(Metadata!E977="",FALSE,TRUE),OR(EXACT(Metadata!E977,"a"),EXACT(Metadata!E977,"b")))</f>
        <v>0</v>
      </c>
      <c r="U977" t="b">
        <f>OR(AND(IF(Metadata!F977="",FALSE,TRUE),OR(EXACT(Metadata!F977,"missing: not collected"),EXACT(Metadata!F977,"missing: not provided"))),AND(IF(Metadata!F977="",FALSE,TRUE),OR(EXACT(Metadata!F977,"lo"),EXACT(Metadata!F977,"med"),EXACT(Metadata!F977,"hi"))))</f>
        <v>0</v>
      </c>
    </row>
    <row r="978" spans="1:21" x14ac:dyDescent="0.2">
      <c r="A978" s="4" t="str">
        <f ca="1">IF(B978=" "," ",HYPERLINK(CONCATENATE("#metadata!",ADDRESS(INDEX($L$2:$L$1001,MATCH(ROWS($J$2:J978),$J$2:$J$1001,0),0),1)),INDEX($O$2:$O$1001,MATCH(ROWS($J$2:J978),$J$2:$J$1001,0),0)))</f>
        <v xml:space="preserve"> </v>
      </c>
      <c r="B978" s="3" t="str">
        <f ca="1">IF(OR(INDEX($K$2:$K$1001,MATCH(ROWS($J$2:J978),$J$2:$J$1001,0),1)&gt;=100000,INDEX($Q$1005:$U$1005,1,MATCH(COLUMNS($Q$1006:Q1006),$Q$1006:$U$1006,0))&gt;=100000), " ",IF(INDEX($Q$2:$U$1001,MATCH(ROWS($J$2:J978),$J$2:$J$1001,0),MATCH(COLUMNS($Q$1006:Q1006),$Q$1006:$U$1006,0)), HYPERLINK("#",""), HYPERLINK(CONCATENATE("#Metadata!", ADDRESS(INDEX($L$2:$L$1001,MATCH(ROWS($J$2:J978),$J$2:$J$1001,0),0), INDEX($Q$1004:$U$1004,1,MATCH(COLUMNS($Q$1006:Q1006),$Q$1006:$U$1006,0)))),"Fix")))</f>
        <v xml:space="preserve"> </v>
      </c>
      <c r="C978" s="3" t="str">
        <f ca="1">IF(OR(INDEX($K$2:$K$1001,MATCH(ROWS($J$2:J978),$J$2:$J$1001,0),1)&gt;=100000,INDEX($Q$1005:$U$1005,1,MATCH(COLUMNS($Q$1006:R1006),$Q$1006:$U$1006,0))&gt;=100000), " ",IF(INDEX($Q$2:$U$1001,MATCH(ROWS($J$2:J978),$J$2:$J$1001,0),MATCH(COLUMNS($Q$1006:R1006),$Q$1006:$U$1006,0)), HYPERLINK("#",""), HYPERLINK(CONCATENATE("#Metadata!", ADDRESS(INDEX($L$2:$L$1001,MATCH(ROWS($J$2:J978),$J$2:$J$1001,0),0), INDEX($Q$1004:$U$1004,1,MATCH(COLUMNS($Q$1006:R1006),$Q$1006:$U$1006,0)))),"Fix")))</f>
        <v xml:space="preserve"> </v>
      </c>
      <c r="D978" s="3" t="str">
        <f ca="1">IF(OR(INDEX($K$2:$K$1001,MATCH(ROWS($J$2:J978),$J$2:$J$1001,0),1)&gt;=100000,INDEX($Q$1005:$U$1005,1,MATCH(COLUMNS($Q$1006:S1006),$Q$1006:$U$1006,0))&gt;=100000), " ",IF(INDEX($Q$2:$U$1001,MATCH(ROWS($J$2:J978),$J$2:$J$1001,0),MATCH(COLUMNS($Q$1006:S1006),$Q$1006:$U$1006,0)), HYPERLINK("#",""), HYPERLINK(CONCATENATE("#Metadata!", ADDRESS(INDEX($L$2:$L$1001,MATCH(ROWS($J$2:J978),$J$2:$J$1001,0),0), INDEX($Q$1004:$U$1004,1,MATCH(COLUMNS($Q$1006:S1006),$Q$1006:$U$1006,0)))),"Fix")))</f>
        <v xml:space="preserve"> </v>
      </c>
      <c r="E978" s="3" t="str">
        <f ca="1">IF(OR(INDEX($K$2:$K$1001,MATCH(ROWS($J$2:J978),$J$2:$J$1001,0),1)&gt;=100000,INDEX($Q$1005:$U$1005,1,MATCH(COLUMNS($Q$1006:T1006),$Q$1006:$U$1006,0))&gt;=100000), " ",IF(INDEX($Q$2:$U$1001,MATCH(ROWS($J$2:J978),$J$2:$J$1001,0),MATCH(COLUMNS($Q$1006:T1006),$Q$1006:$U$1006,0)), HYPERLINK("#",""), HYPERLINK(CONCATENATE("#Metadata!", ADDRESS(INDEX($L$2:$L$1001,MATCH(ROWS($J$2:J978),$J$2:$J$1001,0),0), INDEX($Q$1004:$U$1004,1,MATCH(COLUMNS($Q$1006:T1006),$Q$1006:$U$1006,0)))),"Fix")))</f>
        <v xml:space="preserve"> </v>
      </c>
      <c r="F978" s="3" t="str">
        <f ca="1">IF(OR(INDEX($K$2:$K$1001,MATCH(ROWS($J$2:J978),$J$2:$J$1001,0),1)&gt;=100000,INDEX($Q$1005:$U$1005,1,MATCH(COLUMNS($Q$1006:U1006),$Q$1006:$U$1006,0))&gt;=100000), " ",IF(INDEX($Q$2:$U$1001,MATCH(ROWS($J$2:J978),$J$2:$J$1001,0),MATCH(COLUMNS($Q$1006:U1006),$Q$1006:$U$1006,0)), HYPERLINK("#",""), HYPERLINK(CONCATENATE("#Metadata!", ADDRESS(INDEX($L$2:$L$1001,MATCH(ROWS($J$2:J978),$J$2:$J$1001,0),0), INDEX($Q$1004:$U$1004,1,MATCH(COLUMNS($Q$1006:U1006),$Q$1006:$U$1006,0)))),"Fix")))</f>
        <v xml:space="preserve"> </v>
      </c>
      <c r="J978">
        <f ca="1"/>
        <v>977</v>
      </c>
      <c r="K978">
        <v>100978</v>
      </c>
      <c r="L978">
        <v>978</v>
      </c>
      <c r="M978" t="b">
        <f t="shared" si="15"/>
        <v>1</v>
      </c>
      <c r="N978" t="b">
        <f>COUNTBLANK(Metadata!B978:F978)=COLUMNS(Metadata!B978:F978)</f>
        <v>1</v>
      </c>
      <c r="O978" t="str">
        <v/>
      </c>
      <c r="Q978" t="b">
        <f ca="1"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R978" t="b">
        <f>IF(Metadata!C978="",FALSE,TRUE)</f>
        <v>0</v>
      </c>
      <c r="S978" t="b">
        <f>OR(AND(IF(Metadata!D978="",FALSE,TRUE),EXACT(Metadata!D978,"missing: not collected")),AND(IF(Metadata!D978="",FALSE,TRUE),OR(EXACT(Metadata!D978,"t"),EXACT(Metadata!D978,"f"))))</f>
        <v>0</v>
      </c>
      <c r="T978" t="b">
        <f>AND(IF(Metadata!E978="",FALSE,TRUE),OR(EXACT(Metadata!E978,"a"),EXACT(Metadata!E978,"b")))</f>
        <v>0</v>
      </c>
      <c r="U978" t="b">
        <f>OR(AND(IF(Metadata!F978="",FALSE,TRUE),OR(EXACT(Metadata!F978,"missing: not collected"),EXACT(Metadata!F978,"missing: not provided"))),AND(IF(Metadata!F978="",FALSE,TRUE),OR(EXACT(Metadata!F978,"lo"),EXACT(Metadata!F978,"med"),EXACT(Metadata!F978,"hi"))))</f>
        <v>0</v>
      </c>
    </row>
    <row r="979" spans="1:21" x14ac:dyDescent="0.2">
      <c r="A979" s="4" t="str">
        <f ca="1">IF(B979=" "," ",HYPERLINK(CONCATENATE("#metadata!",ADDRESS(INDEX($L$2:$L$1001,MATCH(ROWS($J$2:J979),$J$2:$J$1001,0),0),1)),INDEX($O$2:$O$1001,MATCH(ROWS($J$2:J979),$J$2:$J$1001,0),0)))</f>
        <v xml:space="preserve"> </v>
      </c>
      <c r="B979" s="3" t="str">
        <f ca="1">IF(OR(INDEX($K$2:$K$1001,MATCH(ROWS($J$2:J979),$J$2:$J$1001,0),1)&gt;=100000,INDEX($Q$1005:$U$1005,1,MATCH(COLUMNS($Q$1006:Q1006),$Q$1006:$U$1006,0))&gt;=100000), " ",IF(INDEX($Q$2:$U$1001,MATCH(ROWS($J$2:J979),$J$2:$J$1001,0),MATCH(COLUMNS($Q$1006:Q1006),$Q$1006:$U$1006,0)), HYPERLINK("#",""), HYPERLINK(CONCATENATE("#Metadata!", ADDRESS(INDEX($L$2:$L$1001,MATCH(ROWS($J$2:J979),$J$2:$J$1001,0),0), INDEX($Q$1004:$U$1004,1,MATCH(COLUMNS($Q$1006:Q1006),$Q$1006:$U$1006,0)))),"Fix")))</f>
        <v xml:space="preserve"> </v>
      </c>
      <c r="C979" s="3" t="str">
        <f ca="1">IF(OR(INDEX($K$2:$K$1001,MATCH(ROWS($J$2:J979),$J$2:$J$1001,0),1)&gt;=100000,INDEX($Q$1005:$U$1005,1,MATCH(COLUMNS($Q$1006:R1006),$Q$1006:$U$1006,0))&gt;=100000), " ",IF(INDEX($Q$2:$U$1001,MATCH(ROWS($J$2:J979),$J$2:$J$1001,0),MATCH(COLUMNS($Q$1006:R1006),$Q$1006:$U$1006,0)), HYPERLINK("#",""), HYPERLINK(CONCATENATE("#Metadata!", ADDRESS(INDEX($L$2:$L$1001,MATCH(ROWS($J$2:J979),$J$2:$J$1001,0),0), INDEX($Q$1004:$U$1004,1,MATCH(COLUMNS($Q$1006:R1006),$Q$1006:$U$1006,0)))),"Fix")))</f>
        <v xml:space="preserve"> </v>
      </c>
      <c r="D979" s="3" t="str">
        <f ca="1">IF(OR(INDEX($K$2:$K$1001,MATCH(ROWS($J$2:J979),$J$2:$J$1001,0),1)&gt;=100000,INDEX($Q$1005:$U$1005,1,MATCH(COLUMNS($Q$1006:S1006),$Q$1006:$U$1006,0))&gt;=100000), " ",IF(INDEX($Q$2:$U$1001,MATCH(ROWS($J$2:J979),$J$2:$J$1001,0),MATCH(COLUMNS($Q$1006:S1006),$Q$1006:$U$1006,0)), HYPERLINK("#",""), HYPERLINK(CONCATENATE("#Metadata!", ADDRESS(INDEX($L$2:$L$1001,MATCH(ROWS($J$2:J979),$J$2:$J$1001,0),0), INDEX($Q$1004:$U$1004,1,MATCH(COLUMNS($Q$1006:S1006),$Q$1006:$U$1006,0)))),"Fix")))</f>
        <v xml:space="preserve"> </v>
      </c>
      <c r="E979" s="3" t="str">
        <f ca="1">IF(OR(INDEX($K$2:$K$1001,MATCH(ROWS($J$2:J979),$J$2:$J$1001,0),1)&gt;=100000,INDEX($Q$1005:$U$1005,1,MATCH(COLUMNS($Q$1006:T1006),$Q$1006:$U$1006,0))&gt;=100000), " ",IF(INDEX($Q$2:$U$1001,MATCH(ROWS($J$2:J979),$J$2:$J$1001,0),MATCH(COLUMNS($Q$1006:T1006),$Q$1006:$U$1006,0)), HYPERLINK("#",""), HYPERLINK(CONCATENATE("#Metadata!", ADDRESS(INDEX($L$2:$L$1001,MATCH(ROWS($J$2:J979),$J$2:$J$1001,0),0), INDEX($Q$1004:$U$1004,1,MATCH(COLUMNS($Q$1006:T1006),$Q$1006:$U$1006,0)))),"Fix")))</f>
        <v xml:space="preserve"> </v>
      </c>
      <c r="F979" s="3" t="str">
        <f ca="1">IF(OR(INDEX($K$2:$K$1001,MATCH(ROWS($J$2:J979),$J$2:$J$1001,0),1)&gt;=100000,INDEX($Q$1005:$U$1005,1,MATCH(COLUMNS($Q$1006:U1006),$Q$1006:$U$1006,0))&gt;=100000), " ",IF(INDEX($Q$2:$U$1001,MATCH(ROWS($J$2:J979),$J$2:$J$1001,0),MATCH(COLUMNS($Q$1006:U1006),$Q$1006:$U$1006,0)), HYPERLINK("#",""), HYPERLINK(CONCATENATE("#Metadata!", ADDRESS(INDEX($L$2:$L$1001,MATCH(ROWS($J$2:J979),$J$2:$J$1001,0),0), INDEX($Q$1004:$U$1004,1,MATCH(COLUMNS($Q$1006:U1006),$Q$1006:$U$1006,0)))),"Fix")))</f>
        <v xml:space="preserve"> </v>
      </c>
      <c r="J979">
        <f ca="1"/>
        <v>978</v>
      </c>
      <c r="K979">
        <v>100979</v>
      </c>
      <c r="L979">
        <v>979</v>
      </c>
      <c r="M979" t="b">
        <f t="shared" si="15"/>
        <v>1</v>
      </c>
      <c r="N979" t="b">
        <f>COUNTBLANK(Metadata!B979:F979)=COLUMNS(Metadata!B979:F979)</f>
        <v>1</v>
      </c>
      <c r="O979" t="str">
        <v/>
      </c>
      <c r="Q979" t="b">
        <f ca="1"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R979" t="b">
        <f>IF(Metadata!C979="",FALSE,TRUE)</f>
        <v>0</v>
      </c>
      <c r="S979" t="b">
        <f>OR(AND(IF(Metadata!D979="",FALSE,TRUE),EXACT(Metadata!D979,"missing: not collected")),AND(IF(Metadata!D979="",FALSE,TRUE),OR(EXACT(Metadata!D979,"t"),EXACT(Metadata!D979,"f"))))</f>
        <v>0</v>
      </c>
      <c r="T979" t="b">
        <f>AND(IF(Metadata!E979="",FALSE,TRUE),OR(EXACT(Metadata!E979,"a"),EXACT(Metadata!E979,"b")))</f>
        <v>0</v>
      </c>
      <c r="U979" t="b">
        <f>OR(AND(IF(Metadata!F979="",FALSE,TRUE),OR(EXACT(Metadata!F979,"missing: not collected"),EXACT(Metadata!F979,"missing: not provided"))),AND(IF(Metadata!F979="",FALSE,TRUE),OR(EXACT(Metadata!F979,"lo"),EXACT(Metadata!F979,"med"),EXACT(Metadata!F979,"hi"))))</f>
        <v>0</v>
      </c>
    </row>
    <row r="980" spans="1:21" x14ac:dyDescent="0.2">
      <c r="A980" s="4" t="str">
        <f ca="1">IF(B980=" "," ",HYPERLINK(CONCATENATE("#metadata!",ADDRESS(INDEX($L$2:$L$1001,MATCH(ROWS($J$2:J980),$J$2:$J$1001,0),0),1)),INDEX($O$2:$O$1001,MATCH(ROWS($J$2:J980),$J$2:$J$1001,0),0)))</f>
        <v xml:space="preserve"> </v>
      </c>
      <c r="B980" s="3" t="str">
        <f ca="1">IF(OR(INDEX($K$2:$K$1001,MATCH(ROWS($J$2:J980),$J$2:$J$1001,0),1)&gt;=100000,INDEX($Q$1005:$U$1005,1,MATCH(COLUMNS($Q$1006:Q1006),$Q$1006:$U$1006,0))&gt;=100000), " ",IF(INDEX($Q$2:$U$1001,MATCH(ROWS($J$2:J980),$J$2:$J$1001,0),MATCH(COLUMNS($Q$1006:Q1006),$Q$1006:$U$1006,0)), HYPERLINK("#",""), HYPERLINK(CONCATENATE("#Metadata!", ADDRESS(INDEX($L$2:$L$1001,MATCH(ROWS($J$2:J980),$J$2:$J$1001,0),0), INDEX($Q$1004:$U$1004,1,MATCH(COLUMNS($Q$1006:Q1006),$Q$1006:$U$1006,0)))),"Fix")))</f>
        <v xml:space="preserve"> </v>
      </c>
      <c r="C980" s="3" t="str">
        <f ca="1">IF(OR(INDEX($K$2:$K$1001,MATCH(ROWS($J$2:J980),$J$2:$J$1001,0),1)&gt;=100000,INDEX($Q$1005:$U$1005,1,MATCH(COLUMNS($Q$1006:R1006),$Q$1006:$U$1006,0))&gt;=100000), " ",IF(INDEX($Q$2:$U$1001,MATCH(ROWS($J$2:J980),$J$2:$J$1001,0),MATCH(COLUMNS($Q$1006:R1006),$Q$1006:$U$1006,0)), HYPERLINK("#",""), HYPERLINK(CONCATENATE("#Metadata!", ADDRESS(INDEX($L$2:$L$1001,MATCH(ROWS($J$2:J980),$J$2:$J$1001,0),0), INDEX($Q$1004:$U$1004,1,MATCH(COLUMNS($Q$1006:R1006),$Q$1006:$U$1006,0)))),"Fix")))</f>
        <v xml:space="preserve"> </v>
      </c>
      <c r="D980" s="3" t="str">
        <f ca="1">IF(OR(INDEX($K$2:$K$1001,MATCH(ROWS($J$2:J980),$J$2:$J$1001,0),1)&gt;=100000,INDEX($Q$1005:$U$1005,1,MATCH(COLUMNS($Q$1006:S1006),$Q$1006:$U$1006,0))&gt;=100000), " ",IF(INDEX($Q$2:$U$1001,MATCH(ROWS($J$2:J980),$J$2:$J$1001,0),MATCH(COLUMNS($Q$1006:S1006),$Q$1006:$U$1006,0)), HYPERLINK("#",""), HYPERLINK(CONCATENATE("#Metadata!", ADDRESS(INDEX($L$2:$L$1001,MATCH(ROWS($J$2:J980),$J$2:$J$1001,0),0), INDEX($Q$1004:$U$1004,1,MATCH(COLUMNS($Q$1006:S1006),$Q$1006:$U$1006,0)))),"Fix")))</f>
        <v xml:space="preserve"> </v>
      </c>
      <c r="E980" s="3" t="str">
        <f ca="1">IF(OR(INDEX($K$2:$K$1001,MATCH(ROWS($J$2:J980),$J$2:$J$1001,0),1)&gt;=100000,INDEX($Q$1005:$U$1005,1,MATCH(COLUMNS($Q$1006:T1006),$Q$1006:$U$1006,0))&gt;=100000), " ",IF(INDEX($Q$2:$U$1001,MATCH(ROWS($J$2:J980),$J$2:$J$1001,0),MATCH(COLUMNS($Q$1006:T1006),$Q$1006:$U$1006,0)), HYPERLINK("#",""), HYPERLINK(CONCATENATE("#Metadata!", ADDRESS(INDEX($L$2:$L$1001,MATCH(ROWS($J$2:J980),$J$2:$J$1001,0),0), INDEX($Q$1004:$U$1004,1,MATCH(COLUMNS($Q$1006:T1006),$Q$1006:$U$1006,0)))),"Fix")))</f>
        <v xml:space="preserve"> </v>
      </c>
      <c r="F980" s="3" t="str">
        <f ca="1">IF(OR(INDEX($K$2:$K$1001,MATCH(ROWS($J$2:J980),$J$2:$J$1001,0),1)&gt;=100000,INDEX($Q$1005:$U$1005,1,MATCH(COLUMNS($Q$1006:U1006),$Q$1006:$U$1006,0))&gt;=100000), " ",IF(INDEX($Q$2:$U$1001,MATCH(ROWS($J$2:J980),$J$2:$J$1001,0),MATCH(COLUMNS($Q$1006:U1006),$Q$1006:$U$1006,0)), HYPERLINK("#",""), HYPERLINK(CONCATENATE("#Metadata!", ADDRESS(INDEX($L$2:$L$1001,MATCH(ROWS($J$2:J980),$J$2:$J$1001,0),0), INDEX($Q$1004:$U$1004,1,MATCH(COLUMNS($Q$1006:U1006),$Q$1006:$U$1006,0)))),"Fix")))</f>
        <v xml:space="preserve"> </v>
      </c>
      <c r="J980">
        <f ca="1"/>
        <v>979</v>
      </c>
      <c r="K980">
        <v>100980</v>
      </c>
      <c r="L980">
        <v>980</v>
      </c>
      <c r="M980" t="b">
        <f t="shared" si="15"/>
        <v>1</v>
      </c>
      <c r="N980" t="b">
        <f>COUNTBLANK(Metadata!B980:F980)=COLUMNS(Metadata!B980:F980)</f>
        <v>1</v>
      </c>
      <c r="O980" t="str">
        <v/>
      </c>
      <c r="Q980" t="b">
        <f ca="1"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R980" t="b">
        <f>IF(Metadata!C980="",FALSE,TRUE)</f>
        <v>0</v>
      </c>
      <c r="S980" t="b">
        <f>OR(AND(IF(Metadata!D980="",FALSE,TRUE),EXACT(Metadata!D980,"missing: not collected")),AND(IF(Metadata!D980="",FALSE,TRUE),OR(EXACT(Metadata!D980,"t"),EXACT(Metadata!D980,"f"))))</f>
        <v>0</v>
      </c>
      <c r="T980" t="b">
        <f>AND(IF(Metadata!E980="",FALSE,TRUE),OR(EXACT(Metadata!E980,"a"),EXACT(Metadata!E980,"b")))</f>
        <v>0</v>
      </c>
      <c r="U980" t="b">
        <f>OR(AND(IF(Metadata!F980="",FALSE,TRUE),OR(EXACT(Metadata!F980,"missing: not collected"),EXACT(Metadata!F980,"missing: not provided"))),AND(IF(Metadata!F980="",FALSE,TRUE),OR(EXACT(Metadata!F980,"lo"),EXACT(Metadata!F980,"med"),EXACT(Metadata!F980,"hi"))))</f>
        <v>0</v>
      </c>
    </row>
    <row r="981" spans="1:21" x14ac:dyDescent="0.2">
      <c r="A981" s="4" t="str">
        <f ca="1">IF(B981=" "," ",HYPERLINK(CONCATENATE("#metadata!",ADDRESS(INDEX($L$2:$L$1001,MATCH(ROWS($J$2:J981),$J$2:$J$1001,0),0),1)),INDEX($O$2:$O$1001,MATCH(ROWS($J$2:J981),$J$2:$J$1001,0),0)))</f>
        <v xml:space="preserve"> </v>
      </c>
      <c r="B981" s="3" t="str">
        <f ca="1">IF(OR(INDEX($K$2:$K$1001,MATCH(ROWS($J$2:J981),$J$2:$J$1001,0),1)&gt;=100000,INDEX($Q$1005:$U$1005,1,MATCH(COLUMNS($Q$1006:Q1006),$Q$1006:$U$1006,0))&gt;=100000), " ",IF(INDEX($Q$2:$U$1001,MATCH(ROWS($J$2:J981),$J$2:$J$1001,0),MATCH(COLUMNS($Q$1006:Q1006),$Q$1006:$U$1006,0)), HYPERLINK("#",""), HYPERLINK(CONCATENATE("#Metadata!", ADDRESS(INDEX($L$2:$L$1001,MATCH(ROWS($J$2:J981),$J$2:$J$1001,0),0), INDEX($Q$1004:$U$1004,1,MATCH(COLUMNS($Q$1006:Q1006),$Q$1006:$U$1006,0)))),"Fix")))</f>
        <v xml:space="preserve"> </v>
      </c>
      <c r="C981" s="3" t="str">
        <f ca="1">IF(OR(INDEX($K$2:$K$1001,MATCH(ROWS($J$2:J981),$J$2:$J$1001,0),1)&gt;=100000,INDEX($Q$1005:$U$1005,1,MATCH(COLUMNS($Q$1006:R1006),$Q$1006:$U$1006,0))&gt;=100000), " ",IF(INDEX($Q$2:$U$1001,MATCH(ROWS($J$2:J981),$J$2:$J$1001,0),MATCH(COLUMNS($Q$1006:R1006),$Q$1006:$U$1006,0)), HYPERLINK("#",""), HYPERLINK(CONCATENATE("#Metadata!", ADDRESS(INDEX($L$2:$L$1001,MATCH(ROWS($J$2:J981),$J$2:$J$1001,0),0), INDEX($Q$1004:$U$1004,1,MATCH(COLUMNS($Q$1006:R1006),$Q$1006:$U$1006,0)))),"Fix")))</f>
        <v xml:space="preserve"> </v>
      </c>
      <c r="D981" s="3" t="str">
        <f ca="1">IF(OR(INDEX($K$2:$K$1001,MATCH(ROWS($J$2:J981),$J$2:$J$1001,0),1)&gt;=100000,INDEX($Q$1005:$U$1005,1,MATCH(COLUMNS($Q$1006:S1006),$Q$1006:$U$1006,0))&gt;=100000), " ",IF(INDEX($Q$2:$U$1001,MATCH(ROWS($J$2:J981),$J$2:$J$1001,0),MATCH(COLUMNS($Q$1006:S1006),$Q$1006:$U$1006,0)), HYPERLINK("#",""), HYPERLINK(CONCATENATE("#Metadata!", ADDRESS(INDEX($L$2:$L$1001,MATCH(ROWS($J$2:J981),$J$2:$J$1001,0),0), INDEX($Q$1004:$U$1004,1,MATCH(COLUMNS($Q$1006:S1006),$Q$1006:$U$1006,0)))),"Fix")))</f>
        <v xml:space="preserve"> </v>
      </c>
      <c r="E981" s="3" t="str">
        <f ca="1">IF(OR(INDEX($K$2:$K$1001,MATCH(ROWS($J$2:J981),$J$2:$J$1001,0),1)&gt;=100000,INDEX($Q$1005:$U$1005,1,MATCH(COLUMNS($Q$1006:T1006),$Q$1006:$U$1006,0))&gt;=100000), " ",IF(INDEX($Q$2:$U$1001,MATCH(ROWS($J$2:J981),$J$2:$J$1001,0),MATCH(COLUMNS($Q$1006:T1006),$Q$1006:$U$1006,0)), HYPERLINK("#",""), HYPERLINK(CONCATENATE("#Metadata!", ADDRESS(INDEX($L$2:$L$1001,MATCH(ROWS($J$2:J981),$J$2:$J$1001,0),0), INDEX($Q$1004:$U$1004,1,MATCH(COLUMNS($Q$1006:T1006),$Q$1006:$U$1006,0)))),"Fix")))</f>
        <v xml:space="preserve"> </v>
      </c>
      <c r="F981" s="3" t="str">
        <f ca="1">IF(OR(INDEX($K$2:$K$1001,MATCH(ROWS($J$2:J981),$J$2:$J$1001,0),1)&gt;=100000,INDEX($Q$1005:$U$1005,1,MATCH(COLUMNS($Q$1006:U1006),$Q$1006:$U$1006,0))&gt;=100000), " ",IF(INDEX($Q$2:$U$1001,MATCH(ROWS($J$2:J981),$J$2:$J$1001,0),MATCH(COLUMNS($Q$1006:U1006),$Q$1006:$U$1006,0)), HYPERLINK("#",""), HYPERLINK(CONCATENATE("#Metadata!", ADDRESS(INDEX($L$2:$L$1001,MATCH(ROWS($J$2:J981),$J$2:$J$1001,0),0), INDEX($Q$1004:$U$1004,1,MATCH(COLUMNS($Q$1006:U1006),$Q$1006:$U$1006,0)))),"Fix")))</f>
        <v xml:space="preserve"> </v>
      </c>
      <c r="J981">
        <f ca="1"/>
        <v>980</v>
      </c>
      <c r="K981">
        <v>100981</v>
      </c>
      <c r="L981">
        <v>981</v>
      </c>
      <c r="M981" t="b">
        <f t="shared" si="15"/>
        <v>1</v>
      </c>
      <c r="N981" t="b">
        <f>COUNTBLANK(Metadata!B981:F981)=COLUMNS(Metadata!B981:F981)</f>
        <v>1</v>
      </c>
      <c r="O981" t="str">
        <v/>
      </c>
      <c r="Q981" t="b">
        <f ca="1"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R981" t="b">
        <f>IF(Metadata!C981="",FALSE,TRUE)</f>
        <v>0</v>
      </c>
      <c r="S981" t="b">
        <f>OR(AND(IF(Metadata!D981="",FALSE,TRUE),EXACT(Metadata!D981,"missing: not collected")),AND(IF(Metadata!D981="",FALSE,TRUE),OR(EXACT(Metadata!D981,"t"),EXACT(Metadata!D981,"f"))))</f>
        <v>0</v>
      </c>
      <c r="T981" t="b">
        <f>AND(IF(Metadata!E981="",FALSE,TRUE),OR(EXACT(Metadata!E981,"a"),EXACT(Metadata!E981,"b")))</f>
        <v>0</v>
      </c>
      <c r="U981" t="b">
        <f>OR(AND(IF(Metadata!F981="",FALSE,TRUE),OR(EXACT(Metadata!F981,"missing: not collected"),EXACT(Metadata!F981,"missing: not provided"))),AND(IF(Metadata!F981="",FALSE,TRUE),OR(EXACT(Metadata!F981,"lo"),EXACT(Metadata!F981,"med"),EXACT(Metadata!F981,"hi"))))</f>
        <v>0</v>
      </c>
    </row>
    <row r="982" spans="1:21" x14ac:dyDescent="0.2">
      <c r="A982" s="4" t="str">
        <f ca="1">IF(B982=" "," ",HYPERLINK(CONCATENATE("#metadata!",ADDRESS(INDEX($L$2:$L$1001,MATCH(ROWS($J$2:J982),$J$2:$J$1001,0),0),1)),INDEX($O$2:$O$1001,MATCH(ROWS($J$2:J982),$J$2:$J$1001,0),0)))</f>
        <v xml:space="preserve"> </v>
      </c>
      <c r="B982" s="3" t="str">
        <f ca="1">IF(OR(INDEX($K$2:$K$1001,MATCH(ROWS($J$2:J982),$J$2:$J$1001,0),1)&gt;=100000,INDEX($Q$1005:$U$1005,1,MATCH(COLUMNS($Q$1006:Q1006),$Q$1006:$U$1006,0))&gt;=100000), " ",IF(INDEX($Q$2:$U$1001,MATCH(ROWS($J$2:J982),$J$2:$J$1001,0),MATCH(COLUMNS($Q$1006:Q1006),$Q$1006:$U$1006,0)), HYPERLINK("#",""), HYPERLINK(CONCATENATE("#Metadata!", ADDRESS(INDEX($L$2:$L$1001,MATCH(ROWS($J$2:J982),$J$2:$J$1001,0),0), INDEX($Q$1004:$U$1004,1,MATCH(COLUMNS($Q$1006:Q1006),$Q$1006:$U$1006,0)))),"Fix")))</f>
        <v xml:space="preserve"> </v>
      </c>
      <c r="C982" s="3" t="str">
        <f ca="1">IF(OR(INDEX($K$2:$K$1001,MATCH(ROWS($J$2:J982),$J$2:$J$1001,0),1)&gt;=100000,INDEX($Q$1005:$U$1005,1,MATCH(COLUMNS($Q$1006:R1006),$Q$1006:$U$1006,0))&gt;=100000), " ",IF(INDEX($Q$2:$U$1001,MATCH(ROWS($J$2:J982),$J$2:$J$1001,0),MATCH(COLUMNS($Q$1006:R1006),$Q$1006:$U$1006,0)), HYPERLINK("#",""), HYPERLINK(CONCATENATE("#Metadata!", ADDRESS(INDEX($L$2:$L$1001,MATCH(ROWS($J$2:J982),$J$2:$J$1001,0),0), INDEX($Q$1004:$U$1004,1,MATCH(COLUMNS($Q$1006:R1006),$Q$1006:$U$1006,0)))),"Fix")))</f>
        <v xml:space="preserve"> </v>
      </c>
      <c r="D982" s="3" t="str">
        <f ca="1">IF(OR(INDEX($K$2:$K$1001,MATCH(ROWS($J$2:J982),$J$2:$J$1001,0),1)&gt;=100000,INDEX($Q$1005:$U$1005,1,MATCH(COLUMNS($Q$1006:S1006),$Q$1006:$U$1006,0))&gt;=100000), " ",IF(INDEX($Q$2:$U$1001,MATCH(ROWS($J$2:J982),$J$2:$J$1001,0),MATCH(COLUMNS($Q$1006:S1006),$Q$1006:$U$1006,0)), HYPERLINK("#",""), HYPERLINK(CONCATENATE("#Metadata!", ADDRESS(INDEX($L$2:$L$1001,MATCH(ROWS($J$2:J982),$J$2:$J$1001,0),0), INDEX($Q$1004:$U$1004,1,MATCH(COLUMNS($Q$1006:S1006),$Q$1006:$U$1006,0)))),"Fix")))</f>
        <v xml:space="preserve"> </v>
      </c>
      <c r="E982" s="3" t="str">
        <f ca="1">IF(OR(INDEX($K$2:$K$1001,MATCH(ROWS($J$2:J982),$J$2:$J$1001,0),1)&gt;=100000,INDEX($Q$1005:$U$1005,1,MATCH(COLUMNS($Q$1006:T1006),$Q$1006:$U$1006,0))&gt;=100000), " ",IF(INDEX($Q$2:$U$1001,MATCH(ROWS($J$2:J982),$J$2:$J$1001,0),MATCH(COLUMNS($Q$1006:T1006),$Q$1006:$U$1006,0)), HYPERLINK("#",""), HYPERLINK(CONCATENATE("#Metadata!", ADDRESS(INDEX($L$2:$L$1001,MATCH(ROWS($J$2:J982),$J$2:$J$1001,0),0), INDEX($Q$1004:$U$1004,1,MATCH(COLUMNS($Q$1006:T1006),$Q$1006:$U$1006,0)))),"Fix")))</f>
        <v xml:space="preserve"> </v>
      </c>
      <c r="F982" s="3" t="str">
        <f ca="1">IF(OR(INDEX($K$2:$K$1001,MATCH(ROWS($J$2:J982),$J$2:$J$1001,0),1)&gt;=100000,INDEX($Q$1005:$U$1005,1,MATCH(COLUMNS($Q$1006:U1006),$Q$1006:$U$1006,0))&gt;=100000), " ",IF(INDEX($Q$2:$U$1001,MATCH(ROWS($J$2:J982),$J$2:$J$1001,0),MATCH(COLUMNS($Q$1006:U1006),$Q$1006:$U$1006,0)), HYPERLINK("#",""), HYPERLINK(CONCATENATE("#Metadata!", ADDRESS(INDEX($L$2:$L$1001,MATCH(ROWS($J$2:J982),$J$2:$J$1001,0),0), INDEX($Q$1004:$U$1004,1,MATCH(COLUMNS($Q$1006:U1006),$Q$1006:$U$1006,0)))),"Fix")))</f>
        <v xml:space="preserve"> </v>
      </c>
      <c r="J982">
        <f ca="1"/>
        <v>981</v>
      </c>
      <c r="K982">
        <v>100982</v>
      </c>
      <c r="L982">
        <v>982</v>
      </c>
      <c r="M982" t="b">
        <f t="shared" si="15"/>
        <v>1</v>
      </c>
      <c r="N982" t="b">
        <f>COUNTBLANK(Metadata!B982:F982)=COLUMNS(Metadata!B982:F982)</f>
        <v>1</v>
      </c>
      <c r="O982" t="str">
        <v/>
      </c>
      <c r="Q982" t="b">
        <f ca="1"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R982" t="b">
        <f>IF(Metadata!C982="",FALSE,TRUE)</f>
        <v>0</v>
      </c>
      <c r="S982" t="b">
        <f>OR(AND(IF(Metadata!D982="",FALSE,TRUE),EXACT(Metadata!D982,"missing: not collected")),AND(IF(Metadata!D982="",FALSE,TRUE),OR(EXACT(Metadata!D982,"t"),EXACT(Metadata!D982,"f"))))</f>
        <v>0</v>
      </c>
      <c r="T982" t="b">
        <f>AND(IF(Metadata!E982="",FALSE,TRUE),OR(EXACT(Metadata!E982,"a"),EXACT(Metadata!E982,"b")))</f>
        <v>0</v>
      </c>
      <c r="U982" t="b">
        <f>OR(AND(IF(Metadata!F982="",FALSE,TRUE),OR(EXACT(Metadata!F982,"missing: not collected"),EXACT(Metadata!F982,"missing: not provided"))),AND(IF(Metadata!F982="",FALSE,TRUE),OR(EXACT(Metadata!F982,"lo"),EXACT(Metadata!F982,"med"),EXACT(Metadata!F982,"hi"))))</f>
        <v>0</v>
      </c>
    </row>
    <row r="983" spans="1:21" x14ac:dyDescent="0.2">
      <c r="A983" s="4" t="str">
        <f ca="1">IF(B983=" "," ",HYPERLINK(CONCATENATE("#metadata!",ADDRESS(INDEX($L$2:$L$1001,MATCH(ROWS($J$2:J983),$J$2:$J$1001,0),0),1)),INDEX($O$2:$O$1001,MATCH(ROWS($J$2:J983),$J$2:$J$1001,0),0)))</f>
        <v xml:space="preserve"> </v>
      </c>
      <c r="B983" s="3" t="str">
        <f ca="1">IF(OR(INDEX($K$2:$K$1001,MATCH(ROWS($J$2:J983),$J$2:$J$1001,0),1)&gt;=100000,INDEX($Q$1005:$U$1005,1,MATCH(COLUMNS($Q$1006:Q1006),$Q$1006:$U$1006,0))&gt;=100000), " ",IF(INDEX($Q$2:$U$1001,MATCH(ROWS($J$2:J983),$J$2:$J$1001,0),MATCH(COLUMNS($Q$1006:Q1006),$Q$1006:$U$1006,0)), HYPERLINK("#",""), HYPERLINK(CONCATENATE("#Metadata!", ADDRESS(INDEX($L$2:$L$1001,MATCH(ROWS($J$2:J983),$J$2:$J$1001,0),0), INDEX($Q$1004:$U$1004,1,MATCH(COLUMNS($Q$1006:Q1006),$Q$1006:$U$1006,0)))),"Fix")))</f>
        <v xml:space="preserve"> </v>
      </c>
      <c r="C983" s="3" t="str">
        <f ca="1">IF(OR(INDEX($K$2:$K$1001,MATCH(ROWS($J$2:J983),$J$2:$J$1001,0),1)&gt;=100000,INDEX($Q$1005:$U$1005,1,MATCH(COLUMNS($Q$1006:R1006),$Q$1006:$U$1006,0))&gt;=100000), " ",IF(INDEX($Q$2:$U$1001,MATCH(ROWS($J$2:J983),$J$2:$J$1001,0),MATCH(COLUMNS($Q$1006:R1006),$Q$1006:$U$1006,0)), HYPERLINK("#",""), HYPERLINK(CONCATENATE("#Metadata!", ADDRESS(INDEX($L$2:$L$1001,MATCH(ROWS($J$2:J983),$J$2:$J$1001,0),0), INDEX($Q$1004:$U$1004,1,MATCH(COLUMNS($Q$1006:R1006),$Q$1006:$U$1006,0)))),"Fix")))</f>
        <v xml:space="preserve"> </v>
      </c>
      <c r="D983" s="3" t="str">
        <f ca="1">IF(OR(INDEX($K$2:$K$1001,MATCH(ROWS($J$2:J983),$J$2:$J$1001,0),1)&gt;=100000,INDEX($Q$1005:$U$1005,1,MATCH(COLUMNS($Q$1006:S1006),$Q$1006:$U$1006,0))&gt;=100000), " ",IF(INDEX($Q$2:$U$1001,MATCH(ROWS($J$2:J983),$J$2:$J$1001,0),MATCH(COLUMNS($Q$1006:S1006),$Q$1006:$U$1006,0)), HYPERLINK("#",""), HYPERLINK(CONCATENATE("#Metadata!", ADDRESS(INDEX($L$2:$L$1001,MATCH(ROWS($J$2:J983),$J$2:$J$1001,0),0), INDEX($Q$1004:$U$1004,1,MATCH(COLUMNS($Q$1006:S1006),$Q$1006:$U$1006,0)))),"Fix")))</f>
        <v xml:space="preserve"> </v>
      </c>
      <c r="E983" s="3" t="str">
        <f ca="1">IF(OR(INDEX($K$2:$K$1001,MATCH(ROWS($J$2:J983),$J$2:$J$1001,0),1)&gt;=100000,INDEX($Q$1005:$U$1005,1,MATCH(COLUMNS($Q$1006:T1006),$Q$1006:$U$1006,0))&gt;=100000), " ",IF(INDEX($Q$2:$U$1001,MATCH(ROWS($J$2:J983),$J$2:$J$1001,0),MATCH(COLUMNS($Q$1006:T1006),$Q$1006:$U$1006,0)), HYPERLINK("#",""), HYPERLINK(CONCATENATE("#Metadata!", ADDRESS(INDEX($L$2:$L$1001,MATCH(ROWS($J$2:J983),$J$2:$J$1001,0),0), INDEX($Q$1004:$U$1004,1,MATCH(COLUMNS($Q$1006:T1006),$Q$1006:$U$1006,0)))),"Fix")))</f>
        <v xml:space="preserve"> </v>
      </c>
      <c r="F983" s="3" t="str">
        <f ca="1">IF(OR(INDEX($K$2:$K$1001,MATCH(ROWS($J$2:J983),$J$2:$J$1001,0),1)&gt;=100000,INDEX($Q$1005:$U$1005,1,MATCH(COLUMNS($Q$1006:U1006),$Q$1006:$U$1006,0))&gt;=100000), " ",IF(INDEX($Q$2:$U$1001,MATCH(ROWS($J$2:J983),$J$2:$J$1001,0),MATCH(COLUMNS($Q$1006:U1006),$Q$1006:$U$1006,0)), HYPERLINK("#",""), HYPERLINK(CONCATENATE("#Metadata!", ADDRESS(INDEX($L$2:$L$1001,MATCH(ROWS($J$2:J983),$J$2:$J$1001,0),0), INDEX($Q$1004:$U$1004,1,MATCH(COLUMNS($Q$1006:U1006),$Q$1006:$U$1006,0)))),"Fix")))</f>
        <v xml:space="preserve"> </v>
      </c>
      <c r="J983">
        <f ca="1"/>
        <v>982</v>
      </c>
      <c r="K983">
        <v>100983</v>
      </c>
      <c r="L983">
        <v>983</v>
      </c>
      <c r="M983" t="b">
        <f t="shared" si="15"/>
        <v>1</v>
      </c>
      <c r="N983" t="b">
        <f>COUNTBLANK(Metadata!B983:F983)=COLUMNS(Metadata!B983:F983)</f>
        <v>1</v>
      </c>
      <c r="O983" t="str">
        <v/>
      </c>
      <c r="Q983" t="b">
        <f ca="1"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R983" t="b">
        <f>IF(Metadata!C983="",FALSE,TRUE)</f>
        <v>0</v>
      </c>
      <c r="S983" t="b">
        <f>OR(AND(IF(Metadata!D983="",FALSE,TRUE),EXACT(Metadata!D983,"missing: not collected")),AND(IF(Metadata!D983="",FALSE,TRUE),OR(EXACT(Metadata!D983,"t"),EXACT(Metadata!D983,"f"))))</f>
        <v>0</v>
      </c>
      <c r="T983" t="b">
        <f>AND(IF(Metadata!E983="",FALSE,TRUE),OR(EXACT(Metadata!E983,"a"),EXACT(Metadata!E983,"b")))</f>
        <v>0</v>
      </c>
      <c r="U983" t="b">
        <f>OR(AND(IF(Metadata!F983="",FALSE,TRUE),OR(EXACT(Metadata!F983,"missing: not collected"),EXACT(Metadata!F983,"missing: not provided"))),AND(IF(Metadata!F983="",FALSE,TRUE),OR(EXACT(Metadata!F983,"lo"),EXACT(Metadata!F983,"med"),EXACT(Metadata!F983,"hi"))))</f>
        <v>0</v>
      </c>
    </row>
    <row r="984" spans="1:21" x14ac:dyDescent="0.2">
      <c r="A984" s="4" t="str">
        <f ca="1">IF(B984=" "," ",HYPERLINK(CONCATENATE("#metadata!",ADDRESS(INDEX($L$2:$L$1001,MATCH(ROWS($J$2:J984),$J$2:$J$1001,0),0),1)),INDEX($O$2:$O$1001,MATCH(ROWS($J$2:J984),$J$2:$J$1001,0),0)))</f>
        <v xml:space="preserve"> </v>
      </c>
      <c r="B984" s="3" t="str">
        <f ca="1">IF(OR(INDEX($K$2:$K$1001,MATCH(ROWS($J$2:J984),$J$2:$J$1001,0),1)&gt;=100000,INDEX($Q$1005:$U$1005,1,MATCH(COLUMNS($Q$1006:Q1006),$Q$1006:$U$1006,0))&gt;=100000), " ",IF(INDEX($Q$2:$U$1001,MATCH(ROWS($J$2:J984),$J$2:$J$1001,0),MATCH(COLUMNS($Q$1006:Q1006),$Q$1006:$U$1006,0)), HYPERLINK("#",""), HYPERLINK(CONCATENATE("#Metadata!", ADDRESS(INDEX($L$2:$L$1001,MATCH(ROWS($J$2:J984),$J$2:$J$1001,0),0), INDEX($Q$1004:$U$1004,1,MATCH(COLUMNS($Q$1006:Q1006),$Q$1006:$U$1006,0)))),"Fix")))</f>
        <v xml:space="preserve"> </v>
      </c>
      <c r="C984" s="3" t="str">
        <f ca="1">IF(OR(INDEX($K$2:$K$1001,MATCH(ROWS($J$2:J984),$J$2:$J$1001,0),1)&gt;=100000,INDEX($Q$1005:$U$1005,1,MATCH(COLUMNS($Q$1006:R1006),$Q$1006:$U$1006,0))&gt;=100000), " ",IF(INDEX($Q$2:$U$1001,MATCH(ROWS($J$2:J984),$J$2:$J$1001,0),MATCH(COLUMNS($Q$1006:R1006),$Q$1006:$U$1006,0)), HYPERLINK("#",""), HYPERLINK(CONCATENATE("#Metadata!", ADDRESS(INDEX($L$2:$L$1001,MATCH(ROWS($J$2:J984),$J$2:$J$1001,0),0), INDEX($Q$1004:$U$1004,1,MATCH(COLUMNS($Q$1006:R1006),$Q$1006:$U$1006,0)))),"Fix")))</f>
        <v xml:space="preserve"> </v>
      </c>
      <c r="D984" s="3" t="str">
        <f ca="1">IF(OR(INDEX($K$2:$K$1001,MATCH(ROWS($J$2:J984),$J$2:$J$1001,0),1)&gt;=100000,INDEX($Q$1005:$U$1005,1,MATCH(COLUMNS($Q$1006:S1006),$Q$1006:$U$1006,0))&gt;=100000), " ",IF(INDEX($Q$2:$U$1001,MATCH(ROWS($J$2:J984),$J$2:$J$1001,0),MATCH(COLUMNS($Q$1006:S1006),$Q$1006:$U$1006,0)), HYPERLINK("#",""), HYPERLINK(CONCATENATE("#Metadata!", ADDRESS(INDEX($L$2:$L$1001,MATCH(ROWS($J$2:J984),$J$2:$J$1001,0),0), INDEX($Q$1004:$U$1004,1,MATCH(COLUMNS($Q$1006:S1006),$Q$1006:$U$1006,0)))),"Fix")))</f>
        <v xml:space="preserve"> </v>
      </c>
      <c r="E984" s="3" t="str">
        <f ca="1">IF(OR(INDEX($K$2:$K$1001,MATCH(ROWS($J$2:J984),$J$2:$J$1001,0),1)&gt;=100000,INDEX($Q$1005:$U$1005,1,MATCH(COLUMNS($Q$1006:T1006),$Q$1006:$U$1006,0))&gt;=100000), " ",IF(INDEX($Q$2:$U$1001,MATCH(ROWS($J$2:J984),$J$2:$J$1001,0),MATCH(COLUMNS($Q$1006:T1006),$Q$1006:$U$1006,0)), HYPERLINK("#",""), HYPERLINK(CONCATENATE("#Metadata!", ADDRESS(INDEX($L$2:$L$1001,MATCH(ROWS($J$2:J984),$J$2:$J$1001,0),0), INDEX($Q$1004:$U$1004,1,MATCH(COLUMNS($Q$1006:T1006),$Q$1006:$U$1006,0)))),"Fix")))</f>
        <v xml:space="preserve"> </v>
      </c>
      <c r="F984" s="3" t="str">
        <f ca="1">IF(OR(INDEX($K$2:$K$1001,MATCH(ROWS($J$2:J984),$J$2:$J$1001,0),1)&gt;=100000,INDEX($Q$1005:$U$1005,1,MATCH(COLUMNS($Q$1006:U1006),$Q$1006:$U$1006,0))&gt;=100000), " ",IF(INDEX($Q$2:$U$1001,MATCH(ROWS($J$2:J984),$J$2:$J$1001,0),MATCH(COLUMNS($Q$1006:U1006),$Q$1006:$U$1006,0)), HYPERLINK("#",""), HYPERLINK(CONCATENATE("#Metadata!", ADDRESS(INDEX($L$2:$L$1001,MATCH(ROWS($J$2:J984),$J$2:$J$1001,0),0), INDEX($Q$1004:$U$1004,1,MATCH(COLUMNS($Q$1006:U1006),$Q$1006:$U$1006,0)))),"Fix")))</f>
        <v xml:space="preserve"> </v>
      </c>
      <c r="J984">
        <f ca="1"/>
        <v>983</v>
      </c>
      <c r="K984">
        <v>100984</v>
      </c>
      <c r="L984">
        <v>984</v>
      </c>
      <c r="M984" t="b">
        <f t="shared" si="15"/>
        <v>1</v>
      </c>
      <c r="N984" t="b">
        <f>COUNTBLANK(Metadata!B984:F984)=COLUMNS(Metadata!B984:F984)</f>
        <v>1</v>
      </c>
      <c r="O984" t="str">
        <v/>
      </c>
      <c r="Q984" t="b">
        <f ca="1"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R984" t="b">
        <f>IF(Metadata!C984="",FALSE,TRUE)</f>
        <v>0</v>
      </c>
      <c r="S984" t="b">
        <f>OR(AND(IF(Metadata!D984="",FALSE,TRUE),EXACT(Metadata!D984,"missing: not collected")),AND(IF(Metadata!D984="",FALSE,TRUE),OR(EXACT(Metadata!D984,"t"),EXACT(Metadata!D984,"f"))))</f>
        <v>0</v>
      </c>
      <c r="T984" t="b">
        <f>AND(IF(Metadata!E984="",FALSE,TRUE),OR(EXACT(Metadata!E984,"a"),EXACT(Metadata!E984,"b")))</f>
        <v>0</v>
      </c>
      <c r="U984" t="b">
        <f>OR(AND(IF(Metadata!F984="",FALSE,TRUE),OR(EXACT(Metadata!F984,"missing: not collected"),EXACT(Metadata!F984,"missing: not provided"))),AND(IF(Metadata!F984="",FALSE,TRUE),OR(EXACT(Metadata!F984,"lo"),EXACT(Metadata!F984,"med"),EXACT(Metadata!F984,"hi"))))</f>
        <v>0</v>
      </c>
    </row>
    <row r="985" spans="1:21" x14ac:dyDescent="0.2">
      <c r="A985" s="4" t="str">
        <f ca="1">IF(B985=" "," ",HYPERLINK(CONCATENATE("#metadata!",ADDRESS(INDEX($L$2:$L$1001,MATCH(ROWS($J$2:J985),$J$2:$J$1001,0),0),1)),INDEX($O$2:$O$1001,MATCH(ROWS($J$2:J985),$J$2:$J$1001,0),0)))</f>
        <v xml:space="preserve"> </v>
      </c>
      <c r="B985" s="3" t="str">
        <f ca="1">IF(OR(INDEX($K$2:$K$1001,MATCH(ROWS($J$2:J985),$J$2:$J$1001,0),1)&gt;=100000,INDEX($Q$1005:$U$1005,1,MATCH(COLUMNS($Q$1006:Q1006),$Q$1006:$U$1006,0))&gt;=100000), " ",IF(INDEX($Q$2:$U$1001,MATCH(ROWS($J$2:J985),$J$2:$J$1001,0),MATCH(COLUMNS($Q$1006:Q1006),$Q$1006:$U$1006,0)), HYPERLINK("#",""), HYPERLINK(CONCATENATE("#Metadata!", ADDRESS(INDEX($L$2:$L$1001,MATCH(ROWS($J$2:J985),$J$2:$J$1001,0),0), INDEX($Q$1004:$U$1004,1,MATCH(COLUMNS($Q$1006:Q1006),$Q$1006:$U$1006,0)))),"Fix")))</f>
        <v xml:space="preserve"> </v>
      </c>
      <c r="C985" s="3" t="str">
        <f ca="1">IF(OR(INDEX($K$2:$K$1001,MATCH(ROWS($J$2:J985),$J$2:$J$1001,0),1)&gt;=100000,INDEX($Q$1005:$U$1005,1,MATCH(COLUMNS($Q$1006:R1006),$Q$1006:$U$1006,0))&gt;=100000), " ",IF(INDEX($Q$2:$U$1001,MATCH(ROWS($J$2:J985),$J$2:$J$1001,0),MATCH(COLUMNS($Q$1006:R1006),$Q$1006:$U$1006,0)), HYPERLINK("#",""), HYPERLINK(CONCATENATE("#Metadata!", ADDRESS(INDEX($L$2:$L$1001,MATCH(ROWS($J$2:J985),$J$2:$J$1001,0),0), INDEX($Q$1004:$U$1004,1,MATCH(COLUMNS($Q$1006:R1006),$Q$1006:$U$1006,0)))),"Fix")))</f>
        <v xml:space="preserve"> </v>
      </c>
      <c r="D985" s="3" t="str">
        <f ca="1">IF(OR(INDEX($K$2:$K$1001,MATCH(ROWS($J$2:J985),$J$2:$J$1001,0),1)&gt;=100000,INDEX($Q$1005:$U$1005,1,MATCH(COLUMNS($Q$1006:S1006),$Q$1006:$U$1006,0))&gt;=100000), " ",IF(INDEX($Q$2:$U$1001,MATCH(ROWS($J$2:J985),$J$2:$J$1001,0),MATCH(COLUMNS($Q$1006:S1006),$Q$1006:$U$1006,0)), HYPERLINK("#",""), HYPERLINK(CONCATENATE("#Metadata!", ADDRESS(INDEX($L$2:$L$1001,MATCH(ROWS($J$2:J985),$J$2:$J$1001,0),0), INDEX($Q$1004:$U$1004,1,MATCH(COLUMNS($Q$1006:S1006),$Q$1006:$U$1006,0)))),"Fix")))</f>
        <v xml:space="preserve"> </v>
      </c>
      <c r="E985" s="3" t="str">
        <f ca="1">IF(OR(INDEX($K$2:$K$1001,MATCH(ROWS($J$2:J985),$J$2:$J$1001,0),1)&gt;=100000,INDEX($Q$1005:$U$1005,1,MATCH(COLUMNS($Q$1006:T1006),$Q$1006:$U$1006,0))&gt;=100000), " ",IF(INDEX($Q$2:$U$1001,MATCH(ROWS($J$2:J985),$J$2:$J$1001,0),MATCH(COLUMNS($Q$1006:T1006),$Q$1006:$U$1006,0)), HYPERLINK("#",""), HYPERLINK(CONCATENATE("#Metadata!", ADDRESS(INDEX($L$2:$L$1001,MATCH(ROWS($J$2:J985),$J$2:$J$1001,0),0), INDEX($Q$1004:$U$1004,1,MATCH(COLUMNS($Q$1006:T1006),$Q$1006:$U$1006,0)))),"Fix")))</f>
        <v xml:space="preserve"> </v>
      </c>
      <c r="F985" s="3" t="str">
        <f ca="1">IF(OR(INDEX($K$2:$K$1001,MATCH(ROWS($J$2:J985),$J$2:$J$1001,0),1)&gt;=100000,INDEX($Q$1005:$U$1005,1,MATCH(COLUMNS($Q$1006:U1006),$Q$1006:$U$1006,0))&gt;=100000), " ",IF(INDEX($Q$2:$U$1001,MATCH(ROWS($J$2:J985),$J$2:$J$1001,0),MATCH(COLUMNS($Q$1006:U1006),$Q$1006:$U$1006,0)), HYPERLINK("#",""), HYPERLINK(CONCATENATE("#Metadata!", ADDRESS(INDEX($L$2:$L$1001,MATCH(ROWS($J$2:J985),$J$2:$J$1001,0),0), INDEX($Q$1004:$U$1004,1,MATCH(COLUMNS($Q$1006:U1006),$Q$1006:$U$1006,0)))),"Fix")))</f>
        <v xml:space="preserve"> </v>
      </c>
      <c r="J985">
        <f ca="1"/>
        <v>984</v>
      </c>
      <c r="K985">
        <v>100985</v>
      </c>
      <c r="L985">
        <v>985</v>
      </c>
      <c r="M985" t="b">
        <f t="shared" si="15"/>
        <v>1</v>
      </c>
      <c r="N985" t="b">
        <f>COUNTBLANK(Metadata!B985:F985)=COLUMNS(Metadata!B985:F985)</f>
        <v>1</v>
      </c>
      <c r="O985" t="str">
        <v/>
      </c>
      <c r="Q985" t="b">
        <f ca="1"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R985" t="b">
        <f>IF(Metadata!C985="",FALSE,TRUE)</f>
        <v>0</v>
      </c>
      <c r="S985" t="b">
        <f>OR(AND(IF(Metadata!D985="",FALSE,TRUE),EXACT(Metadata!D985,"missing: not collected")),AND(IF(Metadata!D985="",FALSE,TRUE),OR(EXACT(Metadata!D985,"t"),EXACT(Metadata!D985,"f"))))</f>
        <v>0</v>
      </c>
      <c r="T985" t="b">
        <f>AND(IF(Metadata!E985="",FALSE,TRUE),OR(EXACT(Metadata!E985,"a"),EXACT(Metadata!E985,"b")))</f>
        <v>0</v>
      </c>
      <c r="U985" t="b">
        <f>OR(AND(IF(Metadata!F985="",FALSE,TRUE),OR(EXACT(Metadata!F985,"missing: not collected"),EXACT(Metadata!F985,"missing: not provided"))),AND(IF(Metadata!F985="",FALSE,TRUE),OR(EXACT(Metadata!F985,"lo"),EXACT(Metadata!F985,"med"),EXACT(Metadata!F985,"hi"))))</f>
        <v>0</v>
      </c>
    </row>
    <row r="986" spans="1:21" x14ac:dyDescent="0.2">
      <c r="A986" s="4" t="str">
        <f ca="1">IF(B986=" "," ",HYPERLINK(CONCATENATE("#metadata!",ADDRESS(INDEX($L$2:$L$1001,MATCH(ROWS($J$2:J986),$J$2:$J$1001,0),0),1)),INDEX($O$2:$O$1001,MATCH(ROWS($J$2:J986),$J$2:$J$1001,0),0)))</f>
        <v xml:space="preserve"> </v>
      </c>
      <c r="B986" s="3" t="str">
        <f ca="1">IF(OR(INDEX($K$2:$K$1001,MATCH(ROWS($J$2:J986),$J$2:$J$1001,0),1)&gt;=100000,INDEX($Q$1005:$U$1005,1,MATCH(COLUMNS($Q$1006:Q1006),$Q$1006:$U$1006,0))&gt;=100000), " ",IF(INDEX($Q$2:$U$1001,MATCH(ROWS($J$2:J986),$J$2:$J$1001,0),MATCH(COLUMNS($Q$1006:Q1006),$Q$1006:$U$1006,0)), HYPERLINK("#",""), HYPERLINK(CONCATENATE("#Metadata!", ADDRESS(INDEX($L$2:$L$1001,MATCH(ROWS($J$2:J986),$J$2:$J$1001,0),0), INDEX($Q$1004:$U$1004,1,MATCH(COLUMNS($Q$1006:Q1006),$Q$1006:$U$1006,0)))),"Fix")))</f>
        <v xml:space="preserve"> </v>
      </c>
      <c r="C986" s="3" t="str">
        <f ca="1">IF(OR(INDEX($K$2:$K$1001,MATCH(ROWS($J$2:J986),$J$2:$J$1001,0),1)&gt;=100000,INDEX($Q$1005:$U$1005,1,MATCH(COLUMNS($Q$1006:R1006),$Q$1006:$U$1006,0))&gt;=100000), " ",IF(INDEX($Q$2:$U$1001,MATCH(ROWS($J$2:J986),$J$2:$J$1001,0),MATCH(COLUMNS($Q$1006:R1006),$Q$1006:$U$1006,0)), HYPERLINK("#",""), HYPERLINK(CONCATENATE("#Metadata!", ADDRESS(INDEX($L$2:$L$1001,MATCH(ROWS($J$2:J986),$J$2:$J$1001,0),0), INDEX($Q$1004:$U$1004,1,MATCH(COLUMNS($Q$1006:R1006),$Q$1006:$U$1006,0)))),"Fix")))</f>
        <v xml:space="preserve"> </v>
      </c>
      <c r="D986" s="3" t="str">
        <f ca="1">IF(OR(INDEX($K$2:$K$1001,MATCH(ROWS($J$2:J986),$J$2:$J$1001,0),1)&gt;=100000,INDEX($Q$1005:$U$1005,1,MATCH(COLUMNS($Q$1006:S1006),$Q$1006:$U$1006,0))&gt;=100000), " ",IF(INDEX($Q$2:$U$1001,MATCH(ROWS($J$2:J986),$J$2:$J$1001,0),MATCH(COLUMNS($Q$1006:S1006),$Q$1006:$U$1006,0)), HYPERLINK("#",""), HYPERLINK(CONCATENATE("#Metadata!", ADDRESS(INDEX($L$2:$L$1001,MATCH(ROWS($J$2:J986),$J$2:$J$1001,0),0), INDEX($Q$1004:$U$1004,1,MATCH(COLUMNS($Q$1006:S1006),$Q$1006:$U$1006,0)))),"Fix")))</f>
        <v xml:space="preserve"> </v>
      </c>
      <c r="E986" s="3" t="str">
        <f ca="1">IF(OR(INDEX($K$2:$K$1001,MATCH(ROWS($J$2:J986),$J$2:$J$1001,0),1)&gt;=100000,INDEX($Q$1005:$U$1005,1,MATCH(COLUMNS($Q$1006:T1006),$Q$1006:$U$1006,0))&gt;=100000), " ",IF(INDEX($Q$2:$U$1001,MATCH(ROWS($J$2:J986),$J$2:$J$1001,0),MATCH(COLUMNS($Q$1006:T1006),$Q$1006:$U$1006,0)), HYPERLINK("#",""), HYPERLINK(CONCATENATE("#Metadata!", ADDRESS(INDEX($L$2:$L$1001,MATCH(ROWS($J$2:J986),$J$2:$J$1001,0),0), INDEX($Q$1004:$U$1004,1,MATCH(COLUMNS($Q$1006:T1006),$Q$1006:$U$1006,0)))),"Fix")))</f>
        <v xml:space="preserve"> </v>
      </c>
      <c r="F986" s="3" t="str">
        <f ca="1">IF(OR(INDEX($K$2:$K$1001,MATCH(ROWS($J$2:J986),$J$2:$J$1001,0),1)&gt;=100000,INDEX($Q$1005:$U$1005,1,MATCH(COLUMNS($Q$1006:U1006),$Q$1006:$U$1006,0))&gt;=100000), " ",IF(INDEX($Q$2:$U$1001,MATCH(ROWS($J$2:J986),$J$2:$J$1001,0),MATCH(COLUMNS($Q$1006:U1006),$Q$1006:$U$1006,0)), HYPERLINK("#",""), HYPERLINK(CONCATENATE("#Metadata!", ADDRESS(INDEX($L$2:$L$1001,MATCH(ROWS($J$2:J986),$J$2:$J$1001,0),0), INDEX($Q$1004:$U$1004,1,MATCH(COLUMNS($Q$1006:U1006),$Q$1006:$U$1006,0)))),"Fix")))</f>
        <v xml:space="preserve"> </v>
      </c>
      <c r="J986">
        <f ca="1"/>
        <v>985</v>
      </c>
      <c r="K986">
        <v>100986</v>
      </c>
      <c r="L986">
        <v>986</v>
      </c>
      <c r="M986" t="b">
        <f t="shared" si="15"/>
        <v>1</v>
      </c>
      <c r="N986" t="b">
        <f>COUNTBLANK(Metadata!B986:F986)=COLUMNS(Metadata!B986:F986)</f>
        <v>1</v>
      </c>
      <c r="O986" t="str">
        <v/>
      </c>
      <c r="Q986" t="b">
        <f ca="1"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R986" t="b">
        <f>IF(Metadata!C986="",FALSE,TRUE)</f>
        <v>0</v>
      </c>
      <c r="S986" t="b">
        <f>OR(AND(IF(Metadata!D986="",FALSE,TRUE),EXACT(Metadata!D986,"missing: not collected")),AND(IF(Metadata!D986="",FALSE,TRUE),OR(EXACT(Metadata!D986,"t"),EXACT(Metadata!D986,"f"))))</f>
        <v>0</v>
      </c>
      <c r="T986" t="b">
        <f>AND(IF(Metadata!E986="",FALSE,TRUE),OR(EXACT(Metadata!E986,"a"),EXACT(Metadata!E986,"b")))</f>
        <v>0</v>
      </c>
      <c r="U986" t="b">
        <f>OR(AND(IF(Metadata!F986="",FALSE,TRUE),OR(EXACT(Metadata!F986,"missing: not collected"),EXACT(Metadata!F986,"missing: not provided"))),AND(IF(Metadata!F986="",FALSE,TRUE),OR(EXACT(Metadata!F986,"lo"),EXACT(Metadata!F986,"med"),EXACT(Metadata!F986,"hi"))))</f>
        <v>0</v>
      </c>
    </row>
    <row r="987" spans="1:21" x14ac:dyDescent="0.2">
      <c r="A987" s="4" t="str">
        <f ca="1">IF(B987=" "," ",HYPERLINK(CONCATENATE("#metadata!",ADDRESS(INDEX($L$2:$L$1001,MATCH(ROWS($J$2:J987),$J$2:$J$1001,0),0),1)),INDEX($O$2:$O$1001,MATCH(ROWS($J$2:J987),$J$2:$J$1001,0),0)))</f>
        <v xml:space="preserve"> </v>
      </c>
      <c r="B987" s="3" t="str">
        <f ca="1">IF(OR(INDEX($K$2:$K$1001,MATCH(ROWS($J$2:J987),$J$2:$J$1001,0),1)&gt;=100000,INDEX($Q$1005:$U$1005,1,MATCH(COLUMNS($Q$1006:Q1006),$Q$1006:$U$1006,0))&gt;=100000), " ",IF(INDEX($Q$2:$U$1001,MATCH(ROWS($J$2:J987),$J$2:$J$1001,0),MATCH(COLUMNS($Q$1006:Q1006),$Q$1006:$U$1006,0)), HYPERLINK("#",""), HYPERLINK(CONCATENATE("#Metadata!", ADDRESS(INDEX($L$2:$L$1001,MATCH(ROWS($J$2:J987),$J$2:$J$1001,0),0), INDEX($Q$1004:$U$1004,1,MATCH(COLUMNS($Q$1006:Q1006),$Q$1006:$U$1006,0)))),"Fix")))</f>
        <v xml:space="preserve"> </v>
      </c>
      <c r="C987" s="3" t="str">
        <f ca="1">IF(OR(INDEX($K$2:$K$1001,MATCH(ROWS($J$2:J987),$J$2:$J$1001,0),1)&gt;=100000,INDEX($Q$1005:$U$1005,1,MATCH(COLUMNS($Q$1006:R1006),$Q$1006:$U$1006,0))&gt;=100000), " ",IF(INDEX($Q$2:$U$1001,MATCH(ROWS($J$2:J987),$J$2:$J$1001,0),MATCH(COLUMNS($Q$1006:R1006),$Q$1006:$U$1006,0)), HYPERLINK("#",""), HYPERLINK(CONCATENATE("#Metadata!", ADDRESS(INDEX($L$2:$L$1001,MATCH(ROWS($J$2:J987),$J$2:$J$1001,0),0), INDEX($Q$1004:$U$1004,1,MATCH(COLUMNS($Q$1006:R1006),$Q$1006:$U$1006,0)))),"Fix")))</f>
        <v xml:space="preserve"> </v>
      </c>
      <c r="D987" s="3" t="str">
        <f ca="1">IF(OR(INDEX($K$2:$K$1001,MATCH(ROWS($J$2:J987),$J$2:$J$1001,0),1)&gt;=100000,INDEX($Q$1005:$U$1005,1,MATCH(COLUMNS($Q$1006:S1006),$Q$1006:$U$1006,0))&gt;=100000), " ",IF(INDEX($Q$2:$U$1001,MATCH(ROWS($J$2:J987),$J$2:$J$1001,0),MATCH(COLUMNS($Q$1006:S1006),$Q$1006:$U$1006,0)), HYPERLINK("#",""), HYPERLINK(CONCATENATE("#Metadata!", ADDRESS(INDEX($L$2:$L$1001,MATCH(ROWS($J$2:J987),$J$2:$J$1001,0),0), INDEX($Q$1004:$U$1004,1,MATCH(COLUMNS($Q$1006:S1006),$Q$1006:$U$1006,0)))),"Fix")))</f>
        <v xml:space="preserve"> </v>
      </c>
      <c r="E987" s="3" t="str">
        <f ca="1">IF(OR(INDEX($K$2:$K$1001,MATCH(ROWS($J$2:J987),$J$2:$J$1001,0),1)&gt;=100000,INDEX($Q$1005:$U$1005,1,MATCH(COLUMNS($Q$1006:T1006),$Q$1006:$U$1006,0))&gt;=100000), " ",IF(INDEX($Q$2:$U$1001,MATCH(ROWS($J$2:J987),$J$2:$J$1001,0),MATCH(COLUMNS($Q$1006:T1006),$Q$1006:$U$1006,0)), HYPERLINK("#",""), HYPERLINK(CONCATENATE("#Metadata!", ADDRESS(INDEX($L$2:$L$1001,MATCH(ROWS($J$2:J987),$J$2:$J$1001,0),0), INDEX($Q$1004:$U$1004,1,MATCH(COLUMNS($Q$1006:T1006),$Q$1006:$U$1006,0)))),"Fix")))</f>
        <v xml:space="preserve"> </v>
      </c>
      <c r="F987" s="3" t="str">
        <f ca="1">IF(OR(INDEX($K$2:$K$1001,MATCH(ROWS($J$2:J987),$J$2:$J$1001,0),1)&gt;=100000,INDEX($Q$1005:$U$1005,1,MATCH(COLUMNS($Q$1006:U1006),$Q$1006:$U$1006,0))&gt;=100000), " ",IF(INDEX($Q$2:$U$1001,MATCH(ROWS($J$2:J987),$J$2:$J$1001,0),MATCH(COLUMNS($Q$1006:U1006),$Q$1006:$U$1006,0)), HYPERLINK("#",""), HYPERLINK(CONCATENATE("#Metadata!", ADDRESS(INDEX($L$2:$L$1001,MATCH(ROWS($J$2:J987),$J$2:$J$1001,0),0), INDEX($Q$1004:$U$1004,1,MATCH(COLUMNS($Q$1006:U1006),$Q$1006:$U$1006,0)))),"Fix")))</f>
        <v xml:space="preserve"> </v>
      </c>
      <c r="J987">
        <f ca="1"/>
        <v>986</v>
      </c>
      <c r="K987">
        <v>100987</v>
      </c>
      <c r="L987">
        <v>987</v>
      </c>
      <c r="M987" t="b">
        <f t="shared" si="15"/>
        <v>1</v>
      </c>
      <c r="N987" t="b">
        <f>COUNTBLANK(Metadata!B987:F987)=COLUMNS(Metadata!B987:F987)</f>
        <v>1</v>
      </c>
      <c r="O987" t="str">
        <v/>
      </c>
      <c r="Q987" t="b">
        <f ca="1"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R987" t="b">
        <f>IF(Metadata!C987="",FALSE,TRUE)</f>
        <v>0</v>
      </c>
      <c r="S987" t="b">
        <f>OR(AND(IF(Metadata!D987="",FALSE,TRUE),EXACT(Metadata!D987,"missing: not collected")),AND(IF(Metadata!D987="",FALSE,TRUE),OR(EXACT(Metadata!D987,"t"),EXACT(Metadata!D987,"f"))))</f>
        <v>0</v>
      </c>
      <c r="T987" t="b">
        <f>AND(IF(Metadata!E987="",FALSE,TRUE),OR(EXACT(Metadata!E987,"a"),EXACT(Metadata!E987,"b")))</f>
        <v>0</v>
      </c>
      <c r="U987" t="b">
        <f>OR(AND(IF(Metadata!F987="",FALSE,TRUE),OR(EXACT(Metadata!F987,"missing: not collected"),EXACT(Metadata!F987,"missing: not provided"))),AND(IF(Metadata!F987="",FALSE,TRUE),OR(EXACT(Metadata!F987,"lo"),EXACT(Metadata!F987,"med"),EXACT(Metadata!F987,"hi"))))</f>
        <v>0</v>
      </c>
    </row>
    <row r="988" spans="1:21" x14ac:dyDescent="0.2">
      <c r="A988" s="4" t="str">
        <f ca="1">IF(B988=" "," ",HYPERLINK(CONCATENATE("#metadata!",ADDRESS(INDEX($L$2:$L$1001,MATCH(ROWS($J$2:J988),$J$2:$J$1001,0),0),1)),INDEX($O$2:$O$1001,MATCH(ROWS($J$2:J988),$J$2:$J$1001,0),0)))</f>
        <v xml:space="preserve"> </v>
      </c>
      <c r="B988" s="3" t="str">
        <f ca="1">IF(OR(INDEX($K$2:$K$1001,MATCH(ROWS($J$2:J988),$J$2:$J$1001,0),1)&gt;=100000,INDEX($Q$1005:$U$1005,1,MATCH(COLUMNS($Q$1006:Q1006),$Q$1006:$U$1006,0))&gt;=100000), " ",IF(INDEX($Q$2:$U$1001,MATCH(ROWS($J$2:J988),$J$2:$J$1001,0),MATCH(COLUMNS($Q$1006:Q1006),$Q$1006:$U$1006,0)), HYPERLINK("#",""), HYPERLINK(CONCATENATE("#Metadata!", ADDRESS(INDEX($L$2:$L$1001,MATCH(ROWS($J$2:J988),$J$2:$J$1001,0),0), INDEX($Q$1004:$U$1004,1,MATCH(COLUMNS($Q$1006:Q1006),$Q$1006:$U$1006,0)))),"Fix")))</f>
        <v xml:space="preserve"> </v>
      </c>
      <c r="C988" s="3" t="str">
        <f ca="1">IF(OR(INDEX($K$2:$K$1001,MATCH(ROWS($J$2:J988),$J$2:$J$1001,0),1)&gt;=100000,INDEX($Q$1005:$U$1005,1,MATCH(COLUMNS($Q$1006:R1006),$Q$1006:$U$1006,0))&gt;=100000), " ",IF(INDEX($Q$2:$U$1001,MATCH(ROWS($J$2:J988),$J$2:$J$1001,0),MATCH(COLUMNS($Q$1006:R1006),$Q$1006:$U$1006,0)), HYPERLINK("#",""), HYPERLINK(CONCATENATE("#Metadata!", ADDRESS(INDEX($L$2:$L$1001,MATCH(ROWS($J$2:J988),$J$2:$J$1001,0),0), INDEX($Q$1004:$U$1004,1,MATCH(COLUMNS($Q$1006:R1006),$Q$1006:$U$1006,0)))),"Fix")))</f>
        <v xml:space="preserve"> </v>
      </c>
      <c r="D988" s="3" t="str">
        <f ca="1">IF(OR(INDEX($K$2:$K$1001,MATCH(ROWS($J$2:J988),$J$2:$J$1001,0),1)&gt;=100000,INDEX($Q$1005:$U$1005,1,MATCH(COLUMNS($Q$1006:S1006),$Q$1006:$U$1006,0))&gt;=100000), " ",IF(INDEX($Q$2:$U$1001,MATCH(ROWS($J$2:J988),$J$2:$J$1001,0),MATCH(COLUMNS($Q$1006:S1006),$Q$1006:$U$1006,0)), HYPERLINK("#",""), HYPERLINK(CONCATENATE("#Metadata!", ADDRESS(INDEX($L$2:$L$1001,MATCH(ROWS($J$2:J988),$J$2:$J$1001,0),0), INDEX($Q$1004:$U$1004,1,MATCH(COLUMNS($Q$1006:S1006),$Q$1006:$U$1006,0)))),"Fix")))</f>
        <v xml:space="preserve"> </v>
      </c>
      <c r="E988" s="3" t="str">
        <f ca="1">IF(OR(INDEX($K$2:$K$1001,MATCH(ROWS($J$2:J988),$J$2:$J$1001,0),1)&gt;=100000,INDEX($Q$1005:$U$1005,1,MATCH(COLUMNS($Q$1006:T1006),$Q$1006:$U$1006,0))&gt;=100000), " ",IF(INDEX($Q$2:$U$1001,MATCH(ROWS($J$2:J988),$J$2:$J$1001,0),MATCH(COLUMNS($Q$1006:T1006),$Q$1006:$U$1006,0)), HYPERLINK("#",""), HYPERLINK(CONCATENATE("#Metadata!", ADDRESS(INDEX($L$2:$L$1001,MATCH(ROWS($J$2:J988),$J$2:$J$1001,0),0), INDEX($Q$1004:$U$1004,1,MATCH(COLUMNS($Q$1006:T1006),$Q$1006:$U$1006,0)))),"Fix")))</f>
        <v xml:space="preserve"> </v>
      </c>
      <c r="F988" s="3" t="str">
        <f ca="1">IF(OR(INDEX($K$2:$K$1001,MATCH(ROWS($J$2:J988),$J$2:$J$1001,0),1)&gt;=100000,INDEX($Q$1005:$U$1005,1,MATCH(COLUMNS($Q$1006:U1006),$Q$1006:$U$1006,0))&gt;=100000), " ",IF(INDEX($Q$2:$U$1001,MATCH(ROWS($J$2:J988),$J$2:$J$1001,0),MATCH(COLUMNS($Q$1006:U1006),$Q$1006:$U$1006,0)), HYPERLINK("#",""), HYPERLINK(CONCATENATE("#Metadata!", ADDRESS(INDEX($L$2:$L$1001,MATCH(ROWS($J$2:J988),$J$2:$J$1001,0),0), INDEX($Q$1004:$U$1004,1,MATCH(COLUMNS($Q$1006:U1006),$Q$1006:$U$1006,0)))),"Fix")))</f>
        <v xml:space="preserve"> </v>
      </c>
      <c r="J988">
        <f ca="1"/>
        <v>987</v>
      </c>
      <c r="K988">
        <v>100988</v>
      </c>
      <c r="L988">
        <v>988</v>
      </c>
      <c r="M988" t="b">
        <f t="shared" si="15"/>
        <v>1</v>
      </c>
      <c r="N988" t="b">
        <f>COUNTBLANK(Metadata!B988:F988)=COLUMNS(Metadata!B988:F988)</f>
        <v>1</v>
      </c>
      <c r="O988" t="str">
        <v/>
      </c>
      <c r="Q988" t="b">
        <f ca="1"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R988" t="b">
        <f>IF(Metadata!C988="",FALSE,TRUE)</f>
        <v>0</v>
      </c>
      <c r="S988" t="b">
        <f>OR(AND(IF(Metadata!D988="",FALSE,TRUE),EXACT(Metadata!D988,"missing: not collected")),AND(IF(Metadata!D988="",FALSE,TRUE),OR(EXACT(Metadata!D988,"t"),EXACT(Metadata!D988,"f"))))</f>
        <v>0</v>
      </c>
      <c r="T988" t="b">
        <f>AND(IF(Metadata!E988="",FALSE,TRUE),OR(EXACT(Metadata!E988,"a"),EXACT(Metadata!E988,"b")))</f>
        <v>0</v>
      </c>
      <c r="U988" t="b">
        <f>OR(AND(IF(Metadata!F988="",FALSE,TRUE),OR(EXACT(Metadata!F988,"missing: not collected"),EXACT(Metadata!F988,"missing: not provided"))),AND(IF(Metadata!F988="",FALSE,TRUE),OR(EXACT(Metadata!F988,"lo"),EXACT(Metadata!F988,"med"),EXACT(Metadata!F988,"hi"))))</f>
        <v>0</v>
      </c>
    </row>
    <row r="989" spans="1:21" x14ac:dyDescent="0.2">
      <c r="A989" s="4" t="str">
        <f ca="1">IF(B989=" "," ",HYPERLINK(CONCATENATE("#metadata!",ADDRESS(INDEX($L$2:$L$1001,MATCH(ROWS($J$2:J989),$J$2:$J$1001,0),0),1)),INDEX($O$2:$O$1001,MATCH(ROWS($J$2:J989),$J$2:$J$1001,0),0)))</f>
        <v xml:space="preserve"> </v>
      </c>
      <c r="B989" s="3" t="str">
        <f ca="1">IF(OR(INDEX($K$2:$K$1001,MATCH(ROWS($J$2:J989),$J$2:$J$1001,0),1)&gt;=100000,INDEX($Q$1005:$U$1005,1,MATCH(COLUMNS($Q$1006:Q1006),$Q$1006:$U$1006,0))&gt;=100000), " ",IF(INDEX($Q$2:$U$1001,MATCH(ROWS($J$2:J989),$J$2:$J$1001,0),MATCH(COLUMNS($Q$1006:Q1006),$Q$1006:$U$1006,0)), HYPERLINK("#",""), HYPERLINK(CONCATENATE("#Metadata!", ADDRESS(INDEX($L$2:$L$1001,MATCH(ROWS($J$2:J989),$J$2:$J$1001,0),0), INDEX($Q$1004:$U$1004,1,MATCH(COLUMNS($Q$1006:Q1006),$Q$1006:$U$1006,0)))),"Fix")))</f>
        <v xml:space="preserve"> </v>
      </c>
      <c r="C989" s="3" t="str">
        <f ca="1">IF(OR(INDEX($K$2:$K$1001,MATCH(ROWS($J$2:J989),$J$2:$J$1001,0),1)&gt;=100000,INDEX($Q$1005:$U$1005,1,MATCH(COLUMNS($Q$1006:R1006),$Q$1006:$U$1006,0))&gt;=100000), " ",IF(INDEX($Q$2:$U$1001,MATCH(ROWS($J$2:J989),$J$2:$J$1001,0),MATCH(COLUMNS($Q$1006:R1006),$Q$1006:$U$1006,0)), HYPERLINK("#",""), HYPERLINK(CONCATENATE("#Metadata!", ADDRESS(INDEX($L$2:$L$1001,MATCH(ROWS($J$2:J989),$J$2:$J$1001,0),0), INDEX($Q$1004:$U$1004,1,MATCH(COLUMNS($Q$1006:R1006),$Q$1006:$U$1006,0)))),"Fix")))</f>
        <v xml:space="preserve"> </v>
      </c>
      <c r="D989" s="3" t="str">
        <f ca="1">IF(OR(INDEX($K$2:$K$1001,MATCH(ROWS($J$2:J989),$J$2:$J$1001,0),1)&gt;=100000,INDEX($Q$1005:$U$1005,1,MATCH(COLUMNS($Q$1006:S1006),$Q$1006:$U$1006,0))&gt;=100000), " ",IF(INDEX($Q$2:$U$1001,MATCH(ROWS($J$2:J989),$J$2:$J$1001,0),MATCH(COLUMNS($Q$1006:S1006),$Q$1006:$U$1006,0)), HYPERLINK("#",""), HYPERLINK(CONCATENATE("#Metadata!", ADDRESS(INDEX($L$2:$L$1001,MATCH(ROWS($J$2:J989),$J$2:$J$1001,0),0), INDEX($Q$1004:$U$1004,1,MATCH(COLUMNS($Q$1006:S1006),$Q$1006:$U$1006,0)))),"Fix")))</f>
        <v xml:space="preserve"> </v>
      </c>
      <c r="E989" s="3" t="str">
        <f ca="1">IF(OR(INDEX($K$2:$K$1001,MATCH(ROWS($J$2:J989),$J$2:$J$1001,0),1)&gt;=100000,INDEX($Q$1005:$U$1005,1,MATCH(COLUMNS($Q$1006:T1006),$Q$1006:$U$1006,0))&gt;=100000), " ",IF(INDEX($Q$2:$U$1001,MATCH(ROWS($J$2:J989),$J$2:$J$1001,0),MATCH(COLUMNS($Q$1006:T1006),$Q$1006:$U$1006,0)), HYPERLINK("#",""), HYPERLINK(CONCATENATE("#Metadata!", ADDRESS(INDEX($L$2:$L$1001,MATCH(ROWS($J$2:J989),$J$2:$J$1001,0),0), INDEX($Q$1004:$U$1004,1,MATCH(COLUMNS($Q$1006:T1006),$Q$1006:$U$1006,0)))),"Fix")))</f>
        <v xml:space="preserve"> </v>
      </c>
      <c r="F989" s="3" t="str">
        <f ca="1">IF(OR(INDEX($K$2:$K$1001,MATCH(ROWS($J$2:J989),$J$2:$J$1001,0),1)&gt;=100000,INDEX($Q$1005:$U$1005,1,MATCH(COLUMNS($Q$1006:U1006),$Q$1006:$U$1006,0))&gt;=100000), " ",IF(INDEX($Q$2:$U$1001,MATCH(ROWS($J$2:J989),$J$2:$J$1001,0),MATCH(COLUMNS($Q$1006:U1006),$Q$1006:$U$1006,0)), HYPERLINK("#",""), HYPERLINK(CONCATENATE("#Metadata!", ADDRESS(INDEX($L$2:$L$1001,MATCH(ROWS($J$2:J989),$J$2:$J$1001,0),0), INDEX($Q$1004:$U$1004,1,MATCH(COLUMNS($Q$1006:U1006),$Q$1006:$U$1006,0)))),"Fix")))</f>
        <v xml:space="preserve"> </v>
      </c>
      <c r="J989">
        <f ca="1"/>
        <v>988</v>
      </c>
      <c r="K989">
        <v>100989</v>
      </c>
      <c r="L989">
        <v>989</v>
      </c>
      <c r="M989" t="b">
        <f t="shared" si="15"/>
        <v>1</v>
      </c>
      <c r="N989" t="b">
        <f>COUNTBLANK(Metadata!B989:F989)=COLUMNS(Metadata!B989:F989)</f>
        <v>1</v>
      </c>
      <c r="O989" t="str">
        <v/>
      </c>
      <c r="Q989" t="b">
        <f ca="1"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R989" t="b">
        <f>IF(Metadata!C989="",FALSE,TRUE)</f>
        <v>0</v>
      </c>
      <c r="S989" t="b">
        <f>OR(AND(IF(Metadata!D989="",FALSE,TRUE),EXACT(Metadata!D989,"missing: not collected")),AND(IF(Metadata!D989="",FALSE,TRUE),OR(EXACT(Metadata!D989,"t"),EXACT(Metadata!D989,"f"))))</f>
        <v>0</v>
      </c>
      <c r="T989" t="b">
        <f>AND(IF(Metadata!E989="",FALSE,TRUE),OR(EXACT(Metadata!E989,"a"),EXACT(Metadata!E989,"b")))</f>
        <v>0</v>
      </c>
      <c r="U989" t="b">
        <f>OR(AND(IF(Metadata!F989="",FALSE,TRUE),OR(EXACT(Metadata!F989,"missing: not collected"),EXACT(Metadata!F989,"missing: not provided"))),AND(IF(Metadata!F989="",FALSE,TRUE),OR(EXACT(Metadata!F989,"lo"),EXACT(Metadata!F989,"med"),EXACT(Metadata!F989,"hi"))))</f>
        <v>0</v>
      </c>
    </row>
    <row r="990" spans="1:21" x14ac:dyDescent="0.2">
      <c r="A990" s="4" t="str">
        <f ca="1">IF(B990=" "," ",HYPERLINK(CONCATENATE("#metadata!",ADDRESS(INDEX($L$2:$L$1001,MATCH(ROWS($J$2:J990),$J$2:$J$1001,0),0),1)),INDEX($O$2:$O$1001,MATCH(ROWS($J$2:J990),$J$2:$J$1001,0),0)))</f>
        <v xml:space="preserve"> </v>
      </c>
      <c r="B990" s="3" t="str">
        <f ca="1">IF(OR(INDEX($K$2:$K$1001,MATCH(ROWS($J$2:J990),$J$2:$J$1001,0),1)&gt;=100000,INDEX($Q$1005:$U$1005,1,MATCH(COLUMNS($Q$1006:Q1006),$Q$1006:$U$1006,0))&gt;=100000), " ",IF(INDEX($Q$2:$U$1001,MATCH(ROWS($J$2:J990),$J$2:$J$1001,0),MATCH(COLUMNS($Q$1006:Q1006),$Q$1006:$U$1006,0)), HYPERLINK("#",""), HYPERLINK(CONCATENATE("#Metadata!", ADDRESS(INDEX($L$2:$L$1001,MATCH(ROWS($J$2:J990),$J$2:$J$1001,0),0), INDEX($Q$1004:$U$1004,1,MATCH(COLUMNS($Q$1006:Q1006),$Q$1006:$U$1006,0)))),"Fix")))</f>
        <v xml:space="preserve"> </v>
      </c>
      <c r="C990" s="3" t="str">
        <f ca="1">IF(OR(INDEX($K$2:$K$1001,MATCH(ROWS($J$2:J990),$J$2:$J$1001,0),1)&gt;=100000,INDEX($Q$1005:$U$1005,1,MATCH(COLUMNS($Q$1006:R1006),$Q$1006:$U$1006,0))&gt;=100000), " ",IF(INDEX($Q$2:$U$1001,MATCH(ROWS($J$2:J990),$J$2:$J$1001,0),MATCH(COLUMNS($Q$1006:R1006),$Q$1006:$U$1006,0)), HYPERLINK("#",""), HYPERLINK(CONCATENATE("#Metadata!", ADDRESS(INDEX($L$2:$L$1001,MATCH(ROWS($J$2:J990),$J$2:$J$1001,0),0), INDEX($Q$1004:$U$1004,1,MATCH(COLUMNS($Q$1006:R1006),$Q$1006:$U$1006,0)))),"Fix")))</f>
        <v xml:space="preserve"> </v>
      </c>
      <c r="D990" s="3" t="str">
        <f ca="1">IF(OR(INDEX($K$2:$K$1001,MATCH(ROWS($J$2:J990),$J$2:$J$1001,0),1)&gt;=100000,INDEX($Q$1005:$U$1005,1,MATCH(COLUMNS($Q$1006:S1006),$Q$1006:$U$1006,0))&gt;=100000), " ",IF(INDEX($Q$2:$U$1001,MATCH(ROWS($J$2:J990),$J$2:$J$1001,0),MATCH(COLUMNS($Q$1006:S1006),$Q$1006:$U$1006,0)), HYPERLINK("#",""), HYPERLINK(CONCATENATE("#Metadata!", ADDRESS(INDEX($L$2:$L$1001,MATCH(ROWS($J$2:J990),$J$2:$J$1001,0),0), INDEX($Q$1004:$U$1004,1,MATCH(COLUMNS($Q$1006:S1006),$Q$1006:$U$1006,0)))),"Fix")))</f>
        <v xml:space="preserve"> </v>
      </c>
      <c r="E990" s="3" t="str">
        <f ca="1">IF(OR(INDEX($K$2:$K$1001,MATCH(ROWS($J$2:J990),$J$2:$J$1001,0),1)&gt;=100000,INDEX($Q$1005:$U$1005,1,MATCH(COLUMNS($Q$1006:T1006),$Q$1006:$U$1006,0))&gt;=100000), " ",IF(INDEX($Q$2:$U$1001,MATCH(ROWS($J$2:J990),$J$2:$J$1001,0),MATCH(COLUMNS($Q$1006:T1006),$Q$1006:$U$1006,0)), HYPERLINK("#",""), HYPERLINK(CONCATENATE("#Metadata!", ADDRESS(INDEX($L$2:$L$1001,MATCH(ROWS($J$2:J990),$J$2:$J$1001,0),0), INDEX($Q$1004:$U$1004,1,MATCH(COLUMNS($Q$1006:T1006),$Q$1006:$U$1006,0)))),"Fix")))</f>
        <v xml:space="preserve"> </v>
      </c>
      <c r="F990" s="3" t="str">
        <f ca="1">IF(OR(INDEX($K$2:$K$1001,MATCH(ROWS($J$2:J990),$J$2:$J$1001,0),1)&gt;=100000,INDEX($Q$1005:$U$1005,1,MATCH(COLUMNS($Q$1006:U1006),$Q$1006:$U$1006,0))&gt;=100000), " ",IF(INDEX($Q$2:$U$1001,MATCH(ROWS($J$2:J990),$J$2:$J$1001,0),MATCH(COLUMNS($Q$1006:U1006),$Q$1006:$U$1006,0)), HYPERLINK("#",""), HYPERLINK(CONCATENATE("#Metadata!", ADDRESS(INDEX($L$2:$L$1001,MATCH(ROWS($J$2:J990),$J$2:$J$1001,0),0), INDEX($Q$1004:$U$1004,1,MATCH(COLUMNS($Q$1006:U1006),$Q$1006:$U$1006,0)))),"Fix")))</f>
        <v xml:space="preserve"> </v>
      </c>
      <c r="J990">
        <f ca="1"/>
        <v>989</v>
      </c>
      <c r="K990">
        <v>100990</v>
      </c>
      <c r="L990">
        <v>990</v>
      </c>
      <c r="M990" t="b">
        <f t="shared" si="15"/>
        <v>1</v>
      </c>
      <c r="N990" t="b">
        <f>COUNTBLANK(Metadata!B990:F990)=COLUMNS(Metadata!B990:F990)</f>
        <v>1</v>
      </c>
      <c r="O990" t="str">
        <v/>
      </c>
      <c r="Q990" t="b">
        <f ca="1"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R990" t="b">
        <f>IF(Metadata!C990="",FALSE,TRUE)</f>
        <v>0</v>
      </c>
      <c r="S990" t="b">
        <f>OR(AND(IF(Metadata!D990="",FALSE,TRUE),EXACT(Metadata!D990,"missing: not collected")),AND(IF(Metadata!D990="",FALSE,TRUE),OR(EXACT(Metadata!D990,"t"),EXACT(Metadata!D990,"f"))))</f>
        <v>0</v>
      </c>
      <c r="T990" t="b">
        <f>AND(IF(Metadata!E990="",FALSE,TRUE),OR(EXACT(Metadata!E990,"a"),EXACT(Metadata!E990,"b")))</f>
        <v>0</v>
      </c>
      <c r="U990" t="b">
        <f>OR(AND(IF(Metadata!F990="",FALSE,TRUE),OR(EXACT(Metadata!F990,"missing: not collected"),EXACT(Metadata!F990,"missing: not provided"))),AND(IF(Metadata!F990="",FALSE,TRUE),OR(EXACT(Metadata!F990,"lo"),EXACT(Metadata!F990,"med"),EXACT(Metadata!F990,"hi"))))</f>
        <v>0</v>
      </c>
    </row>
    <row r="991" spans="1:21" x14ac:dyDescent="0.2">
      <c r="A991" s="4" t="str">
        <f ca="1">IF(B991=" "," ",HYPERLINK(CONCATENATE("#metadata!",ADDRESS(INDEX($L$2:$L$1001,MATCH(ROWS($J$2:J991),$J$2:$J$1001,0),0),1)),INDEX($O$2:$O$1001,MATCH(ROWS($J$2:J991),$J$2:$J$1001,0),0)))</f>
        <v xml:space="preserve"> </v>
      </c>
      <c r="B991" s="3" t="str">
        <f ca="1">IF(OR(INDEX($K$2:$K$1001,MATCH(ROWS($J$2:J991),$J$2:$J$1001,0),1)&gt;=100000,INDEX($Q$1005:$U$1005,1,MATCH(COLUMNS($Q$1006:Q1006),$Q$1006:$U$1006,0))&gt;=100000), " ",IF(INDEX($Q$2:$U$1001,MATCH(ROWS($J$2:J991),$J$2:$J$1001,0),MATCH(COLUMNS($Q$1006:Q1006),$Q$1006:$U$1006,0)), HYPERLINK("#",""), HYPERLINK(CONCATENATE("#Metadata!", ADDRESS(INDEX($L$2:$L$1001,MATCH(ROWS($J$2:J991),$J$2:$J$1001,0),0), INDEX($Q$1004:$U$1004,1,MATCH(COLUMNS($Q$1006:Q1006),$Q$1006:$U$1006,0)))),"Fix")))</f>
        <v xml:space="preserve"> </v>
      </c>
      <c r="C991" s="3" t="str">
        <f ca="1">IF(OR(INDEX($K$2:$K$1001,MATCH(ROWS($J$2:J991),$J$2:$J$1001,0),1)&gt;=100000,INDEX($Q$1005:$U$1005,1,MATCH(COLUMNS($Q$1006:R1006),$Q$1006:$U$1006,0))&gt;=100000), " ",IF(INDEX($Q$2:$U$1001,MATCH(ROWS($J$2:J991),$J$2:$J$1001,0),MATCH(COLUMNS($Q$1006:R1006),$Q$1006:$U$1006,0)), HYPERLINK("#",""), HYPERLINK(CONCATENATE("#Metadata!", ADDRESS(INDEX($L$2:$L$1001,MATCH(ROWS($J$2:J991),$J$2:$J$1001,0),0), INDEX($Q$1004:$U$1004,1,MATCH(COLUMNS($Q$1006:R1006),$Q$1006:$U$1006,0)))),"Fix")))</f>
        <v xml:space="preserve"> </v>
      </c>
      <c r="D991" s="3" t="str">
        <f ca="1">IF(OR(INDEX($K$2:$K$1001,MATCH(ROWS($J$2:J991),$J$2:$J$1001,0),1)&gt;=100000,INDEX($Q$1005:$U$1005,1,MATCH(COLUMNS($Q$1006:S1006),$Q$1006:$U$1006,0))&gt;=100000), " ",IF(INDEX($Q$2:$U$1001,MATCH(ROWS($J$2:J991),$J$2:$J$1001,0),MATCH(COLUMNS($Q$1006:S1006),$Q$1006:$U$1006,0)), HYPERLINK("#",""), HYPERLINK(CONCATENATE("#Metadata!", ADDRESS(INDEX($L$2:$L$1001,MATCH(ROWS($J$2:J991),$J$2:$J$1001,0),0), INDEX($Q$1004:$U$1004,1,MATCH(COLUMNS($Q$1006:S1006),$Q$1006:$U$1006,0)))),"Fix")))</f>
        <v xml:space="preserve"> </v>
      </c>
      <c r="E991" s="3" t="str">
        <f ca="1">IF(OR(INDEX($K$2:$K$1001,MATCH(ROWS($J$2:J991),$J$2:$J$1001,0),1)&gt;=100000,INDEX($Q$1005:$U$1005,1,MATCH(COLUMNS($Q$1006:T1006),$Q$1006:$U$1006,0))&gt;=100000), " ",IF(INDEX($Q$2:$U$1001,MATCH(ROWS($J$2:J991),$J$2:$J$1001,0),MATCH(COLUMNS($Q$1006:T1006),$Q$1006:$U$1006,0)), HYPERLINK("#",""), HYPERLINK(CONCATENATE("#Metadata!", ADDRESS(INDEX($L$2:$L$1001,MATCH(ROWS($J$2:J991),$J$2:$J$1001,0),0), INDEX($Q$1004:$U$1004,1,MATCH(COLUMNS($Q$1006:T1006),$Q$1006:$U$1006,0)))),"Fix")))</f>
        <v xml:space="preserve"> </v>
      </c>
      <c r="F991" s="3" t="str">
        <f ca="1">IF(OR(INDEX($K$2:$K$1001,MATCH(ROWS($J$2:J991),$J$2:$J$1001,0),1)&gt;=100000,INDEX($Q$1005:$U$1005,1,MATCH(COLUMNS($Q$1006:U1006),$Q$1006:$U$1006,0))&gt;=100000), " ",IF(INDEX($Q$2:$U$1001,MATCH(ROWS($J$2:J991),$J$2:$J$1001,0),MATCH(COLUMNS($Q$1006:U1006),$Q$1006:$U$1006,0)), HYPERLINK("#",""), HYPERLINK(CONCATENATE("#Metadata!", ADDRESS(INDEX($L$2:$L$1001,MATCH(ROWS($J$2:J991),$J$2:$J$1001,0),0), INDEX($Q$1004:$U$1004,1,MATCH(COLUMNS($Q$1006:U1006),$Q$1006:$U$1006,0)))),"Fix")))</f>
        <v xml:space="preserve"> </v>
      </c>
      <c r="J991">
        <f ca="1"/>
        <v>990</v>
      </c>
      <c r="K991">
        <v>100991</v>
      </c>
      <c r="L991">
        <v>991</v>
      </c>
      <c r="M991" t="b">
        <f t="shared" si="15"/>
        <v>1</v>
      </c>
      <c r="N991" t="b">
        <f>COUNTBLANK(Metadata!B991:F991)=COLUMNS(Metadata!B991:F991)</f>
        <v>1</v>
      </c>
      <c r="O991" t="str">
        <v/>
      </c>
      <c r="Q991" t="b">
        <f ca="1"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R991" t="b">
        <f>IF(Metadata!C991="",FALSE,TRUE)</f>
        <v>0</v>
      </c>
      <c r="S991" t="b">
        <f>OR(AND(IF(Metadata!D991="",FALSE,TRUE),EXACT(Metadata!D991,"missing: not collected")),AND(IF(Metadata!D991="",FALSE,TRUE),OR(EXACT(Metadata!D991,"t"),EXACT(Metadata!D991,"f"))))</f>
        <v>0</v>
      </c>
      <c r="T991" t="b">
        <f>AND(IF(Metadata!E991="",FALSE,TRUE),OR(EXACT(Metadata!E991,"a"),EXACT(Metadata!E991,"b")))</f>
        <v>0</v>
      </c>
      <c r="U991" t="b">
        <f>OR(AND(IF(Metadata!F991="",FALSE,TRUE),OR(EXACT(Metadata!F991,"missing: not collected"),EXACT(Metadata!F991,"missing: not provided"))),AND(IF(Metadata!F991="",FALSE,TRUE),OR(EXACT(Metadata!F991,"lo"),EXACT(Metadata!F991,"med"),EXACT(Metadata!F991,"hi"))))</f>
        <v>0</v>
      </c>
    </row>
    <row r="992" spans="1:21" x14ac:dyDescent="0.2">
      <c r="A992" s="4" t="str">
        <f ca="1">IF(B992=" "," ",HYPERLINK(CONCATENATE("#metadata!",ADDRESS(INDEX($L$2:$L$1001,MATCH(ROWS($J$2:J992),$J$2:$J$1001,0),0),1)),INDEX($O$2:$O$1001,MATCH(ROWS($J$2:J992),$J$2:$J$1001,0),0)))</f>
        <v xml:space="preserve"> </v>
      </c>
      <c r="B992" s="3" t="str">
        <f ca="1">IF(OR(INDEX($K$2:$K$1001,MATCH(ROWS($J$2:J992),$J$2:$J$1001,0),1)&gt;=100000,INDEX($Q$1005:$U$1005,1,MATCH(COLUMNS($Q$1006:Q1006),$Q$1006:$U$1006,0))&gt;=100000), " ",IF(INDEX($Q$2:$U$1001,MATCH(ROWS($J$2:J992),$J$2:$J$1001,0),MATCH(COLUMNS($Q$1006:Q1006),$Q$1006:$U$1006,0)), HYPERLINK("#",""), HYPERLINK(CONCATENATE("#Metadata!", ADDRESS(INDEX($L$2:$L$1001,MATCH(ROWS($J$2:J992),$J$2:$J$1001,0),0), INDEX($Q$1004:$U$1004,1,MATCH(COLUMNS($Q$1006:Q1006),$Q$1006:$U$1006,0)))),"Fix")))</f>
        <v xml:space="preserve"> </v>
      </c>
      <c r="C992" s="3" t="str">
        <f ca="1">IF(OR(INDEX($K$2:$K$1001,MATCH(ROWS($J$2:J992),$J$2:$J$1001,0),1)&gt;=100000,INDEX($Q$1005:$U$1005,1,MATCH(COLUMNS($Q$1006:R1006),$Q$1006:$U$1006,0))&gt;=100000), " ",IF(INDEX($Q$2:$U$1001,MATCH(ROWS($J$2:J992),$J$2:$J$1001,0),MATCH(COLUMNS($Q$1006:R1006),$Q$1006:$U$1006,0)), HYPERLINK("#",""), HYPERLINK(CONCATENATE("#Metadata!", ADDRESS(INDEX($L$2:$L$1001,MATCH(ROWS($J$2:J992),$J$2:$J$1001,0),0), INDEX($Q$1004:$U$1004,1,MATCH(COLUMNS($Q$1006:R1006),$Q$1006:$U$1006,0)))),"Fix")))</f>
        <v xml:space="preserve"> </v>
      </c>
      <c r="D992" s="3" t="str">
        <f ca="1">IF(OR(INDEX($K$2:$K$1001,MATCH(ROWS($J$2:J992),$J$2:$J$1001,0),1)&gt;=100000,INDEX($Q$1005:$U$1005,1,MATCH(COLUMNS($Q$1006:S1006),$Q$1006:$U$1006,0))&gt;=100000), " ",IF(INDEX($Q$2:$U$1001,MATCH(ROWS($J$2:J992),$J$2:$J$1001,0),MATCH(COLUMNS($Q$1006:S1006),$Q$1006:$U$1006,0)), HYPERLINK("#",""), HYPERLINK(CONCATENATE("#Metadata!", ADDRESS(INDEX($L$2:$L$1001,MATCH(ROWS($J$2:J992),$J$2:$J$1001,0),0), INDEX($Q$1004:$U$1004,1,MATCH(COLUMNS($Q$1006:S1006),$Q$1006:$U$1006,0)))),"Fix")))</f>
        <v xml:space="preserve"> </v>
      </c>
      <c r="E992" s="3" t="str">
        <f ca="1">IF(OR(INDEX($K$2:$K$1001,MATCH(ROWS($J$2:J992),$J$2:$J$1001,0),1)&gt;=100000,INDEX($Q$1005:$U$1005,1,MATCH(COLUMNS($Q$1006:T1006),$Q$1006:$U$1006,0))&gt;=100000), " ",IF(INDEX($Q$2:$U$1001,MATCH(ROWS($J$2:J992),$J$2:$J$1001,0),MATCH(COLUMNS($Q$1006:T1006),$Q$1006:$U$1006,0)), HYPERLINK("#",""), HYPERLINK(CONCATENATE("#Metadata!", ADDRESS(INDEX($L$2:$L$1001,MATCH(ROWS($J$2:J992),$J$2:$J$1001,0),0), INDEX($Q$1004:$U$1004,1,MATCH(COLUMNS($Q$1006:T1006),$Q$1006:$U$1006,0)))),"Fix")))</f>
        <v xml:space="preserve"> </v>
      </c>
      <c r="F992" s="3" t="str">
        <f ca="1">IF(OR(INDEX($K$2:$K$1001,MATCH(ROWS($J$2:J992),$J$2:$J$1001,0),1)&gt;=100000,INDEX($Q$1005:$U$1005,1,MATCH(COLUMNS($Q$1006:U1006),$Q$1006:$U$1006,0))&gt;=100000), " ",IF(INDEX($Q$2:$U$1001,MATCH(ROWS($J$2:J992),$J$2:$J$1001,0),MATCH(COLUMNS($Q$1006:U1006),$Q$1006:$U$1006,0)), HYPERLINK("#",""), HYPERLINK(CONCATENATE("#Metadata!", ADDRESS(INDEX($L$2:$L$1001,MATCH(ROWS($J$2:J992),$J$2:$J$1001,0),0), INDEX($Q$1004:$U$1004,1,MATCH(COLUMNS($Q$1006:U1006),$Q$1006:$U$1006,0)))),"Fix")))</f>
        <v xml:space="preserve"> </v>
      </c>
      <c r="J992">
        <f ca="1"/>
        <v>991</v>
      </c>
      <c r="K992">
        <v>100992</v>
      </c>
      <c r="L992">
        <v>992</v>
      </c>
      <c r="M992" t="b">
        <f t="shared" si="15"/>
        <v>1</v>
      </c>
      <c r="N992" t="b">
        <f>COUNTBLANK(Metadata!B992:F992)=COLUMNS(Metadata!B992:F992)</f>
        <v>1</v>
      </c>
      <c r="O992" t="str">
        <v/>
      </c>
      <c r="Q992" t="b">
        <f ca="1"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R992" t="b">
        <f>IF(Metadata!C992="",FALSE,TRUE)</f>
        <v>0</v>
      </c>
      <c r="S992" t="b">
        <f>OR(AND(IF(Metadata!D992="",FALSE,TRUE),EXACT(Metadata!D992,"missing: not collected")),AND(IF(Metadata!D992="",FALSE,TRUE),OR(EXACT(Metadata!D992,"t"),EXACT(Metadata!D992,"f"))))</f>
        <v>0</v>
      </c>
      <c r="T992" t="b">
        <f>AND(IF(Metadata!E992="",FALSE,TRUE),OR(EXACT(Metadata!E992,"a"),EXACT(Metadata!E992,"b")))</f>
        <v>0</v>
      </c>
      <c r="U992" t="b">
        <f>OR(AND(IF(Metadata!F992="",FALSE,TRUE),OR(EXACT(Metadata!F992,"missing: not collected"),EXACT(Metadata!F992,"missing: not provided"))),AND(IF(Metadata!F992="",FALSE,TRUE),OR(EXACT(Metadata!F992,"lo"),EXACT(Metadata!F992,"med"),EXACT(Metadata!F992,"hi"))))</f>
        <v>0</v>
      </c>
    </row>
    <row r="993" spans="1:21" x14ac:dyDescent="0.2">
      <c r="A993" s="4" t="str">
        <f ca="1">IF(B993=" "," ",HYPERLINK(CONCATENATE("#metadata!",ADDRESS(INDEX($L$2:$L$1001,MATCH(ROWS($J$2:J993),$J$2:$J$1001,0),0),1)),INDEX($O$2:$O$1001,MATCH(ROWS($J$2:J993),$J$2:$J$1001,0),0)))</f>
        <v xml:space="preserve"> </v>
      </c>
      <c r="B993" s="3" t="str">
        <f ca="1">IF(OR(INDEX($K$2:$K$1001,MATCH(ROWS($J$2:J993),$J$2:$J$1001,0),1)&gt;=100000,INDEX($Q$1005:$U$1005,1,MATCH(COLUMNS($Q$1006:Q1006),$Q$1006:$U$1006,0))&gt;=100000), " ",IF(INDEX($Q$2:$U$1001,MATCH(ROWS($J$2:J993),$J$2:$J$1001,0),MATCH(COLUMNS($Q$1006:Q1006),$Q$1006:$U$1006,0)), HYPERLINK("#",""), HYPERLINK(CONCATENATE("#Metadata!", ADDRESS(INDEX($L$2:$L$1001,MATCH(ROWS($J$2:J993),$J$2:$J$1001,0),0), INDEX($Q$1004:$U$1004,1,MATCH(COLUMNS($Q$1006:Q1006),$Q$1006:$U$1006,0)))),"Fix")))</f>
        <v xml:space="preserve"> </v>
      </c>
      <c r="C993" s="3" t="str">
        <f ca="1">IF(OR(INDEX($K$2:$K$1001,MATCH(ROWS($J$2:J993),$J$2:$J$1001,0),1)&gt;=100000,INDEX($Q$1005:$U$1005,1,MATCH(COLUMNS($Q$1006:R1006),$Q$1006:$U$1006,0))&gt;=100000), " ",IF(INDEX($Q$2:$U$1001,MATCH(ROWS($J$2:J993),$J$2:$J$1001,0),MATCH(COLUMNS($Q$1006:R1006),$Q$1006:$U$1006,0)), HYPERLINK("#",""), HYPERLINK(CONCATENATE("#Metadata!", ADDRESS(INDEX($L$2:$L$1001,MATCH(ROWS($J$2:J993),$J$2:$J$1001,0),0), INDEX($Q$1004:$U$1004,1,MATCH(COLUMNS($Q$1006:R1006),$Q$1006:$U$1006,0)))),"Fix")))</f>
        <v xml:space="preserve"> </v>
      </c>
      <c r="D993" s="3" t="str">
        <f ca="1">IF(OR(INDEX($K$2:$K$1001,MATCH(ROWS($J$2:J993),$J$2:$J$1001,0),1)&gt;=100000,INDEX($Q$1005:$U$1005,1,MATCH(COLUMNS($Q$1006:S1006),$Q$1006:$U$1006,0))&gt;=100000), " ",IF(INDEX($Q$2:$U$1001,MATCH(ROWS($J$2:J993),$J$2:$J$1001,0),MATCH(COLUMNS($Q$1006:S1006),$Q$1006:$U$1006,0)), HYPERLINK("#",""), HYPERLINK(CONCATENATE("#Metadata!", ADDRESS(INDEX($L$2:$L$1001,MATCH(ROWS($J$2:J993),$J$2:$J$1001,0),0), INDEX($Q$1004:$U$1004,1,MATCH(COLUMNS($Q$1006:S1006),$Q$1006:$U$1006,0)))),"Fix")))</f>
        <v xml:space="preserve"> </v>
      </c>
      <c r="E993" s="3" t="str">
        <f ca="1">IF(OR(INDEX($K$2:$K$1001,MATCH(ROWS($J$2:J993),$J$2:$J$1001,0),1)&gt;=100000,INDEX($Q$1005:$U$1005,1,MATCH(COLUMNS($Q$1006:T1006),$Q$1006:$U$1006,0))&gt;=100000), " ",IF(INDEX($Q$2:$U$1001,MATCH(ROWS($J$2:J993),$J$2:$J$1001,0),MATCH(COLUMNS($Q$1006:T1006),$Q$1006:$U$1006,0)), HYPERLINK("#",""), HYPERLINK(CONCATENATE("#Metadata!", ADDRESS(INDEX($L$2:$L$1001,MATCH(ROWS($J$2:J993),$J$2:$J$1001,0),0), INDEX($Q$1004:$U$1004,1,MATCH(COLUMNS($Q$1006:T1006),$Q$1006:$U$1006,0)))),"Fix")))</f>
        <v xml:space="preserve"> </v>
      </c>
      <c r="F993" s="3" t="str">
        <f ca="1">IF(OR(INDEX($K$2:$K$1001,MATCH(ROWS($J$2:J993),$J$2:$J$1001,0),1)&gt;=100000,INDEX($Q$1005:$U$1005,1,MATCH(COLUMNS($Q$1006:U1006),$Q$1006:$U$1006,0))&gt;=100000), " ",IF(INDEX($Q$2:$U$1001,MATCH(ROWS($J$2:J993),$J$2:$J$1001,0),MATCH(COLUMNS($Q$1006:U1006),$Q$1006:$U$1006,0)), HYPERLINK("#",""), HYPERLINK(CONCATENATE("#Metadata!", ADDRESS(INDEX($L$2:$L$1001,MATCH(ROWS($J$2:J993),$J$2:$J$1001,0),0), INDEX($Q$1004:$U$1004,1,MATCH(COLUMNS($Q$1006:U1006),$Q$1006:$U$1006,0)))),"Fix")))</f>
        <v xml:space="preserve"> </v>
      </c>
      <c r="J993">
        <f ca="1"/>
        <v>992</v>
      </c>
      <c r="K993">
        <v>100993</v>
      </c>
      <c r="L993">
        <v>993</v>
      </c>
      <c r="M993" t="b">
        <f t="shared" si="15"/>
        <v>1</v>
      </c>
      <c r="N993" t="b">
        <f>COUNTBLANK(Metadata!B993:F993)=COLUMNS(Metadata!B993:F993)</f>
        <v>1</v>
      </c>
      <c r="O993" t="str">
        <v/>
      </c>
      <c r="Q993" t="b">
        <f ca="1"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R993" t="b">
        <f>IF(Metadata!C993="",FALSE,TRUE)</f>
        <v>0</v>
      </c>
      <c r="S993" t="b">
        <f>OR(AND(IF(Metadata!D993="",FALSE,TRUE),EXACT(Metadata!D993,"missing: not collected")),AND(IF(Metadata!D993="",FALSE,TRUE),OR(EXACT(Metadata!D993,"t"),EXACT(Metadata!D993,"f"))))</f>
        <v>0</v>
      </c>
      <c r="T993" t="b">
        <f>AND(IF(Metadata!E993="",FALSE,TRUE),OR(EXACT(Metadata!E993,"a"),EXACT(Metadata!E993,"b")))</f>
        <v>0</v>
      </c>
      <c r="U993" t="b">
        <f>OR(AND(IF(Metadata!F993="",FALSE,TRUE),OR(EXACT(Metadata!F993,"missing: not collected"),EXACT(Metadata!F993,"missing: not provided"))),AND(IF(Metadata!F993="",FALSE,TRUE),OR(EXACT(Metadata!F993,"lo"),EXACT(Metadata!F993,"med"),EXACT(Metadata!F993,"hi"))))</f>
        <v>0</v>
      </c>
    </row>
    <row r="994" spans="1:21" x14ac:dyDescent="0.2">
      <c r="A994" s="4" t="str">
        <f ca="1">IF(B994=" "," ",HYPERLINK(CONCATENATE("#metadata!",ADDRESS(INDEX($L$2:$L$1001,MATCH(ROWS($J$2:J994),$J$2:$J$1001,0),0),1)),INDEX($O$2:$O$1001,MATCH(ROWS($J$2:J994),$J$2:$J$1001,0),0)))</f>
        <v xml:space="preserve"> </v>
      </c>
      <c r="B994" s="3" t="str">
        <f ca="1">IF(OR(INDEX($K$2:$K$1001,MATCH(ROWS($J$2:J994),$J$2:$J$1001,0),1)&gt;=100000,INDEX($Q$1005:$U$1005,1,MATCH(COLUMNS($Q$1006:Q1006),$Q$1006:$U$1006,0))&gt;=100000), " ",IF(INDEX($Q$2:$U$1001,MATCH(ROWS($J$2:J994),$J$2:$J$1001,0),MATCH(COLUMNS($Q$1006:Q1006),$Q$1006:$U$1006,0)), HYPERLINK("#",""), HYPERLINK(CONCATENATE("#Metadata!", ADDRESS(INDEX($L$2:$L$1001,MATCH(ROWS($J$2:J994),$J$2:$J$1001,0),0), INDEX($Q$1004:$U$1004,1,MATCH(COLUMNS($Q$1006:Q1006),$Q$1006:$U$1006,0)))),"Fix")))</f>
        <v xml:space="preserve"> </v>
      </c>
      <c r="C994" s="3" t="str">
        <f ca="1">IF(OR(INDEX($K$2:$K$1001,MATCH(ROWS($J$2:J994),$J$2:$J$1001,0),1)&gt;=100000,INDEX($Q$1005:$U$1005,1,MATCH(COLUMNS($Q$1006:R1006),$Q$1006:$U$1006,0))&gt;=100000), " ",IF(INDEX($Q$2:$U$1001,MATCH(ROWS($J$2:J994),$J$2:$J$1001,0),MATCH(COLUMNS($Q$1006:R1006),$Q$1006:$U$1006,0)), HYPERLINK("#",""), HYPERLINK(CONCATENATE("#Metadata!", ADDRESS(INDEX($L$2:$L$1001,MATCH(ROWS($J$2:J994),$J$2:$J$1001,0),0), INDEX($Q$1004:$U$1004,1,MATCH(COLUMNS($Q$1006:R1006),$Q$1006:$U$1006,0)))),"Fix")))</f>
        <v xml:space="preserve"> </v>
      </c>
      <c r="D994" s="3" t="str">
        <f ca="1">IF(OR(INDEX($K$2:$K$1001,MATCH(ROWS($J$2:J994),$J$2:$J$1001,0),1)&gt;=100000,INDEX($Q$1005:$U$1005,1,MATCH(COLUMNS($Q$1006:S1006),$Q$1006:$U$1006,0))&gt;=100000), " ",IF(INDEX($Q$2:$U$1001,MATCH(ROWS($J$2:J994),$J$2:$J$1001,0),MATCH(COLUMNS($Q$1006:S1006),$Q$1006:$U$1006,0)), HYPERLINK("#",""), HYPERLINK(CONCATENATE("#Metadata!", ADDRESS(INDEX($L$2:$L$1001,MATCH(ROWS($J$2:J994),$J$2:$J$1001,0),0), INDEX($Q$1004:$U$1004,1,MATCH(COLUMNS($Q$1006:S1006),$Q$1006:$U$1006,0)))),"Fix")))</f>
        <v xml:space="preserve"> </v>
      </c>
      <c r="E994" s="3" t="str">
        <f ca="1">IF(OR(INDEX($K$2:$K$1001,MATCH(ROWS($J$2:J994),$J$2:$J$1001,0),1)&gt;=100000,INDEX($Q$1005:$U$1005,1,MATCH(COLUMNS($Q$1006:T1006),$Q$1006:$U$1006,0))&gt;=100000), " ",IF(INDEX($Q$2:$U$1001,MATCH(ROWS($J$2:J994),$J$2:$J$1001,0),MATCH(COLUMNS($Q$1006:T1006),$Q$1006:$U$1006,0)), HYPERLINK("#",""), HYPERLINK(CONCATENATE("#Metadata!", ADDRESS(INDEX($L$2:$L$1001,MATCH(ROWS($J$2:J994),$J$2:$J$1001,0),0), INDEX($Q$1004:$U$1004,1,MATCH(COLUMNS($Q$1006:T1006),$Q$1006:$U$1006,0)))),"Fix")))</f>
        <v xml:space="preserve"> </v>
      </c>
      <c r="F994" s="3" t="str">
        <f ca="1">IF(OR(INDEX($K$2:$K$1001,MATCH(ROWS($J$2:J994),$J$2:$J$1001,0),1)&gt;=100000,INDEX($Q$1005:$U$1005,1,MATCH(COLUMNS($Q$1006:U1006),$Q$1006:$U$1006,0))&gt;=100000), " ",IF(INDEX($Q$2:$U$1001,MATCH(ROWS($J$2:J994),$J$2:$J$1001,0),MATCH(COLUMNS($Q$1006:U1006),$Q$1006:$U$1006,0)), HYPERLINK("#",""), HYPERLINK(CONCATENATE("#Metadata!", ADDRESS(INDEX($L$2:$L$1001,MATCH(ROWS($J$2:J994),$J$2:$J$1001,0),0), INDEX($Q$1004:$U$1004,1,MATCH(COLUMNS($Q$1006:U1006),$Q$1006:$U$1006,0)))),"Fix")))</f>
        <v xml:space="preserve"> </v>
      </c>
      <c r="J994">
        <f ca="1"/>
        <v>993</v>
      </c>
      <c r="K994">
        <v>100994</v>
      </c>
      <c r="L994">
        <v>994</v>
      </c>
      <c r="M994" t="b">
        <f t="shared" si="15"/>
        <v>1</v>
      </c>
      <c r="N994" t="b">
        <f>COUNTBLANK(Metadata!B994:F994)=COLUMNS(Metadata!B994:F994)</f>
        <v>1</v>
      </c>
      <c r="O994" t="str">
        <v/>
      </c>
      <c r="Q994" t="b">
        <f ca="1"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R994" t="b">
        <f>IF(Metadata!C994="",FALSE,TRUE)</f>
        <v>0</v>
      </c>
      <c r="S994" t="b">
        <f>OR(AND(IF(Metadata!D994="",FALSE,TRUE),EXACT(Metadata!D994,"missing: not collected")),AND(IF(Metadata!D994="",FALSE,TRUE),OR(EXACT(Metadata!D994,"t"),EXACT(Metadata!D994,"f"))))</f>
        <v>0</v>
      </c>
      <c r="T994" t="b">
        <f>AND(IF(Metadata!E994="",FALSE,TRUE),OR(EXACT(Metadata!E994,"a"),EXACT(Metadata!E994,"b")))</f>
        <v>0</v>
      </c>
      <c r="U994" t="b">
        <f>OR(AND(IF(Metadata!F994="",FALSE,TRUE),OR(EXACT(Metadata!F994,"missing: not collected"),EXACT(Metadata!F994,"missing: not provided"))),AND(IF(Metadata!F994="",FALSE,TRUE),OR(EXACT(Metadata!F994,"lo"),EXACT(Metadata!F994,"med"),EXACT(Metadata!F994,"hi"))))</f>
        <v>0</v>
      </c>
    </row>
    <row r="995" spans="1:21" x14ac:dyDescent="0.2">
      <c r="A995" s="4" t="str">
        <f ca="1">IF(B995=" "," ",HYPERLINK(CONCATENATE("#metadata!",ADDRESS(INDEX($L$2:$L$1001,MATCH(ROWS($J$2:J995),$J$2:$J$1001,0),0),1)),INDEX($O$2:$O$1001,MATCH(ROWS($J$2:J995),$J$2:$J$1001,0),0)))</f>
        <v xml:space="preserve"> </v>
      </c>
      <c r="B995" s="3" t="str">
        <f ca="1">IF(OR(INDEX($K$2:$K$1001,MATCH(ROWS($J$2:J995),$J$2:$J$1001,0),1)&gt;=100000,INDEX($Q$1005:$U$1005,1,MATCH(COLUMNS($Q$1006:Q1006),$Q$1006:$U$1006,0))&gt;=100000), " ",IF(INDEX($Q$2:$U$1001,MATCH(ROWS($J$2:J995),$J$2:$J$1001,0),MATCH(COLUMNS($Q$1006:Q1006),$Q$1006:$U$1006,0)), HYPERLINK("#",""), HYPERLINK(CONCATENATE("#Metadata!", ADDRESS(INDEX($L$2:$L$1001,MATCH(ROWS($J$2:J995),$J$2:$J$1001,0),0), INDEX($Q$1004:$U$1004,1,MATCH(COLUMNS($Q$1006:Q1006),$Q$1006:$U$1006,0)))),"Fix")))</f>
        <v xml:space="preserve"> </v>
      </c>
      <c r="C995" s="3" t="str">
        <f ca="1">IF(OR(INDEX($K$2:$K$1001,MATCH(ROWS($J$2:J995),$J$2:$J$1001,0),1)&gt;=100000,INDEX($Q$1005:$U$1005,1,MATCH(COLUMNS($Q$1006:R1006),$Q$1006:$U$1006,0))&gt;=100000), " ",IF(INDEX($Q$2:$U$1001,MATCH(ROWS($J$2:J995),$J$2:$J$1001,0),MATCH(COLUMNS($Q$1006:R1006),$Q$1006:$U$1006,0)), HYPERLINK("#",""), HYPERLINK(CONCATENATE("#Metadata!", ADDRESS(INDEX($L$2:$L$1001,MATCH(ROWS($J$2:J995),$J$2:$J$1001,0),0), INDEX($Q$1004:$U$1004,1,MATCH(COLUMNS($Q$1006:R1006),$Q$1006:$U$1006,0)))),"Fix")))</f>
        <v xml:space="preserve"> </v>
      </c>
      <c r="D995" s="3" t="str">
        <f ca="1">IF(OR(INDEX($K$2:$K$1001,MATCH(ROWS($J$2:J995),$J$2:$J$1001,0),1)&gt;=100000,INDEX($Q$1005:$U$1005,1,MATCH(COLUMNS($Q$1006:S1006),$Q$1006:$U$1006,0))&gt;=100000), " ",IF(INDEX($Q$2:$U$1001,MATCH(ROWS($J$2:J995),$J$2:$J$1001,0),MATCH(COLUMNS($Q$1006:S1006),$Q$1006:$U$1006,0)), HYPERLINK("#",""), HYPERLINK(CONCATENATE("#Metadata!", ADDRESS(INDEX($L$2:$L$1001,MATCH(ROWS($J$2:J995),$J$2:$J$1001,0),0), INDEX($Q$1004:$U$1004,1,MATCH(COLUMNS($Q$1006:S1006),$Q$1006:$U$1006,0)))),"Fix")))</f>
        <v xml:space="preserve"> </v>
      </c>
      <c r="E995" s="3" t="str">
        <f ca="1">IF(OR(INDEX($K$2:$K$1001,MATCH(ROWS($J$2:J995),$J$2:$J$1001,0),1)&gt;=100000,INDEX($Q$1005:$U$1005,1,MATCH(COLUMNS($Q$1006:T1006),$Q$1006:$U$1006,0))&gt;=100000), " ",IF(INDEX($Q$2:$U$1001,MATCH(ROWS($J$2:J995),$J$2:$J$1001,0),MATCH(COLUMNS($Q$1006:T1006),$Q$1006:$U$1006,0)), HYPERLINK("#",""), HYPERLINK(CONCATENATE("#Metadata!", ADDRESS(INDEX($L$2:$L$1001,MATCH(ROWS($J$2:J995),$J$2:$J$1001,0),0), INDEX($Q$1004:$U$1004,1,MATCH(COLUMNS($Q$1006:T1006),$Q$1006:$U$1006,0)))),"Fix")))</f>
        <v xml:space="preserve"> </v>
      </c>
      <c r="F995" s="3" t="str">
        <f ca="1">IF(OR(INDEX($K$2:$K$1001,MATCH(ROWS($J$2:J995),$J$2:$J$1001,0),1)&gt;=100000,INDEX($Q$1005:$U$1005,1,MATCH(COLUMNS($Q$1006:U1006),$Q$1006:$U$1006,0))&gt;=100000), " ",IF(INDEX($Q$2:$U$1001,MATCH(ROWS($J$2:J995),$J$2:$J$1001,0),MATCH(COLUMNS($Q$1006:U1006),$Q$1006:$U$1006,0)), HYPERLINK("#",""), HYPERLINK(CONCATENATE("#Metadata!", ADDRESS(INDEX($L$2:$L$1001,MATCH(ROWS($J$2:J995),$J$2:$J$1001,0),0), INDEX($Q$1004:$U$1004,1,MATCH(COLUMNS($Q$1006:U1006),$Q$1006:$U$1006,0)))),"Fix")))</f>
        <v xml:space="preserve"> </v>
      </c>
      <c r="J995">
        <f ca="1"/>
        <v>994</v>
      </c>
      <c r="K995">
        <v>100995</v>
      </c>
      <c r="L995">
        <v>995</v>
      </c>
      <c r="M995" t="b">
        <f t="shared" si="15"/>
        <v>1</v>
      </c>
      <c r="N995" t="b">
        <f>COUNTBLANK(Metadata!B995:F995)=COLUMNS(Metadata!B995:F995)</f>
        <v>1</v>
      </c>
      <c r="O995" t="str">
        <v/>
      </c>
      <c r="Q995" t="b">
        <f ca="1"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R995" t="b">
        <f>IF(Metadata!C995="",FALSE,TRUE)</f>
        <v>0</v>
      </c>
      <c r="S995" t="b">
        <f>OR(AND(IF(Metadata!D995="",FALSE,TRUE),EXACT(Metadata!D995,"missing: not collected")),AND(IF(Metadata!D995="",FALSE,TRUE),OR(EXACT(Metadata!D995,"t"),EXACT(Metadata!D995,"f"))))</f>
        <v>0</v>
      </c>
      <c r="T995" t="b">
        <f>AND(IF(Metadata!E995="",FALSE,TRUE),OR(EXACT(Metadata!E995,"a"),EXACT(Metadata!E995,"b")))</f>
        <v>0</v>
      </c>
      <c r="U995" t="b">
        <f>OR(AND(IF(Metadata!F995="",FALSE,TRUE),OR(EXACT(Metadata!F995,"missing: not collected"),EXACT(Metadata!F995,"missing: not provided"))),AND(IF(Metadata!F995="",FALSE,TRUE),OR(EXACT(Metadata!F995,"lo"),EXACT(Metadata!F995,"med"),EXACT(Metadata!F995,"hi"))))</f>
        <v>0</v>
      </c>
    </row>
    <row r="996" spans="1:21" x14ac:dyDescent="0.2">
      <c r="A996" s="4" t="str">
        <f ca="1">IF(B996=" "," ",HYPERLINK(CONCATENATE("#metadata!",ADDRESS(INDEX($L$2:$L$1001,MATCH(ROWS($J$2:J996),$J$2:$J$1001,0),0),1)),INDEX($O$2:$O$1001,MATCH(ROWS($J$2:J996),$J$2:$J$1001,0),0)))</f>
        <v xml:space="preserve"> </v>
      </c>
      <c r="B996" s="3" t="str">
        <f ca="1">IF(OR(INDEX($K$2:$K$1001,MATCH(ROWS($J$2:J996),$J$2:$J$1001,0),1)&gt;=100000,INDEX($Q$1005:$U$1005,1,MATCH(COLUMNS($Q$1006:Q1006),$Q$1006:$U$1006,0))&gt;=100000), " ",IF(INDEX($Q$2:$U$1001,MATCH(ROWS($J$2:J996),$J$2:$J$1001,0),MATCH(COLUMNS($Q$1006:Q1006),$Q$1006:$U$1006,0)), HYPERLINK("#",""), HYPERLINK(CONCATENATE("#Metadata!", ADDRESS(INDEX($L$2:$L$1001,MATCH(ROWS($J$2:J996),$J$2:$J$1001,0),0), INDEX($Q$1004:$U$1004,1,MATCH(COLUMNS($Q$1006:Q1006),$Q$1006:$U$1006,0)))),"Fix")))</f>
        <v xml:space="preserve"> </v>
      </c>
      <c r="C996" s="3" t="str">
        <f ca="1">IF(OR(INDEX($K$2:$K$1001,MATCH(ROWS($J$2:J996),$J$2:$J$1001,0),1)&gt;=100000,INDEX($Q$1005:$U$1005,1,MATCH(COLUMNS($Q$1006:R1006),$Q$1006:$U$1006,0))&gt;=100000), " ",IF(INDEX($Q$2:$U$1001,MATCH(ROWS($J$2:J996),$J$2:$J$1001,0),MATCH(COLUMNS($Q$1006:R1006),$Q$1006:$U$1006,0)), HYPERLINK("#",""), HYPERLINK(CONCATENATE("#Metadata!", ADDRESS(INDEX($L$2:$L$1001,MATCH(ROWS($J$2:J996),$J$2:$J$1001,0),0), INDEX($Q$1004:$U$1004,1,MATCH(COLUMNS($Q$1006:R1006),$Q$1006:$U$1006,0)))),"Fix")))</f>
        <v xml:space="preserve"> </v>
      </c>
      <c r="D996" s="3" t="str">
        <f ca="1">IF(OR(INDEX($K$2:$K$1001,MATCH(ROWS($J$2:J996),$J$2:$J$1001,0),1)&gt;=100000,INDEX($Q$1005:$U$1005,1,MATCH(COLUMNS($Q$1006:S1006),$Q$1006:$U$1006,0))&gt;=100000), " ",IF(INDEX($Q$2:$U$1001,MATCH(ROWS($J$2:J996),$J$2:$J$1001,0),MATCH(COLUMNS($Q$1006:S1006),$Q$1006:$U$1006,0)), HYPERLINK("#",""), HYPERLINK(CONCATENATE("#Metadata!", ADDRESS(INDEX($L$2:$L$1001,MATCH(ROWS($J$2:J996),$J$2:$J$1001,0),0), INDEX($Q$1004:$U$1004,1,MATCH(COLUMNS($Q$1006:S1006),$Q$1006:$U$1006,0)))),"Fix")))</f>
        <v xml:space="preserve"> </v>
      </c>
      <c r="E996" s="3" t="str">
        <f ca="1">IF(OR(INDEX($K$2:$K$1001,MATCH(ROWS($J$2:J996),$J$2:$J$1001,0),1)&gt;=100000,INDEX($Q$1005:$U$1005,1,MATCH(COLUMNS($Q$1006:T1006),$Q$1006:$U$1006,0))&gt;=100000), " ",IF(INDEX($Q$2:$U$1001,MATCH(ROWS($J$2:J996),$J$2:$J$1001,0),MATCH(COLUMNS($Q$1006:T1006),$Q$1006:$U$1006,0)), HYPERLINK("#",""), HYPERLINK(CONCATENATE("#Metadata!", ADDRESS(INDEX($L$2:$L$1001,MATCH(ROWS($J$2:J996),$J$2:$J$1001,0),0), INDEX($Q$1004:$U$1004,1,MATCH(COLUMNS($Q$1006:T1006),$Q$1006:$U$1006,0)))),"Fix")))</f>
        <v xml:space="preserve"> </v>
      </c>
      <c r="F996" s="3" t="str">
        <f ca="1">IF(OR(INDEX($K$2:$K$1001,MATCH(ROWS($J$2:J996),$J$2:$J$1001,0),1)&gt;=100000,INDEX($Q$1005:$U$1005,1,MATCH(COLUMNS($Q$1006:U1006),$Q$1006:$U$1006,0))&gt;=100000), " ",IF(INDEX($Q$2:$U$1001,MATCH(ROWS($J$2:J996),$J$2:$J$1001,0),MATCH(COLUMNS($Q$1006:U1006),$Q$1006:$U$1006,0)), HYPERLINK("#",""), HYPERLINK(CONCATENATE("#Metadata!", ADDRESS(INDEX($L$2:$L$1001,MATCH(ROWS($J$2:J996),$J$2:$J$1001,0),0), INDEX($Q$1004:$U$1004,1,MATCH(COLUMNS($Q$1006:U1006),$Q$1006:$U$1006,0)))),"Fix")))</f>
        <v xml:space="preserve"> </v>
      </c>
      <c r="J996">
        <f ca="1"/>
        <v>995</v>
      </c>
      <c r="K996">
        <v>100996</v>
      </c>
      <c r="L996">
        <v>996</v>
      </c>
      <c r="M996" t="b">
        <f t="shared" si="15"/>
        <v>1</v>
      </c>
      <c r="N996" t="b">
        <f>COUNTBLANK(Metadata!B996:F996)=COLUMNS(Metadata!B996:F996)</f>
        <v>1</v>
      </c>
      <c r="O996" t="str">
        <v/>
      </c>
      <c r="Q996" t="b">
        <f ca="1"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R996" t="b">
        <f>IF(Metadata!C996="",FALSE,TRUE)</f>
        <v>0</v>
      </c>
      <c r="S996" t="b">
        <f>OR(AND(IF(Metadata!D996="",FALSE,TRUE),EXACT(Metadata!D996,"missing: not collected")),AND(IF(Metadata!D996="",FALSE,TRUE),OR(EXACT(Metadata!D996,"t"),EXACT(Metadata!D996,"f"))))</f>
        <v>0</v>
      </c>
      <c r="T996" t="b">
        <f>AND(IF(Metadata!E996="",FALSE,TRUE),OR(EXACT(Metadata!E996,"a"),EXACT(Metadata!E996,"b")))</f>
        <v>0</v>
      </c>
      <c r="U996" t="b">
        <f>OR(AND(IF(Metadata!F996="",FALSE,TRUE),OR(EXACT(Metadata!F996,"missing: not collected"),EXACT(Metadata!F996,"missing: not provided"))),AND(IF(Metadata!F996="",FALSE,TRUE),OR(EXACT(Metadata!F996,"lo"),EXACT(Metadata!F996,"med"),EXACT(Metadata!F996,"hi"))))</f>
        <v>0</v>
      </c>
    </row>
    <row r="997" spans="1:21" x14ac:dyDescent="0.2">
      <c r="A997" s="4" t="str">
        <f ca="1">IF(B997=" "," ",HYPERLINK(CONCATENATE("#metadata!",ADDRESS(INDEX($L$2:$L$1001,MATCH(ROWS($J$2:J997),$J$2:$J$1001,0),0),1)),INDEX($O$2:$O$1001,MATCH(ROWS($J$2:J997),$J$2:$J$1001,0),0)))</f>
        <v xml:space="preserve"> </v>
      </c>
      <c r="B997" s="3" t="str">
        <f ca="1">IF(OR(INDEX($K$2:$K$1001,MATCH(ROWS($J$2:J997),$J$2:$J$1001,0),1)&gt;=100000,INDEX($Q$1005:$U$1005,1,MATCH(COLUMNS($Q$1006:Q1006),$Q$1006:$U$1006,0))&gt;=100000), " ",IF(INDEX($Q$2:$U$1001,MATCH(ROWS($J$2:J997),$J$2:$J$1001,0),MATCH(COLUMNS($Q$1006:Q1006),$Q$1006:$U$1006,0)), HYPERLINK("#",""), HYPERLINK(CONCATENATE("#Metadata!", ADDRESS(INDEX($L$2:$L$1001,MATCH(ROWS($J$2:J997),$J$2:$J$1001,0),0), INDEX($Q$1004:$U$1004,1,MATCH(COLUMNS($Q$1006:Q1006),$Q$1006:$U$1006,0)))),"Fix")))</f>
        <v xml:space="preserve"> </v>
      </c>
      <c r="C997" s="3" t="str">
        <f ca="1">IF(OR(INDEX($K$2:$K$1001,MATCH(ROWS($J$2:J997),$J$2:$J$1001,0),1)&gt;=100000,INDEX($Q$1005:$U$1005,1,MATCH(COLUMNS($Q$1006:R1006),$Q$1006:$U$1006,0))&gt;=100000), " ",IF(INDEX($Q$2:$U$1001,MATCH(ROWS($J$2:J997),$J$2:$J$1001,0),MATCH(COLUMNS($Q$1006:R1006),$Q$1006:$U$1006,0)), HYPERLINK("#",""), HYPERLINK(CONCATENATE("#Metadata!", ADDRESS(INDEX($L$2:$L$1001,MATCH(ROWS($J$2:J997),$J$2:$J$1001,0),0), INDEX($Q$1004:$U$1004,1,MATCH(COLUMNS($Q$1006:R1006),$Q$1006:$U$1006,0)))),"Fix")))</f>
        <v xml:space="preserve"> </v>
      </c>
      <c r="D997" s="3" t="str">
        <f ca="1">IF(OR(INDEX($K$2:$K$1001,MATCH(ROWS($J$2:J997),$J$2:$J$1001,0),1)&gt;=100000,INDEX($Q$1005:$U$1005,1,MATCH(COLUMNS($Q$1006:S1006),$Q$1006:$U$1006,0))&gt;=100000), " ",IF(INDEX($Q$2:$U$1001,MATCH(ROWS($J$2:J997),$J$2:$J$1001,0),MATCH(COLUMNS($Q$1006:S1006),$Q$1006:$U$1006,0)), HYPERLINK("#",""), HYPERLINK(CONCATENATE("#Metadata!", ADDRESS(INDEX($L$2:$L$1001,MATCH(ROWS($J$2:J997),$J$2:$J$1001,0),0), INDEX($Q$1004:$U$1004,1,MATCH(COLUMNS($Q$1006:S1006),$Q$1006:$U$1006,0)))),"Fix")))</f>
        <v xml:space="preserve"> </v>
      </c>
      <c r="E997" s="3" t="str">
        <f ca="1">IF(OR(INDEX($K$2:$K$1001,MATCH(ROWS($J$2:J997),$J$2:$J$1001,0),1)&gt;=100000,INDEX($Q$1005:$U$1005,1,MATCH(COLUMNS($Q$1006:T1006),$Q$1006:$U$1006,0))&gt;=100000), " ",IF(INDEX($Q$2:$U$1001,MATCH(ROWS($J$2:J997),$J$2:$J$1001,0),MATCH(COLUMNS($Q$1006:T1006),$Q$1006:$U$1006,0)), HYPERLINK("#",""), HYPERLINK(CONCATENATE("#Metadata!", ADDRESS(INDEX($L$2:$L$1001,MATCH(ROWS($J$2:J997),$J$2:$J$1001,0),0), INDEX($Q$1004:$U$1004,1,MATCH(COLUMNS($Q$1006:T1006),$Q$1006:$U$1006,0)))),"Fix")))</f>
        <v xml:space="preserve"> </v>
      </c>
      <c r="F997" s="3" t="str">
        <f ca="1">IF(OR(INDEX($K$2:$K$1001,MATCH(ROWS($J$2:J997),$J$2:$J$1001,0),1)&gt;=100000,INDEX($Q$1005:$U$1005,1,MATCH(COLUMNS($Q$1006:U1006),$Q$1006:$U$1006,0))&gt;=100000), " ",IF(INDEX($Q$2:$U$1001,MATCH(ROWS($J$2:J997),$J$2:$J$1001,0),MATCH(COLUMNS($Q$1006:U1006),$Q$1006:$U$1006,0)), HYPERLINK("#",""), HYPERLINK(CONCATENATE("#Metadata!", ADDRESS(INDEX($L$2:$L$1001,MATCH(ROWS($J$2:J997),$J$2:$J$1001,0),0), INDEX($Q$1004:$U$1004,1,MATCH(COLUMNS($Q$1006:U1006),$Q$1006:$U$1006,0)))),"Fix")))</f>
        <v xml:space="preserve"> </v>
      </c>
      <c r="J997">
        <f ca="1"/>
        <v>996</v>
      </c>
      <c r="K997">
        <v>100997</v>
      </c>
      <c r="L997">
        <v>997</v>
      </c>
      <c r="M997" t="b">
        <f t="shared" si="15"/>
        <v>1</v>
      </c>
      <c r="N997" t="b">
        <f>COUNTBLANK(Metadata!B997:F997)=COLUMNS(Metadata!B997:F997)</f>
        <v>1</v>
      </c>
      <c r="O997" t="str">
        <v/>
      </c>
      <c r="Q997" t="b">
        <f ca="1"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R997" t="b">
        <f>IF(Metadata!C997="",FALSE,TRUE)</f>
        <v>0</v>
      </c>
      <c r="S997" t="b">
        <f>OR(AND(IF(Metadata!D997="",FALSE,TRUE),EXACT(Metadata!D997,"missing: not collected")),AND(IF(Metadata!D997="",FALSE,TRUE),OR(EXACT(Metadata!D997,"t"),EXACT(Metadata!D997,"f"))))</f>
        <v>0</v>
      </c>
      <c r="T997" t="b">
        <f>AND(IF(Metadata!E997="",FALSE,TRUE),OR(EXACT(Metadata!E997,"a"),EXACT(Metadata!E997,"b")))</f>
        <v>0</v>
      </c>
      <c r="U997" t="b">
        <f>OR(AND(IF(Metadata!F997="",FALSE,TRUE),OR(EXACT(Metadata!F997,"missing: not collected"),EXACT(Metadata!F997,"missing: not provided"))),AND(IF(Metadata!F997="",FALSE,TRUE),OR(EXACT(Metadata!F997,"lo"),EXACT(Metadata!F997,"med"),EXACT(Metadata!F997,"hi"))))</f>
        <v>0</v>
      </c>
    </row>
    <row r="998" spans="1:21" x14ac:dyDescent="0.2">
      <c r="A998" s="4" t="str">
        <f ca="1">IF(B998=" "," ",HYPERLINK(CONCATENATE("#metadata!",ADDRESS(INDEX($L$2:$L$1001,MATCH(ROWS($J$2:J998),$J$2:$J$1001,0),0),1)),INDEX($O$2:$O$1001,MATCH(ROWS($J$2:J998),$J$2:$J$1001,0),0)))</f>
        <v xml:space="preserve"> </v>
      </c>
      <c r="B998" s="3" t="str">
        <f ca="1">IF(OR(INDEX($K$2:$K$1001,MATCH(ROWS($J$2:J998),$J$2:$J$1001,0),1)&gt;=100000,INDEX($Q$1005:$U$1005,1,MATCH(COLUMNS($Q$1006:Q1006),$Q$1006:$U$1006,0))&gt;=100000), " ",IF(INDEX($Q$2:$U$1001,MATCH(ROWS($J$2:J998),$J$2:$J$1001,0),MATCH(COLUMNS($Q$1006:Q1006),$Q$1006:$U$1006,0)), HYPERLINK("#",""), HYPERLINK(CONCATENATE("#Metadata!", ADDRESS(INDEX($L$2:$L$1001,MATCH(ROWS($J$2:J998),$J$2:$J$1001,0),0), INDEX($Q$1004:$U$1004,1,MATCH(COLUMNS($Q$1006:Q1006),$Q$1006:$U$1006,0)))),"Fix")))</f>
        <v xml:space="preserve"> </v>
      </c>
      <c r="C998" s="3" t="str">
        <f ca="1">IF(OR(INDEX($K$2:$K$1001,MATCH(ROWS($J$2:J998),$J$2:$J$1001,0),1)&gt;=100000,INDEX($Q$1005:$U$1005,1,MATCH(COLUMNS($Q$1006:R1006),$Q$1006:$U$1006,0))&gt;=100000), " ",IF(INDEX($Q$2:$U$1001,MATCH(ROWS($J$2:J998),$J$2:$J$1001,0),MATCH(COLUMNS($Q$1006:R1006),$Q$1006:$U$1006,0)), HYPERLINK("#",""), HYPERLINK(CONCATENATE("#Metadata!", ADDRESS(INDEX($L$2:$L$1001,MATCH(ROWS($J$2:J998),$J$2:$J$1001,0),0), INDEX($Q$1004:$U$1004,1,MATCH(COLUMNS($Q$1006:R1006),$Q$1006:$U$1006,0)))),"Fix")))</f>
        <v xml:space="preserve"> </v>
      </c>
      <c r="D998" s="3" t="str">
        <f ca="1">IF(OR(INDEX($K$2:$K$1001,MATCH(ROWS($J$2:J998),$J$2:$J$1001,0),1)&gt;=100000,INDEX($Q$1005:$U$1005,1,MATCH(COLUMNS($Q$1006:S1006),$Q$1006:$U$1006,0))&gt;=100000), " ",IF(INDEX($Q$2:$U$1001,MATCH(ROWS($J$2:J998),$J$2:$J$1001,0),MATCH(COLUMNS($Q$1006:S1006),$Q$1006:$U$1006,0)), HYPERLINK("#",""), HYPERLINK(CONCATENATE("#Metadata!", ADDRESS(INDEX($L$2:$L$1001,MATCH(ROWS($J$2:J998),$J$2:$J$1001,0),0), INDEX($Q$1004:$U$1004,1,MATCH(COLUMNS($Q$1006:S1006),$Q$1006:$U$1006,0)))),"Fix")))</f>
        <v xml:space="preserve"> </v>
      </c>
      <c r="E998" s="3" t="str">
        <f ca="1">IF(OR(INDEX($K$2:$K$1001,MATCH(ROWS($J$2:J998),$J$2:$J$1001,0),1)&gt;=100000,INDEX($Q$1005:$U$1005,1,MATCH(COLUMNS($Q$1006:T1006),$Q$1006:$U$1006,0))&gt;=100000), " ",IF(INDEX($Q$2:$U$1001,MATCH(ROWS($J$2:J998),$J$2:$J$1001,0),MATCH(COLUMNS($Q$1006:T1006),$Q$1006:$U$1006,0)), HYPERLINK("#",""), HYPERLINK(CONCATENATE("#Metadata!", ADDRESS(INDEX($L$2:$L$1001,MATCH(ROWS($J$2:J998),$J$2:$J$1001,0),0), INDEX($Q$1004:$U$1004,1,MATCH(COLUMNS($Q$1006:T1006),$Q$1006:$U$1006,0)))),"Fix")))</f>
        <v xml:space="preserve"> </v>
      </c>
      <c r="F998" s="3" t="str">
        <f ca="1">IF(OR(INDEX($K$2:$K$1001,MATCH(ROWS($J$2:J998),$J$2:$J$1001,0),1)&gt;=100000,INDEX($Q$1005:$U$1005,1,MATCH(COLUMNS($Q$1006:U1006),$Q$1006:$U$1006,0))&gt;=100000), " ",IF(INDEX($Q$2:$U$1001,MATCH(ROWS($J$2:J998),$J$2:$J$1001,0),MATCH(COLUMNS($Q$1006:U1006),$Q$1006:$U$1006,0)), HYPERLINK("#",""), HYPERLINK(CONCATENATE("#Metadata!", ADDRESS(INDEX($L$2:$L$1001,MATCH(ROWS($J$2:J998),$J$2:$J$1001,0),0), INDEX($Q$1004:$U$1004,1,MATCH(COLUMNS($Q$1006:U1006),$Q$1006:$U$1006,0)))),"Fix")))</f>
        <v xml:space="preserve"> </v>
      </c>
      <c r="J998">
        <f ca="1"/>
        <v>997</v>
      </c>
      <c r="K998">
        <v>100998</v>
      </c>
      <c r="L998">
        <v>998</v>
      </c>
      <c r="M998" t="b">
        <f t="shared" si="15"/>
        <v>1</v>
      </c>
      <c r="N998" t="b">
        <f>COUNTBLANK(Metadata!B998:F998)=COLUMNS(Metadata!B998:F998)</f>
        <v>1</v>
      </c>
      <c r="O998" t="str">
        <v/>
      </c>
      <c r="Q998" t="b">
        <f ca="1"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R998" t="b">
        <f>IF(Metadata!C998="",FALSE,TRUE)</f>
        <v>0</v>
      </c>
      <c r="S998" t="b">
        <f>OR(AND(IF(Metadata!D998="",FALSE,TRUE),EXACT(Metadata!D998,"missing: not collected")),AND(IF(Metadata!D998="",FALSE,TRUE),OR(EXACT(Metadata!D998,"t"),EXACT(Metadata!D998,"f"))))</f>
        <v>0</v>
      </c>
      <c r="T998" t="b">
        <f>AND(IF(Metadata!E998="",FALSE,TRUE),OR(EXACT(Metadata!E998,"a"),EXACT(Metadata!E998,"b")))</f>
        <v>0</v>
      </c>
      <c r="U998" t="b">
        <f>OR(AND(IF(Metadata!F998="",FALSE,TRUE),OR(EXACT(Metadata!F998,"missing: not collected"),EXACT(Metadata!F998,"missing: not provided"))),AND(IF(Metadata!F998="",FALSE,TRUE),OR(EXACT(Metadata!F998,"lo"),EXACT(Metadata!F998,"med"),EXACT(Metadata!F998,"hi"))))</f>
        <v>0</v>
      </c>
    </row>
    <row r="999" spans="1:21" x14ac:dyDescent="0.2">
      <c r="A999" s="4" t="str">
        <f ca="1">IF(B999=" "," ",HYPERLINK(CONCATENATE("#metadata!",ADDRESS(INDEX($L$2:$L$1001,MATCH(ROWS($J$2:J999),$J$2:$J$1001,0),0),1)),INDEX($O$2:$O$1001,MATCH(ROWS($J$2:J999),$J$2:$J$1001,0),0)))</f>
        <v xml:space="preserve"> </v>
      </c>
      <c r="B999" s="3" t="str">
        <f ca="1">IF(OR(INDEX($K$2:$K$1001,MATCH(ROWS($J$2:J999),$J$2:$J$1001,0),1)&gt;=100000,INDEX($Q$1005:$U$1005,1,MATCH(COLUMNS($Q$1006:Q1006),$Q$1006:$U$1006,0))&gt;=100000), " ",IF(INDEX($Q$2:$U$1001,MATCH(ROWS($J$2:J999),$J$2:$J$1001,0),MATCH(COLUMNS($Q$1006:Q1006),$Q$1006:$U$1006,0)), HYPERLINK("#",""), HYPERLINK(CONCATENATE("#Metadata!", ADDRESS(INDEX($L$2:$L$1001,MATCH(ROWS($J$2:J999),$J$2:$J$1001,0),0), INDEX($Q$1004:$U$1004,1,MATCH(COLUMNS($Q$1006:Q1006),$Q$1006:$U$1006,0)))),"Fix")))</f>
        <v xml:space="preserve"> </v>
      </c>
      <c r="C999" s="3" t="str">
        <f ca="1">IF(OR(INDEX($K$2:$K$1001,MATCH(ROWS($J$2:J999),$J$2:$J$1001,0),1)&gt;=100000,INDEX($Q$1005:$U$1005,1,MATCH(COLUMNS($Q$1006:R1006),$Q$1006:$U$1006,0))&gt;=100000), " ",IF(INDEX($Q$2:$U$1001,MATCH(ROWS($J$2:J999),$J$2:$J$1001,0),MATCH(COLUMNS($Q$1006:R1006),$Q$1006:$U$1006,0)), HYPERLINK("#",""), HYPERLINK(CONCATENATE("#Metadata!", ADDRESS(INDEX($L$2:$L$1001,MATCH(ROWS($J$2:J999),$J$2:$J$1001,0),0), INDEX($Q$1004:$U$1004,1,MATCH(COLUMNS($Q$1006:R1006),$Q$1006:$U$1006,0)))),"Fix")))</f>
        <v xml:space="preserve"> </v>
      </c>
      <c r="D999" s="3" t="str">
        <f ca="1">IF(OR(INDEX($K$2:$K$1001,MATCH(ROWS($J$2:J999),$J$2:$J$1001,0),1)&gt;=100000,INDEX($Q$1005:$U$1005,1,MATCH(COLUMNS($Q$1006:S1006),$Q$1006:$U$1006,0))&gt;=100000), " ",IF(INDEX($Q$2:$U$1001,MATCH(ROWS($J$2:J999),$J$2:$J$1001,0),MATCH(COLUMNS($Q$1006:S1006),$Q$1006:$U$1006,0)), HYPERLINK("#",""), HYPERLINK(CONCATENATE("#Metadata!", ADDRESS(INDEX($L$2:$L$1001,MATCH(ROWS($J$2:J999),$J$2:$J$1001,0),0), INDEX($Q$1004:$U$1004,1,MATCH(COLUMNS($Q$1006:S1006),$Q$1006:$U$1006,0)))),"Fix")))</f>
        <v xml:space="preserve"> </v>
      </c>
      <c r="E999" s="3" t="str">
        <f ca="1">IF(OR(INDEX($K$2:$K$1001,MATCH(ROWS($J$2:J999),$J$2:$J$1001,0),1)&gt;=100000,INDEX($Q$1005:$U$1005,1,MATCH(COLUMNS($Q$1006:T1006),$Q$1006:$U$1006,0))&gt;=100000), " ",IF(INDEX($Q$2:$U$1001,MATCH(ROWS($J$2:J999),$J$2:$J$1001,0),MATCH(COLUMNS($Q$1006:T1006),$Q$1006:$U$1006,0)), HYPERLINK("#",""), HYPERLINK(CONCATENATE("#Metadata!", ADDRESS(INDEX($L$2:$L$1001,MATCH(ROWS($J$2:J999),$J$2:$J$1001,0),0), INDEX($Q$1004:$U$1004,1,MATCH(COLUMNS($Q$1006:T1006),$Q$1006:$U$1006,0)))),"Fix")))</f>
        <v xml:space="preserve"> </v>
      </c>
      <c r="F999" s="3" t="str">
        <f ca="1">IF(OR(INDEX($K$2:$K$1001,MATCH(ROWS($J$2:J999),$J$2:$J$1001,0),1)&gt;=100000,INDEX($Q$1005:$U$1005,1,MATCH(COLUMNS($Q$1006:U1006),$Q$1006:$U$1006,0))&gt;=100000), " ",IF(INDEX($Q$2:$U$1001,MATCH(ROWS($J$2:J999),$J$2:$J$1001,0),MATCH(COLUMNS($Q$1006:U1006),$Q$1006:$U$1006,0)), HYPERLINK("#",""), HYPERLINK(CONCATENATE("#Metadata!", ADDRESS(INDEX($L$2:$L$1001,MATCH(ROWS($J$2:J999),$J$2:$J$1001,0),0), INDEX($Q$1004:$U$1004,1,MATCH(COLUMNS($Q$1006:U1006),$Q$1006:$U$1006,0)))),"Fix")))</f>
        <v xml:space="preserve"> </v>
      </c>
      <c r="J999">
        <f ca="1"/>
        <v>998</v>
      </c>
      <c r="K999">
        <v>100999</v>
      </c>
      <c r="L999">
        <v>999</v>
      </c>
      <c r="M999" t="b">
        <f t="shared" si="15"/>
        <v>1</v>
      </c>
      <c r="N999" t="b">
        <f>COUNTBLANK(Metadata!B999:F999)=COLUMNS(Metadata!B999:F999)</f>
        <v>1</v>
      </c>
      <c r="O999" t="str">
        <v/>
      </c>
      <c r="Q999" t="b">
        <f ca="1"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R999" t="b">
        <f>IF(Metadata!C999="",FALSE,TRUE)</f>
        <v>0</v>
      </c>
      <c r="S999" t="b">
        <f>OR(AND(IF(Metadata!D999="",FALSE,TRUE),EXACT(Metadata!D999,"missing: not collected")),AND(IF(Metadata!D999="",FALSE,TRUE),OR(EXACT(Metadata!D999,"t"),EXACT(Metadata!D999,"f"))))</f>
        <v>0</v>
      </c>
      <c r="T999" t="b">
        <f>AND(IF(Metadata!E999="",FALSE,TRUE),OR(EXACT(Metadata!E999,"a"),EXACT(Metadata!E999,"b")))</f>
        <v>0</v>
      </c>
      <c r="U999" t="b">
        <f>OR(AND(IF(Metadata!F999="",FALSE,TRUE),OR(EXACT(Metadata!F999,"missing: not collected"),EXACT(Metadata!F999,"missing: not provided"))),AND(IF(Metadata!F999="",FALSE,TRUE),OR(EXACT(Metadata!F999,"lo"),EXACT(Metadata!F999,"med"),EXACT(Metadata!F999,"hi"))))</f>
        <v>0</v>
      </c>
    </row>
    <row r="1000" spans="1:21" x14ac:dyDescent="0.2">
      <c r="A1000" s="4" t="str">
        <f ca="1">IF(B1000=" "," ",HYPERLINK(CONCATENATE("#metadata!",ADDRESS(INDEX($L$2:$L$1001,MATCH(ROWS($J$2:J1000),$J$2:$J$1001,0),0),1)),INDEX($O$2:$O$1001,MATCH(ROWS($J$2:J1000),$J$2:$J$1001,0),0)))</f>
        <v xml:space="preserve"> </v>
      </c>
      <c r="B1000" s="3" t="str">
        <f ca="1">IF(OR(INDEX($K$2:$K$1001,MATCH(ROWS($J$2:J1000),$J$2:$J$1001,0),1)&gt;=100000,INDEX($Q$1005:$U$1005,1,MATCH(COLUMNS($Q$1006:Q1006),$Q$1006:$U$1006,0))&gt;=100000), " ",IF(INDEX($Q$2:$U$1001,MATCH(ROWS($J$2:J1000),$J$2:$J$1001,0),MATCH(COLUMNS($Q$1006:Q1006),$Q$1006:$U$1006,0)), HYPERLINK("#",""), HYPERLINK(CONCATENATE("#Metadata!", ADDRESS(INDEX($L$2:$L$1001,MATCH(ROWS($J$2:J1000),$J$2:$J$1001,0),0), INDEX($Q$1004:$U$1004,1,MATCH(COLUMNS($Q$1006:Q1006),$Q$1006:$U$1006,0)))),"Fix")))</f>
        <v xml:space="preserve"> </v>
      </c>
      <c r="C1000" s="3" t="str">
        <f ca="1">IF(OR(INDEX($K$2:$K$1001,MATCH(ROWS($J$2:J1000),$J$2:$J$1001,0),1)&gt;=100000,INDEX($Q$1005:$U$1005,1,MATCH(COLUMNS($Q$1006:R1006),$Q$1006:$U$1006,0))&gt;=100000), " ",IF(INDEX($Q$2:$U$1001,MATCH(ROWS($J$2:J1000),$J$2:$J$1001,0),MATCH(COLUMNS($Q$1006:R1006),$Q$1006:$U$1006,0)), HYPERLINK("#",""), HYPERLINK(CONCATENATE("#Metadata!", ADDRESS(INDEX($L$2:$L$1001,MATCH(ROWS($J$2:J1000),$J$2:$J$1001,0),0), INDEX($Q$1004:$U$1004,1,MATCH(COLUMNS($Q$1006:R1006),$Q$1006:$U$1006,0)))),"Fix")))</f>
        <v xml:space="preserve"> </v>
      </c>
      <c r="D1000" s="3" t="str">
        <f ca="1">IF(OR(INDEX($K$2:$K$1001,MATCH(ROWS($J$2:J1000),$J$2:$J$1001,0),1)&gt;=100000,INDEX($Q$1005:$U$1005,1,MATCH(COLUMNS($Q$1006:S1006),$Q$1006:$U$1006,0))&gt;=100000), " ",IF(INDEX($Q$2:$U$1001,MATCH(ROWS($J$2:J1000),$J$2:$J$1001,0),MATCH(COLUMNS($Q$1006:S1006),$Q$1006:$U$1006,0)), HYPERLINK("#",""), HYPERLINK(CONCATENATE("#Metadata!", ADDRESS(INDEX($L$2:$L$1001,MATCH(ROWS($J$2:J1000),$J$2:$J$1001,0),0), INDEX($Q$1004:$U$1004,1,MATCH(COLUMNS($Q$1006:S1006),$Q$1006:$U$1006,0)))),"Fix")))</f>
        <v xml:space="preserve"> </v>
      </c>
      <c r="E1000" s="3" t="str">
        <f ca="1">IF(OR(INDEX($K$2:$K$1001,MATCH(ROWS($J$2:J1000),$J$2:$J$1001,0),1)&gt;=100000,INDEX($Q$1005:$U$1005,1,MATCH(COLUMNS($Q$1006:T1006),$Q$1006:$U$1006,0))&gt;=100000), " ",IF(INDEX($Q$2:$U$1001,MATCH(ROWS($J$2:J1000),$J$2:$J$1001,0),MATCH(COLUMNS($Q$1006:T1006),$Q$1006:$U$1006,0)), HYPERLINK("#",""), HYPERLINK(CONCATENATE("#Metadata!", ADDRESS(INDEX($L$2:$L$1001,MATCH(ROWS($J$2:J1000),$J$2:$J$1001,0),0), INDEX($Q$1004:$U$1004,1,MATCH(COLUMNS($Q$1006:T1006),$Q$1006:$U$1006,0)))),"Fix")))</f>
        <v xml:space="preserve"> </v>
      </c>
      <c r="F1000" s="3" t="str">
        <f ca="1">IF(OR(INDEX($K$2:$K$1001,MATCH(ROWS($J$2:J1000),$J$2:$J$1001,0),1)&gt;=100000,INDEX($Q$1005:$U$1005,1,MATCH(COLUMNS($Q$1006:U1006),$Q$1006:$U$1006,0))&gt;=100000), " ",IF(INDEX($Q$2:$U$1001,MATCH(ROWS($J$2:J1000),$J$2:$J$1001,0),MATCH(COLUMNS($Q$1006:U1006),$Q$1006:$U$1006,0)), HYPERLINK("#",""), HYPERLINK(CONCATENATE("#Metadata!", ADDRESS(INDEX($L$2:$L$1001,MATCH(ROWS($J$2:J1000),$J$2:$J$1001,0),0), INDEX($Q$1004:$U$1004,1,MATCH(COLUMNS($Q$1006:U1006),$Q$1006:$U$1006,0)))),"Fix")))</f>
        <v xml:space="preserve"> </v>
      </c>
      <c r="J1000">
        <f ca="1"/>
        <v>999</v>
      </c>
      <c r="K1000">
        <v>101000</v>
      </c>
      <c r="L1000">
        <v>1000</v>
      </c>
      <c r="M1000" t="b">
        <f t="shared" si="15"/>
        <v>1</v>
      </c>
      <c r="N1000" t="b">
        <f>COUNTBLANK(Metadata!B1000:F1000)=COLUMNS(Metadata!B1000:F1000)</f>
        <v>1</v>
      </c>
      <c r="O1000" t="str">
        <v/>
      </c>
      <c r="Q1000" t="b">
        <f ca="1"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R1000" t="b">
        <f>IF(Metadata!C1000="",FALSE,TRUE)</f>
        <v>0</v>
      </c>
      <c r="S1000" t="b">
        <f>OR(AND(IF(Metadata!D1000="",FALSE,TRUE),EXACT(Metadata!D1000,"missing: not collected")),AND(IF(Metadata!D1000="",FALSE,TRUE),OR(EXACT(Metadata!D1000,"t"),EXACT(Metadata!D1000,"f"))))</f>
        <v>0</v>
      </c>
      <c r="T1000" t="b">
        <f>AND(IF(Metadata!E1000="",FALSE,TRUE),OR(EXACT(Metadata!E1000,"a"),EXACT(Metadata!E1000,"b")))</f>
        <v>0</v>
      </c>
      <c r="U1000" t="b">
        <f>OR(AND(IF(Metadata!F1000="",FALSE,TRUE),OR(EXACT(Metadata!F1000,"missing: not collected"),EXACT(Metadata!F1000,"missing: not provided"))),AND(IF(Metadata!F1000="",FALSE,TRUE),OR(EXACT(Metadata!F1000,"lo"),EXACT(Metadata!F1000,"med"),EXACT(Metadata!F1000,"hi"))))</f>
        <v>0</v>
      </c>
    </row>
    <row r="1001" spans="1:21" x14ac:dyDescent="0.2">
      <c r="A1001" s="4" t="str">
        <f ca="1">IF(B1001=" "," ",HYPERLINK(CONCATENATE("#metadata!",ADDRESS(INDEX($L$2:$L$1001,MATCH(ROWS($J$2:J1001),$J$2:$J$1001,0),0),1)),INDEX($O$2:$O$1001,MATCH(ROWS($J$2:J1001),$J$2:$J$1001,0),0)))</f>
        <v xml:space="preserve"> </v>
      </c>
      <c r="B1001" s="3" t="str">
        <f ca="1">IF(OR(INDEX($K$2:$K$1001,MATCH(ROWS($J$2:J1001),$J$2:$J$1001,0),1)&gt;=100000,INDEX($Q$1005:$U$1005,1,MATCH(COLUMNS($Q$1006:Q1006),$Q$1006:$U$1006,0))&gt;=100000), " ",IF(INDEX($Q$2:$U$1001,MATCH(ROWS($J$2:J1001),$J$2:$J$1001,0),MATCH(COLUMNS($Q$1006:Q1006),$Q$1006:$U$1006,0)), HYPERLINK("#",""), HYPERLINK(CONCATENATE("#Metadata!", ADDRESS(INDEX($L$2:$L$1001,MATCH(ROWS($J$2:J1001),$J$2:$J$1001,0),0), INDEX($Q$1004:$U$1004,1,MATCH(COLUMNS($Q$1006:Q1006),$Q$1006:$U$1006,0)))),"Fix")))</f>
        <v xml:space="preserve"> </v>
      </c>
      <c r="C1001" s="3" t="str">
        <f ca="1">IF(OR(INDEX($K$2:$K$1001,MATCH(ROWS($J$2:J1001),$J$2:$J$1001,0),1)&gt;=100000,INDEX($Q$1005:$U$1005,1,MATCH(COLUMNS($Q$1006:R1006),$Q$1006:$U$1006,0))&gt;=100000), " ",IF(INDEX($Q$2:$U$1001,MATCH(ROWS($J$2:J1001),$J$2:$J$1001,0),MATCH(COLUMNS($Q$1006:R1006),$Q$1006:$U$1006,0)), HYPERLINK("#",""), HYPERLINK(CONCATENATE("#Metadata!", ADDRESS(INDEX($L$2:$L$1001,MATCH(ROWS($J$2:J1001),$J$2:$J$1001,0),0), INDEX($Q$1004:$U$1004,1,MATCH(COLUMNS($Q$1006:R1006),$Q$1006:$U$1006,0)))),"Fix")))</f>
        <v xml:space="preserve"> </v>
      </c>
      <c r="D1001" s="3" t="str">
        <f ca="1">IF(OR(INDEX($K$2:$K$1001,MATCH(ROWS($J$2:J1001),$J$2:$J$1001,0),1)&gt;=100000,INDEX($Q$1005:$U$1005,1,MATCH(COLUMNS($Q$1006:S1006),$Q$1006:$U$1006,0))&gt;=100000), " ",IF(INDEX($Q$2:$U$1001,MATCH(ROWS($J$2:J1001),$J$2:$J$1001,0),MATCH(COLUMNS($Q$1006:S1006),$Q$1006:$U$1006,0)), HYPERLINK("#",""), HYPERLINK(CONCATENATE("#Metadata!", ADDRESS(INDEX($L$2:$L$1001,MATCH(ROWS($J$2:J1001),$J$2:$J$1001,0),0), INDEX($Q$1004:$U$1004,1,MATCH(COLUMNS($Q$1006:S1006),$Q$1006:$U$1006,0)))),"Fix")))</f>
        <v xml:space="preserve"> </v>
      </c>
      <c r="E1001" s="3" t="str">
        <f ca="1">IF(OR(INDEX($K$2:$K$1001,MATCH(ROWS($J$2:J1001),$J$2:$J$1001,0),1)&gt;=100000,INDEX($Q$1005:$U$1005,1,MATCH(COLUMNS($Q$1006:T1006),$Q$1006:$U$1006,0))&gt;=100000), " ",IF(INDEX($Q$2:$U$1001,MATCH(ROWS($J$2:J1001),$J$2:$J$1001,0),MATCH(COLUMNS($Q$1006:T1006),$Q$1006:$U$1006,0)), HYPERLINK("#",""), HYPERLINK(CONCATENATE("#Metadata!", ADDRESS(INDEX($L$2:$L$1001,MATCH(ROWS($J$2:J1001),$J$2:$J$1001,0),0), INDEX($Q$1004:$U$1004,1,MATCH(COLUMNS($Q$1006:T1006),$Q$1006:$U$1006,0)))),"Fix")))</f>
        <v xml:space="preserve"> </v>
      </c>
      <c r="F1001" s="3" t="str">
        <f ca="1">IF(OR(INDEX($K$2:$K$1001,MATCH(ROWS($J$2:J1001),$J$2:$J$1001,0),1)&gt;=100000,INDEX($Q$1005:$U$1005,1,MATCH(COLUMNS($Q$1006:U1006),$Q$1006:$U$1006,0))&gt;=100000), " ",IF(INDEX($Q$2:$U$1001,MATCH(ROWS($J$2:J1001),$J$2:$J$1001,0),MATCH(COLUMNS($Q$1006:U1006),$Q$1006:$U$1006,0)), HYPERLINK("#",""), HYPERLINK(CONCATENATE("#Metadata!", ADDRESS(INDEX($L$2:$L$1001,MATCH(ROWS($J$2:J1001),$J$2:$J$1001,0),0), INDEX($Q$1004:$U$1004,1,MATCH(COLUMNS($Q$1006:U1006),$Q$1006:$U$1006,0)))),"Fix")))</f>
        <v xml:space="preserve"> </v>
      </c>
      <c r="J1001">
        <f ca="1"/>
        <v>1000</v>
      </c>
      <c r="K1001">
        <v>101001</v>
      </c>
      <c r="L1001">
        <v>1001</v>
      </c>
      <c r="M1001" t="b">
        <f t="shared" si="15"/>
        <v>1</v>
      </c>
      <c r="N1001" t="b">
        <f>COUNTBLANK(Metadata!B1001:F1001)=COLUMNS(Metadata!B1001:F1001)</f>
        <v>1</v>
      </c>
      <c r="O1001" t="str">
        <v/>
      </c>
      <c r="Q1001" t="b">
        <f ca="1"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R1001" t="b">
        <f>IF(Metadata!C1001="",FALSE,TRUE)</f>
        <v>0</v>
      </c>
      <c r="S1001" t="b">
        <f>OR(AND(IF(Metadata!D1001="",FALSE,TRUE),EXACT(Metadata!D1001,"missing: not collected")),AND(IF(Metadata!D1001="",FALSE,TRUE),OR(EXACT(Metadata!D1001,"t"),EXACT(Metadata!D1001,"f"))))</f>
        <v>0</v>
      </c>
      <c r="T1001" t="b">
        <f>AND(IF(Metadata!E1001="",FALSE,TRUE),OR(EXACT(Metadata!E1001,"a"),EXACT(Metadata!E1001,"b")))</f>
        <v>0</v>
      </c>
      <c r="U1001" t="b">
        <f>OR(AND(IF(Metadata!F1001="",FALSE,TRUE),OR(EXACT(Metadata!F1001,"missing: not collected"),EXACT(Metadata!F1001,"missing: not provided"))),AND(IF(Metadata!F1001="",FALSE,TRUE),OR(EXACT(Metadata!F1001,"lo"),EXACT(Metadata!F1001,"med"),EXACT(Metadata!F1001,"hi"))))</f>
        <v>0</v>
      </c>
    </row>
    <row r="1003" spans="1:21" x14ac:dyDescent="0.2">
      <c r="P1003" s="2" t="s">
        <v>12</v>
      </c>
      <c r="Q1003" t="b">
        <f t="array" aca="1" ref="Q1003" ca="1">AND(IF($N2:$N1001,TRUE,Q2:Q1001))</f>
        <v>1</v>
      </c>
      <c r="R1003" t="b">
        <f t="array" ref="R1003">AND(IF($N2:$N1001,TRUE,R2:R1001))</f>
        <v>1</v>
      </c>
      <c r="S1003" t="b">
        <f t="array" ref="S1003">AND(IF($N2:$N1001,TRUE,S2:S1001))</f>
        <v>1</v>
      </c>
      <c r="T1003" t="b">
        <f t="array" ref="T1003">AND(IF($N2:$N1001,TRUE,T2:T1001))</f>
        <v>1</v>
      </c>
      <c r="U1003" t="b">
        <f t="array" ref="U1003">AND(IF($N2:$N1001,TRUE,U2:U1001))</f>
        <v>1</v>
      </c>
    </row>
    <row r="1004" spans="1:21" x14ac:dyDescent="0.2">
      <c r="P1004" s="2" t="s">
        <v>13</v>
      </c>
      <c r="Q1004">
        <f t="array" ref="Q1004:U1004">COLUMN(Metadata!B1004:F1004)</f>
        <v>2</v>
      </c>
      <c r="R1004">
        <v>3</v>
      </c>
      <c r="S1004">
        <v>4</v>
      </c>
      <c r="T1004">
        <v>5</v>
      </c>
      <c r="U1004">
        <v>6</v>
      </c>
    </row>
    <row r="1005" spans="1:21" x14ac:dyDescent="0.2">
      <c r="P1005" s="2" t="s">
        <v>14</v>
      </c>
      <c r="Q1005">
        <f t="array" ref="Q1005:U1005" ca="1">INT(Q1003:U1003)*100000+$Q$1004:$U$1004</f>
        <v>100002</v>
      </c>
      <c r="R1005">
        <v>100003</v>
      </c>
      <c r="S1005">
        <v>100004</v>
      </c>
      <c r="T1005">
        <v>100005</v>
      </c>
      <c r="U1005">
        <v>100006</v>
      </c>
    </row>
    <row r="1006" spans="1:21" x14ac:dyDescent="0.2">
      <c r="P1006" s="2" t="s">
        <v>15</v>
      </c>
      <c r="Q1006">
        <f t="array" aca="1" ref="Q1006:U1006" ca="1">COUNTIF($Q1005:$U1005,"&lt;="&amp;Q$1005:U1005)</f>
        <v>1</v>
      </c>
      <c r="R1006">
        <f ca="1"/>
        <v>2</v>
      </c>
      <c r="S1006">
        <f ca="1"/>
        <v>3</v>
      </c>
      <c r="T1006">
        <f ca="1"/>
        <v>4</v>
      </c>
      <c r="U1006">
        <f ca="1"/>
        <v>5</v>
      </c>
    </row>
  </sheetData>
  <sheetProtection password="EE32" sheet="1" objects="1" scenarios="1"/>
  <conditionalFormatting sqref="B2:F1001">
    <cfRule type="cellIs" dxfId="1" priority="1" operator="equal">
      <formula>""</formula>
    </cfRule>
    <cfRule type="cellIs" dxfId="0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1</v>
      </c>
      <c r="B2" t="s">
        <v>18</v>
      </c>
    </row>
    <row r="3" spans="1:2" x14ac:dyDescent="0.2">
      <c r="A3" s="2" t="s">
        <v>3</v>
      </c>
      <c r="B3" t="s">
        <v>19</v>
      </c>
    </row>
    <row r="4" spans="1:2" x14ac:dyDescent="0.2">
      <c r="A4" s="2" t="s">
        <v>4</v>
      </c>
      <c r="B4" t="s">
        <v>20</v>
      </c>
    </row>
    <row r="5" spans="1:2" x14ac:dyDescent="0.2">
      <c r="A5" s="2" t="s">
        <v>5</v>
      </c>
      <c r="B5" t="s">
        <v>21</v>
      </c>
    </row>
    <row r="6" spans="1:2" x14ac:dyDescent="0.2">
      <c r="A6" s="2" t="s">
        <v>6</v>
      </c>
      <c r="B6" t="s">
        <v>22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1" x14ac:dyDescent="0.2">
      <c r="A1" t="s">
        <v>23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1" x14ac:dyDescent="0.2">
      <c r="A1" t="s">
        <v>24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00.6640625" customWidth="1"/>
  </cols>
  <sheetData>
    <row r="1" spans="1:1" x14ac:dyDescent="0.2">
      <c r="A1" s="4" t="str">
        <f>HYPERLINK("http://metadata-wizard-tutorial.readthedocs.io/en/latest/", "Click here for instructions on using this spreadsheet.")</f>
        <v>Click here for instructions on using this spreadsheet.</v>
      </c>
    </row>
    <row r="3" spans="1:1" x14ac:dyDescent="0.2">
      <c r="A3" s="5" t="s">
        <v>25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Birmingham</cp:lastModifiedBy>
  <dcterms:created xsi:type="dcterms:W3CDTF">2018-05-17T16:50:29Z</dcterms:created>
  <dcterms:modified xsi:type="dcterms:W3CDTF">2018-05-17T17:05:09Z</dcterms:modified>
</cp:coreProperties>
</file>