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1"/>
  </bookViews>
  <sheets>
    <sheet name="道具表" sheetId="14" r:id="rId1"/>
    <sheet name="自选道具配置" sheetId="42" r:id="rId2"/>
    <sheet name="新人礼包" sheetId="8" r:id="rId3"/>
    <sheet name="七日签到" sheetId="9" r:id="rId4"/>
    <sheet name="七日目标" sheetId="23" r:id="rId5"/>
    <sheet name="属性冲刺" sheetId="37" r:id="rId6"/>
    <sheet name="开箱大吉" sheetId="10" r:id="rId7"/>
    <sheet name="特惠礼包" sheetId="11" r:id="rId8"/>
    <sheet name="开服竞速" sheetId="22" r:id="rId9"/>
    <sheet name="连天好礼" sheetId="25" r:id="rId10"/>
    <sheet name="融冰掘宝" sheetId="26" r:id="rId11"/>
    <sheet name="宠物派对" sheetId="18" r:id="rId12"/>
    <sheet name="宝石派对" sheetId="19" r:id="rId13"/>
    <sheet name="技能派对" sheetId="35" r:id="rId14"/>
    <sheet name="坐骑派对" sheetId="34" r:id="rId15"/>
    <sheet name="补给派对" sheetId="20" r:id="rId16"/>
    <sheet name="周试炼排行" sheetId="29" r:id="rId17"/>
    <sheet name="好友邀请" sheetId="17" r:id="rId18"/>
    <sheet name="等级礼包" sheetId="24" r:id="rId19"/>
    <sheet name="日常礼包" sheetId="2" r:id="rId20"/>
    <sheet name="每日热卖" sheetId="12" r:id="rId21"/>
    <sheet name="杂货铺" sheetId="36" r:id="rId22"/>
    <sheet name="月卡" sheetId="5" r:id="rId23"/>
    <sheet name="终身卡" sheetId="6" r:id="rId24"/>
    <sheet name="定制月卡（取消）" sheetId="7" r:id="rId25"/>
    <sheet name="成长基金" sheetId="3" r:id="rId26"/>
    <sheet name="登录基金" sheetId="4" r:id="rId27"/>
    <sheet name="宠物基金" sheetId="33" r:id="rId28"/>
    <sheet name="宝石基金" sheetId="39" r:id="rId29"/>
    <sheet name="技能基金" sheetId="40" r:id="rId30"/>
    <sheet name="坐骑基金" sheetId="41" r:id="rId31"/>
    <sheet name="领地礼包" sheetId="15" r:id="rId32"/>
    <sheet name="寻宝" sheetId="13" r:id="rId33"/>
    <sheet name="payconfig" sheetId="38" r:id="rId34"/>
  </sheets>
  <externalReferences>
    <externalReference r:id="rId35"/>
    <externalReference r:id="rId36"/>
    <externalReference r:id="rId37"/>
  </externalReferences>
  <definedNames>
    <definedName name="_xlnm._FilterDatabase" localSheetId="0" hidden="1">道具表!$A$1:$H$326</definedName>
  </definedNames>
  <calcPr calcId="144525"/>
</workbook>
</file>

<file path=xl/comments1.xml><?xml version="1.0" encoding="utf-8"?>
<comments xmlns="http://schemas.openxmlformats.org/spreadsheetml/2006/main">
  <authors>
    <author>wepie</author>
  </authors>
  <commentList>
    <comment ref="O6" authorId="0">
      <text>
        <r>
          <rPr>
            <sz val="9"/>
            <rFont val="宋体"/>
            <charset val="134"/>
          </rPr>
          <t>单周(7*5+5*5)*10=600
三周(7*15+5*5)*10=1300</t>
        </r>
      </text>
    </comment>
  </commentList>
</comments>
</file>

<file path=xl/comments2.xml><?xml version="1.0" encoding="utf-8"?>
<comments xmlns="http://schemas.openxmlformats.org/spreadsheetml/2006/main">
  <authors>
    <author>wepie</author>
  </authors>
  <commentList>
    <comment ref="O6" authorId="0">
      <text>
        <r>
          <rPr>
            <sz val="9"/>
            <rFont val="宋体"/>
            <charset val="134"/>
          </rPr>
          <t>单周(7*5+5*5)*10=600
三周(7*15+5*5)*10=1300</t>
        </r>
      </text>
    </comment>
  </commentList>
</comments>
</file>

<file path=xl/comments3.xml><?xml version="1.0" encoding="utf-8"?>
<comments xmlns="http://schemas.openxmlformats.org/spreadsheetml/2006/main">
  <authors>
    <author>wepie</author>
  </authors>
  <commentList>
    <comment ref="O6" authorId="0">
      <text>
        <r>
          <rPr>
            <sz val="9"/>
            <rFont val="宋体"/>
            <charset val="134"/>
          </rPr>
          <t>单周(7*5+5*5)*10=600
三周(7*15+5*5)*10=1300</t>
        </r>
      </text>
    </comment>
  </commentList>
</comments>
</file>

<file path=xl/sharedStrings.xml><?xml version="1.0" encoding="utf-8"?>
<sst xmlns="http://schemas.openxmlformats.org/spreadsheetml/2006/main" count="4053" uniqueCount="1193">
  <si>
    <t>物品ID</t>
  </si>
  <si>
    <t>物品名称</t>
  </si>
  <si>
    <t>类型</t>
  </si>
  <si>
    <t>品质</t>
  </si>
  <si>
    <t>钻石价格</t>
  </si>
  <si>
    <t>金币</t>
  </si>
  <si>
    <t>钻石</t>
  </si>
  <si>
    <t>玩家经验</t>
  </si>
  <si>
    <t>竞技场门票</t>
  </si>
  <si>
    <t>宝箱</t>
  </si>
  <si>
    <t>技能书卷</t>
  </si>
  <si>
    <t>寻宝骰子</t>
  </si>
  <si>
    <t>每日活跃度</t>
  </si>
  <si>
    <t>炎龙之息</t>
  </si>
  <si>
    <t>宠物经验</t>
  </si>
  <si>
    <t>宠物试练凭证</t>
  </si>
  <si>
    <t>坐骑试练凭证</t>
  </si>
  <si>
    <t>神器试练凭证</t>
  </si>
  <si>
    <t>宝石试练凭证</t>
  </si>
  <si>
    <t>开服目标积分</t>
  </si>
  <si>
    <t>墨水-自定义称号1</t>
  </si>
  <si>
    <t>秘闻币</t>
  </si>
  <si>
    <t>银铁符</t>
  </si>
  <si>
    <t>谜金符</t>
  </si>
  <si>
    <t>墨水-关卡冲刺</t>
  </si>
  <si>
    <t>墨水-最强骑士</t>
  </si>
  <si>
    <t>自定称号展示-关卡冲刺</t>
  </si>
  <si>
    <t>自定称号展示-最强骑士</t>
  </si>
  <si>
    <t>C级宠物蛋碎片</t>
  </si>
  <si>
    <t>B级宠物蛋碎片</t>
  </si>
  <si>
    <t>A级宠物蛋碎片</t>
  </si>
  <si>
    <t>S级宠物蛋碎片</t>
  </si>
  <si>
    <t>SS级宠物蛋碎片</t>
  </si>
  <si>
    <t>SSS级宠物蛋碎片</t>
  </si>
  <si>
    <t>宠物蛋</t>
  </si>
  <si>
    <t>C级宠物蛋</t>
  </si>
  <si>
    <t>B级宠物蛋</t>
  </si>
  <si>
    <t>A级宠物蛋</t>
  </si>
  <si>
    <t>S级宠物蛋</t>
  </si>
  <si>
    <t>SS级宠物蛋</t>
  </si>
  <si>
    <t>SSS级宠物蛋</t>
  </si>
  <si>
    <t>彩羽</t>
  </si>
  <si>
    <t>白羽</t>
  </si>
  <si>
    <t>黄金羽毛</t>
  </si>
  <si>
    <t>炼魄彩铃</t>
  </si>
  <si>
    <t>长鞭</t>
  </si>
  <si>
    <t>肉块</t>
  </si>
  <si>
    <t>加速券</t>
  </si>
  <si>
    <t>宝石券</t>
  </si>
  <si>
    <t>高级宝石券</t>
  </si>
  <si>
    <t>精炼原石</t>
  </si>
  <si>
    <t>法力结晶</t>
  </si>
  <si>
    <t>生命魔晶</t>
  </si>
  <si>
    <t>魔核</t>
  </si>
  <si>
    <t>灵能之石</t>
  </si>
  <si>
    <t>好运翻倍</t>
  </si>
  <si>
    <t>金砖</t>
  </si>
  <si>
    <t>寻宝翻倍X2</t>
  </si>
  <si>
    <t>寻宝翻倍X3</t>
  </si>
  <si>
    <t>寻宝翻倍X4</t>
  </si>
  <si>
    <t>魔法之锤</t>
  </si>
  <si>
    <t>坐骑刷新券</t>
  </si>
  <si>
    <t>高级坐骑刷新券</t>
  </si>
  <si>
    <t>钻头</t>
  </si>
  <si>
    <t>电钻</t>
  </si>
  <si>
    <t>炸弹</t>
  </si>
  <si>
    <t>热卖刷新券</t>
  </si>
  <si>
    <t>灵魄</t>
  </si>
  <si>
    <t>诅咒之晶</t>
  </si>
  <si>
    <t>符灵</t>
  </si>
  <si>
    <t>新手头盔</t>
  </si>
  <si>
    <t>光子头盔</t>
  </si>
  <si>
    <t>新手武器</t>
  </si>
  <si>
    <t>十字光剑</t>
  </si>
  <si>
    <t>新手盾牌</t>
  </si>
  <si>
    <t>脉冲护盾</t>
  </si>
  <si>
    <t>[传说]LV50衣服</t>
  </si>
  <si>
    <t>[天赐]LV80衣服</t>
  </si>
  <si>
    <t>[神铸]LV90肩甲</t>
  </si>
  <si>
    <t>[神铸]LV95手套</t>
  </si>
  <si>
    <t>[神铸]LV95腰带</t>
  </si>
  <si>
    <t>[神铸]LV95鞋子</t>
  </si>
  <si>
    <t>[神铸]LV100项链</t>
  </si>
  <si>
    <t>[神铸]LV100耳环</t>
  </si>
  <si>
    <t>[神铸]LV105戒指</t>
  </si>
  <si>
    <t>[神铸]LV105披风</t>
  </si>
  <si>
    <t>[神铸]LV105盾牌</t>
  </si>
  <si>
    <t>[神铸]LV105武器</t>
  </si>
  <si>
    <t>[神铸]LV105帽子</t>
  </si>
  <si>
    <t>[神铸]LV105衣服</t>
  </si>
  <si>
    <t>[永恒]LV105盾牌</t>
  </si>
  <si>
    <t>[永恒]LV105武器</t>
  </si>
  <si>
    <t>[永恒]LV105帽子</t>
  </si>
  <si>
    <t>[永恒]LV105衣服</t>
  </si>
  <si>
    <t>一级水滴宝石</t>
  </si>
  <si>
    <t>一级方形宝石</t>
  </si>
  <si>
    <t>一级圆形宝石</t>
  </si>
  <si>
    <t>一级三角宝石</t>
  </si>
  <si>
    <t>一级菱形宝石</t>
  </si>
  <si>
    <t>一级心形宝石</t>
  </si>
  <si>
    <t>二级水滴宝石</t>
  </si>
  <si>
    <t>二级方形宝石</t>
  </si>
  <si>
    <t>二级圆形宝石</t>
  </si>
  <si>
    <t>二级三角宝石</t>
  </si>
  <si>
    <t>二级菱形宝石</t>
  </si>
  <si>
    <t>二级心形宝石</t>
  </si>
  <si>
    <t>三级水滴宝石</t>
  </si>
  <si>
    <t>三级方形宝石</t>
  </si>
  <si>
    <t>三级圆形宝石</t>
  </si>
  <si>
    <t>三级三角宝石</t>
  </si>
  <si>
    <t>三级菱形宝石</t>
  </si>
  <si>
    <t>三级心形宝石</t>
  </si>
  <si>
    <t>四级水滴宝石</t>
  </si>
  <si>
    <t>四级方形宝石</t>
  </si>
  <si>
    <t>四级圆形宝石</t>
  </si>
  <si>
    <t>四级三角宝石</t>
  </si>
  <si>
    <t>四级菱形宝石</t>
  </si>
  <si>
    <t>四级心形宝石</t>
  </si>
  <si>
    <t>五级水滴宝石</t>
  </si>
  <si>
    <t>五级方形宝石</t>
  </si>
  <si>
    <t>五级圆形宝石</t>
  </si>
  <si>
    <t>五级三角宝石</t>
  </si>
  <si>
    <t>五级菱形宝石</t>
  </si>
  <si>
    <t>五级心形宝石</t>
  </si>
  <si>
    <t>六级水滴宝石</t>
  </si>
  <si>
    <t>六级方形宝石</t>
  </si>
  <si>
    <t>六级圆形宝石</t>
  </si>
  <si>
    <t>六级三角宝石</t>
  </si>
  <si>
    <t>六级菱形宝石</t>
  </si>
  <si>
    <t>六级心形宝石</t>
  </si>
  <si>
    <t>七级水滴宝石</t>
  </si>
  <si>
    <t>七级方形宝石</t>
  </si>
  <si>
    <t>七级圆形宝石</t>
  </si>
  <si>
    <t>七级三角宝石</t>
  </si>
  <si>
    <t>七级菱形宝石</t>
  </si>
  <si>
    <t>七级心形宝石</t>
  </si>
  <si>
    <t>八级水滴宝石</t>
  </si>
  <si>
    <t>八级方形宝石</t>
  </si>
  <si>
    <t>八级圆形宝石</t>
  </si>
  <si>
    <t>八级三角宝石</t>
  </si>
  <si>
    <t>八级菱形宝石</t>
  </si>
  <si>
    <t>八级心形宝石</t>
  </si>
  <si>
    <t>九级水滴宝石</t>
  </si>
  <si>
    <t>九级方形宝石</t>
  </si>
  <si>
    <t>九级圆形宝石</t>
  </si>
  <si>
    <t>九级三角宝石</t>
  </si>
  <si>
    <t>九级菱形宝石</t>
  </si>
  <si>
    <t>九级心形宝石</t>
  </si>
  <si>
    <t>粉绒球</t>
  </si>
  <si>
    <t>独眼蝙蝠</t>
  </si>
  <si>
    <t>棕壳蜗牛</t>
  </si>
  <si>
    <t>菌绒怪</t>
  </si>
  <si>
    <t>黑石蝙蝠</t>
  </si>
  <si>
    <t>红帽菌兽</t>
  </si>
  <si>
    <t>水波绒兽</t>
  </si>
  <si>
    <t>隐匿蝙蝠</t>
  </si>
  <si>
    <t>绿刺菌兽</t>
  </si>
  <si>
    <t>银雪狼</t>
  </si>
  <si>
    <t>长牙凶豚</t>
  </si>
  <si>
    <t>渊紫绒兽</t>
  </si>
  <si>
    <t>独眼翅甲</t>
  </si>
  <si>
    <t>冰棱凶兽</t>
  </si>
  <si>
    <t>火山石兽</t>
  </si>
  <si>
    <t>丛林狼兽</t>
  </si>
  <si>
    <t>丛林龙猪</t>
  </si>
  <si>
    <t>幻彩冰狐</t>
  </si>
  <si>
    <t>灼光绒兽</t>
  </si>
  <si>
    <t>独眼魔甲</t>
  </si>
  <si>
    <t>冰墓守卫</t>
  </si>
  <si>
    <t>黑耀拳石</t>
  </si>
  <si>
    <t>狂怒骨狼</t>
  </si>
  <si>
    <t>炽火烈狐</t>
  </si>
  <si>
    <t>橙金绒兽</t>
  </si>
  <si>
    <t>血眼炎魔</t>
  </si>
  <si>
    <t>熔岩首领</t>
  </si>
  <si>
    <t>燃岩魔蟹</t>
  </si>
  <si>
    <t>冥界双头兽</t>
  </si>
  <si>
    <t>魔炎领主</t>
  </si>
  <si>
    <t>绒兽之王</t>
  </si>
  <si>
    <t>龙炎岛主</t>
  </si>
  <si>
    <t>幻彩妖狐</t>
  </si>
  <si>
    <t>金翼狮鹫</t>
  </si>
  <si>
    <t>漆夜龙帝驹</t>
  </si>
  <si>
    <t>炎阳古雀</t>
  </si>
  <si>
    <t>上古凶兽</t>
  </si>
  <si>
    <t>天界鹿神</t>
  </si>
  <si>
    <t>邪恶双头龙</t>
  </si>
  <si>
    <t>蓝焰孔雀</t>
  </si>
  <si>
    <t>血噬之翼</t>
  </si>
  <si>
    <t>灵动蝶翼</t>
  </si>
  <si>
    <t>银械之翼</t>
  </si>
  <si>
    <t>炽天使之羽</t>
  </si>
  <si>
    <t>金翼圣斗士</t>
  </si>
  <si>
    <t>烈火之羽</t>
  </si>
  <si>
    <t>星传说使者</t>
  </si>
  <si>
    <t>至高的挑战者</t>
  </si>
  <si>
    <t>最强军团</t>
  </si>
  <si>
    <t>军团守护神</t>
  </si>
  <si>
    <t>战场收割机</t>
  </si>
  <si>
    <t>属性收藏家</t>
  </si>
  <si>
    <t>御龙专家</t>
  </si>
  <si>
    <t>技能品鉴师</t>
  </si>
  <si>
    <t>冠军训练家</t>
  </si>
  <si>
    <t>星象导师</t>
  </si>
  <si>
    <t>环陆冒险王</t>
  </si>
  <si>
    <t>远征冒险王</t>
  </si>
  <si>
    <t>迷渊冒险王</t>
  </si>
  <si>
    <t>自定义称号</t>
  </si>
  <si>
    <t>身如流光</t>
  </si>
  <si>
    <t>无坚不摧</t>
  </si>
  <si>
    <t>击山镇魄</t>
  </si>
  <si>
    <t>后发制人</t>
  </si>
  <si>
    <t>一斩千击</t>
  </si>
  <si>
    <t>嗜血公爵</t>
  </si>
  <si>
    <t>天箭座</t>
  </si>
  <si>
    <t>蛇夫座</t>
  </si>
  <si>
    <t>飞马座</t>
  </si>
  <si>
    <t>仙后座</t>
  </si>
  <si>
    <t>小熊座</t>
  </si>
  <si>
    <t>飞鱼座</t>
  </si>
  <si>
    <t>猎户座</t>
  </si>
  <si>
    <t>白羊座</t>
  </si>
  <si>
    <t>金牛座</t>
  </si>
  <si>
    <t>双子座</t>
  </si>
  <si>
    <t>巨蟹座</t>
  </si>
  <si>
    <t>狮子座</t>
  </si>
  <si>
    <t>处女座</t>
  </si>
  <si>
    <t>天秤座</t>
  </si>
  <si>
    <t>天蝎座</t>
  </si>
  <si>
    <t>射手座</t>
  </si>
  <si>
    <t>摩羯座</t>
  </si>
  <si>
    <t>水瓶座</t>
  </si>
  <si>
    <t>双鱼座</t>
  </si>
  <si>
    <t>英仙座</t>
  </si>
  <si>
    <t>凤凰座</t>
  </si>
  <si>
    <t>巨蛇座</t>
  </si>
  <si>
    <t>时钟座</t>
  </si>
  <si>
    <t>人马座</t>
  </si>
  <si>
    <t>南冕座</t>
  </si>
  <si>
    <t>随机C级宠物</t>
  </si>
  <si>
    <t>随机B级宠物</t>
  </si>
  <si>
    <t>随机A级宠物</t>
  </si>
  <si>
    <t>随机S级宠物</t>
  </si>
  <si>
    <t>随机SS级宠物</t>
  </si>
  <si>
    <t>随机SSS级宠物</t>
  </si>
  <si>
    <t>随机货物</t>
  </si>
  <si>
    <t>寻宝随机奖励1</t>
  </si>
  <si>
    <t>寻宝随机奖励2</t>
  </si>
  <si>
    <t>随机红色坐骑</t>
  </si>
  <si>
    <t>随机红色特级星图</t>
  </si>
  <si>
    <t>随机道具</t>
  </si>
  <si>
    <t>随机普通宝石</t>
  </si>
  <si>
    <t>随机稀有宝石</t>
  </si>
  <si>
    <t>随机1-3阶宝石</t>
  </si>
  <si>
    <t>随机4-6阶宝石</t>
  </si>
  <si>
    <t>初级自选宝箱</t>
  </si>
  <si>
    <t>中级自选宝箱</t>
  </si>
  <si>
    <t>高级自选宝箱</t>
  </si>
  <si>
    <t>特级自选抽奖包</t>
  </si>
  <si>
    <t>豪华自选抽奖包</t>
  </si>
  <si>
    <t>自选S级宠物</t>
  </si>
  <si>
    <t>自选红色特级星图</t>
  </si>
  <si>
    <t>健壮棕熊</t>
  </si>
  <si>
    <t>白尾橙狐</t>
  </si>
  <si>
    <t>白尾橙狐1星</t>
  </si>
  <si>
    <t>敏捷黑狼</t>
  </si>
  <si>
    <t>敏捷黑狼1星</t>
  </si>
  <si>
    <t>狂野巨熊</t>
  </si>
  <si>
    <t>狂野巨熊1星</t>
  </si>
  <si>
    <t>狂野巨熊2星</t>
  </si>
  <si>
    <t>荒野战虎</t>
  </si>
  <si>
    <t>荒野战虎1星</t>
  </si>
  <si>
    <t>荒野战虎2星</t>
  </si>
  <si>
    <t>金耀独角兽</t>
  </si>
  <si>
    <t>金耀独角兽1星</t>
  </si>
  <si>
    <t>金耀独角兽2星</t>
  </si>
  <si>
    <t>金耀独角兽3星</t>
  </si>
  <si>
    <t>金耀独角兽4星</t>
  </si>
  <si>
    <t>战争狮鹫</t>
  </si>
  <si>
    <t>战争狮鹫1星</t>
  </si>
  <si>
    <t>战争狮鹫2星</t>
  </si>
  <si>
    <t>战争狮鹫3星</t>
  </si>
  <si>
    <t>战争狮鹫4星</t>
  </si>
  <si>
    <t>蛮荒古龙</t>
  </si>
  <si>
    <t>铜铸巨龙</t>
  </si>
  <si>
    <t>灿金龙皇</t>
  </si>
  <si>
    <t>聚沙魔龙</t>
  </si>
  <si>
    <t>隐渊神龙</t>
  </si>
  <si>
    <t>恶渊王龙</t>
  </si>
  <si>
    <t>鸭子</t>
  </si>
  <si>
    <t>自行车</t>
  </si>
  <si>
    <t>星光独角兽</t>
  </si>
  <si>
    <t>赤兔</t>
  </si>
  <si>
    <t>关羽帽子</t>
  </si>
  <si>
    <t>玩偶熊</t>
  </si>
  <si>
    <t>关羽肩甲</t>
  </si>
  <si>
    <t>咸鱼</t>
  </si>
  <si>
    <t>关羽衣服</t>
  </si>
  <si>
    <t>关羽武器</t>
  </si>
  <si>
    <t>关羽手套</t>
  </si>
  <si>
    <t>关羽腰带</t>
  </si>
  <si>
    <t>关羽鞋子</t>
  </si>
  <si>
    <t>熊帽子</t>
  </si>
  <si>
    <t>夏日沙滩</t>
  </si>
  <si>
    <t>熊肩甲</t>
  </si>
  <si>
    <t>青蛙马桶刷</t>
  </si>
  <si>
    <t>熊衣服</t>
  </si>
  <si>
    <t>熊武器</t>
  </si>
  <si>
    <t>熊手套</t>
  </si>
  <si>
    <t>熊腰带</t>
  </si>
  <si>
    <t>熊鞋子</t>
  </si>
  <si>
    <t>西装暴徒</t>
  </si>
  <si>
    <t>沙滩肩甲</t>
  </si>
  <si>
    <t>鎏金权杖</t>
  </si>
  <si>
    <t>沙滩衣服</t>
  </si>
  <si>
    <t>沙滩武器</t>
  </si>
  <si>
    <t>沙滩手套</t>
  </si>
  <si>
    <t>沙滩腰带</t>
  </si>
  <si>
    <t>沙滩鞋子</t>
  </si>
  <si>
    <t>武圣关羽</t>
  </si>
  <si>
    <t>青龙偃月刀</t>
  </si>
  <si>
    <t>未知道具</t>
  </si>
  <si>
    <t>道具</t>
  </si>
  <si>
    <t>数量</t>
  </si>
  <si>
    <t>单价</t>
  </si>
  <si>
    <t>实际价格</t>
  </si>
  <si>
    <t>预算价格</t>
  </si>
  <si>
    <t>配置</t>
  </si>
  <si>
    <t>配置汇总</t>
  </si>
  <si>
    <t>6元、18元</t>
  </si>
  <si>
    <t>30元、68元</t>
  </si>
  <si>
    <t>128、198、328、648</t>
  </si>
  <si>
    <t>128、198</t>
  </si>
  <si>
    <t>328、648</t>
  </si>
  <si>
    <t>超能新星-光子头盔</t>
  </si>
  <si>
    <t>超能新星-脉冲护盾</t>
  </si>
  <si>
    <t>超能新星-十字光剑</t>
  </si>
  <si>
    <t>名称</t>
  </si>
  <si>
    <t>价格</t>
  </si>
  <si>
    <t>单价1</t>
  </si>
  <si>
    <t>单价2</t>
  </si>
  <si>
    <t>总价</t>
  </si>
  <si>
    <t>折扣</t>
  </si>
  <si>
    <t>折</t>
  </si>
  <si>
    <t>新服头盔礼包</t>
  </si>
  <si>
    <t>新服盾牌礼包</t>
  </si>
  <si>
    <t>新服武器礼包</t>
  </si>
  <si>
    <t>新服翅膀礼包</t>
  </si>
  <si>
    <t>新服宝石礼包</t>
  </si>
  <si>
    <t>《拜托了！宝箱》海量宝箱开局即送，神装金币开箱即得。Google及IOS商店搜索下载，现在填写邀请码还有开服豪礼可领，我的邀请码：XXXXXXXXXX</t>
  </si>
  <si>
    <t>《拜託了！寶箱》海量寶箱開局即送，神裝金幣開箱即得。Google及IOS商店搜索下載，現在填寫邀請碼還有開服豪禮可領，我的邀請碼：XXXXXXXXXX</t>
  </si>
  <si>
    <t>屬性暴漲 戰力直升    LV60[傳說]光子頭盔</t>
  </si>
  <si>
    <t>防禦翻倍 超強回復    LV80[天賜]脈衝護盾</t>
  </si>
  <si>
    <t>戰力起飛 刀刀暴擊    LV100[神鑄]十字光劍</t>
  </si>
  <si>
    <t>天数</t>
  </si>
  <si>
    <t>道具ID</t>
  </si>
  <si>
    <t>道具类型</t>
  </si>
  <si>
    <t>宝箱*30</t>
  </si>
  <si>
    <t>装备</t>
  </si>
  <si>
    <t>[传说]LV80衣服*1</t>
  </si>
  <si>
    <t>翅膀</t>
  </si>
  <si>
    <t>宠物蛋*10</t>
  </si>
  <si>
    <t>宝石券*10</t>
  </si>
  <si>
    <t>技能书卷*10</t>
  </si>
  <si>
    <t>[时装]咸鱼*1</t>
  </si>
  <si>
    <t>[时装]玩偶熊*1</t>
  </si>
  <si>
    <t>任务ID</t>
  </si>
  <si>
    <t>任务描述</t>
  </si>
  <si>
    <t>任务说明</t>
  </si>
  <si>
    <t>打开{0}个宝箱</t>
  </si>
  <si>
    <t>1积分=3钻</t>
  </si>
  <si>
    <t>出售{0}件装备</t>
  </si>
  <si>
    <t>出售装备获得{0}金币</t>
  </si>
  <si>
    <t>积分奖励</t>
  </si>
  <si>
    <t>价值1</t>
  </si>
  <si>
    <t>总价值</t>
  </si>
  <si>
    <t>兑换道具</t>
  </si>
  <si>
    <t>价值</t>
  </si>
  <si>
    <t>积分</t>
  </si>
  <si>
    <t>限购</t>
  </si>
  <si>
    <t>积分配置</t>
  </si>
  <si>
    <t>分解{0}件装备</t>
  </si>
  <si>
    <t>ID</t>
  </si>
  <si>
    <t>任务</t>
  </si>
  <si>
    <t>数值</t>
  </si>
  <si>
    <t>任务配置</t>
  </si>
  <si>
    <t>跳转ID</t>
  </si>
  <si>
    <t>1期</t>
  </si>
  <si>
    <t>穿戴{0}件装备</t>
  </si>
  <si>
    <t>第1天</t>
  </si>
  <si>
    <t>101</t>
  </si>
  <si>
    <t>角色等级达到{0}级</t>
  </si>
  <si>
    <t>20</t>
  </si>
  <si>
    <t>穿戴{0}件{1}品质装备</t>
  </si>
  <si>
    <t>0=数量，1=品质名称（≥该品质均可）</t>
  </si>
  <si>
    <t>102</t>
  </si>
  <si>
    <t>精炼装备{0}次</t>
  </si>
  <si>
    <t>103</t>
  </si>
  <si>
    <t>宝箱等级达到{0}级</t>
  </si>
  <si>
    <t>5</t>
  </si>
  <si>
    <t>任意部位的精炼等级达到{0}级</t>
  </si>
  <si>
    <t>104</t>
  </si>
  <si>
    <t>通关冒险{0}</t>
  </si>
  <si>
    <t>精炼总等级达到{0}级</t>
  </si>
  <si>
    <t>105</t>
  </si>
  <si>
    <t>410</t>
  </si>
  <si>
    <t>获得{0}件{1}品质及以上装备</t>
  </si>
  <si>
    <t>106</t>
  </si>
  <si>
    <t>1500</t>
  </si>
  <si>
    <t>登录第{0}天</t>
  </si>
  <si>
    <t>107</t>
  </si>
  <si>
    <t>通关魔王挑战{0}</t>
  </si>
  <si>
    <t>10002</t>
  </si>
  <si>
    <t>奖励1</t>
  </si>
  <si>
    <t>2期</t>
  </si>
  <si>
    <t>累计购买{0}次宝箱升级</t>
  </si>
  <si>
    <t>108</t>
  </si>
  <si>
    <t>扫荡{0}次魔王挑战关卡</t>
  </si>
  <si>
    <t>109</t>
  </si>
  <si>
    <t>挑战{0}次竞技场</t>
  </si>
  <si>
    <t>110</t>
  </si>
  <si>
    <t>6</t>
  </si>
  <si>
    <t>消耗{0}金币</t>
  </si>
  <si>
    <t>111</t>
  </si>
  <si>
    <t>竞技场挑战胜利{0}次</t>
  </si>
  <si>
    <t>2</t>
  </si>
  <si>
    <t>消耗{0}钻石</t>
  </si>
  <si>
    <t>112</t>
  </si>
  <si>
    <t>4</t>
  </si>
  <si>
    <t>在市集购买{0}次商品</t>
  </si>
  <si>
    <t>113</t>
  </si>
  <si>
    <t>进行{0}次宠物抽奖</t>
  </si>
  <si>
    <t>10</t>
  </si>
  <si>
    <t>获得{0}宝石</t>
  </si>
  <si>
    <t>获得宝石累计进度</t>
  </si>
  <si>
    <t>114</t>
  </si>
  <si>
    <t>购买{0}块宝石</t>
  </si>
  <si>
    <t>购买/兑换宝石累计进度</t>
  </si>
  <si>
    <t>115</t>
  </si>
  <si>
    <t>30</t>
  </si>
  <si>
    <t>合成宝石{0}次</t>
  </si>
  <si>
    <t>116</t>
  </si>
  <si>
    <t>参与{0}次宠物试练</t>
  </si>
  <si>
    <t>镶嵌{0}块宝石</t>
  </si>
  <si>
    <t>117</t>
  </si>
  <si>
    <t>升级{0}次翅膀</t>
  </si>
  <si>
    <t>拥有{0}张宝石图纸</t>
  </si>
  <si>
    <t>118</t>
  </si>
  <si>
    <t>创建或者加入军团</t>
  </si>
  <si>
    <t>拥有{0}张{1}品质宝石图纸</t>
  </si>
  <si>
    <t>1=品质名称</t>
  </si>
  <si>
    <t>第2天</t>
  </si>
  <si>
    <t>201</t>
  </si>
  <si>
    <t>40</t>
  </si>
  <si>
    <t>更换{0}次宝石图纸</t>
  </si>
  <si>
    <t>202</t>
  </si>
  <si>
    <t>任意1张星图镶嵌满宝石</t>
  </si>
  <si>
    <t>203</t>
  </si>
  <si>
    <t>505</t>
  </si>
  <si>
    <t>拥有一只{0}级的坐骑</t>
  </si>
  <si>
    <t>204</t>
  </si>
  <si>
    <t>510</t>
  </si>
  <si>
    <t>拥有一只{0}品质的坐骑</t>
  </si>
  <si>
    <t>205</t>
  </si>
  <si>
    <t>3000</t>
  </si>
  <si>
    <t>召唤{0}次坐骑</t>
  </si>
  <si>
    <t>10连抽=召唤10次</t>
  </si>
  <si>
    <t>206</t>
  </si>
  <si>
    <t>10003</t>
  </si>
  <si>
    <t>通过坐骑探索获得{0}个粮草</t>
  </si>
  <si>
    <t>、快速探索也算</t>
  </si>
  <si>
    <t>207</t>
  </si>
  <si>
    <t>坐骑快速探索{0}次</t>
  </si>
  <si>
    <t>208</t>
  </si>
  <si>
    <t>12</t>
  </si>
  <si>
    <t>升级坐骑{0}次</t>
  </si>
  <si>
    <t>209</t>
  </si>
  <si>
    <t>16</t>
  </si>
  <si>
    <t>合成{0}次坐骑</t>
  </si>
  <si>
    <t>210</t>
  </si>
  <si>
    <t>骑乘任意坐骑</t>
  </si>
  <si>
    <t>执行过上阵操作就算完成（引导用）</t>
  </si>
  <si>
    <t>211</t>
  </si>
  <si>
    <t>8</t>
  </si>
  <si>
    <t>晋升{0}次坐骑</t>
  </si>
  <si>
    <t>212</t>
  </si>
  <si>
    <t>采集{0}次资源</t>
  </si>
  <si>
    <t>拥有一只{0}级的宠物</t>
  </si>
  <si>
    <t>0=等级</t>
  </si>
  <si>
    <t>213</t>
  </si>
  <si>
    <t>拥有一只{0}级宠物</t>
  </si>
  <si>
    <t>{0}=品质名称 如：D、C、B、A、S、SS、SSS</t>
  </si>
  <si>
    <t>214</t>
  </si>
  <si>
    <t>合成宠物{0}次</t>
  </si>
  <si>
    <t>215</t>
  </si>
  <si>
    <t>抢夺{0}次资源</t>
  </si>
  <si>
    <t>10连抽算作10次</t>
  </si>
  <si>
    <t>216</t>
  </si>
  <si>
    <t>上阵宠物</t>
  </si>
  <si>
    <t>217</t>
  </si>
  <si>
    <t>解锁宠物{0}</t>
  </si>
  <si>
    <t>0=宠物id，客户端显示宠物名称</t>
  </si>
  <si>
    <t>219</t>
  </si>
  <si>
    <t>刷新相邻领地{0}次</t>
  </si>
  <si>
    <t>穿戴{0}件{1}品质宠物装备</t>
  </si>
  <si>
    <t>220</t>
  </si>
  <si>
    <t>军团中讨伐魔王{0}次</t>
  </si>
  <si>
    <t>拥有一个{0}级的技能</t>
  </si>
  <si>
    <t>第3天</t>
  </si>
  <si>
    <t>301</t>
  </si>
  <si>
    <t>50</t>
  </si>
  <si>
    <t>解锁{0}个技能</t>
  </si>
  <si>
    <t>302</t>
  </si>
  <si>
    <t>7</t>
  </si>
  <si>
    <t>解锁{0}个{1}品质技能</t>
  </si>
  <si>
    <t>303</t>
  </si>
  <si>
    <t>605</t>
  </si>
  <si>
    <t>技能总等级达到{0}级</t>
  </si>
  <si>
    <t>304</t>
  </si>
  <si>
    <t>610</t>
  </si>
  <si>
    <t>{1}品质技能总等级达到{0}级</t>
  </si>
  <si>
    <t>305</t>
  </si>
  <si>
    <t>5000</t>
  </si>
  <si>
    <t>技能抽奖{0}次</t>
  </si>
  <si>
    <t>306</t>
  </si>
  <si>
    <t>10004</t>
  </si>
  <si>
    <t>307</t>
  </si>
  <si>
    <t>翅膀提升到{0}阶</t>
  </si>
  <si>
    <t>308</t>
  </si>
  <si>
    <t>翅膀达到{0}阶{1}级</t>
  </si>
  <si>
    <t>309</t>
  </si>
  <si>
    <t>25</t>
  </si>
  <si>
    <t>拥有{0}件翅膀幻形</t>
  </si>
  <si>
    <t>310</t>
  </si>
  <si>
    <t>更换翅膀{0}次</t>
  </si>
  <si>
    <t>311</t>
  </si>
  <si>
    <t>13</t>
  </si>
  <si>
    <t>挑战冒险关卡{0}次</t>
  </si>
  <si>
    <t>312</t>
  </si>
  <si>
    <t>0=主线任务关卡名称</t>
  </si>
  <si>
    <t>313</t>
  </si>
  <si>
    <t>参与{0}次魔王挑战关卡</t>
  </si>
  <si>
    <t>314</t>
  </si>
  <si>
    <t>18</t>
  </si>
  <si>
    <t>315</t>
  </si>
  <si>
    <t>24</t>
  </si>
  <si>
    <t>0=魔王挑战关卡名称</t>
  </si>
  <si>
    <t>316</t>
  </si>
  <si>
    <t>参与{0}次宝石试练</t>
  </si>
  <si>
    <t>、复仇也算</t>
  </si>
  <si>
    <t>317</t>
  </si>
  <si>
    <t>3</t>
  </si>
  <si>
    <t>、被挑战不算</t>
  </si>
  <si>
    <t>第4天</t>
  </si>
  <si>
    <t>401</t>
  </si>
  <si>
    <t>60</t>
  </si>
  <si>
    <t>竞技场积分达到{0}</t>
  </si>
  <si>
    <t>历史最高分</t>
  </si>
  <si>
    <t>402</t>
  </si>
  <si>
    <t>竞技场每日结算时进入前{0}名</t>
  </si>
  <si>
    <t>0=名次，≤该名次都算完成</t>
  </si>
  <si>
    <t>403</t>
  </si>
  <si>
    <t>705</t>
  </si>
  <si>
    <t>竞技场每周结算时进入前{0}名</t>
  </si>
  <si>
    <t>404</t>
  </si>
  <si>
    <t>710</t>
  </si>
  <si>
    <t>领地等级达到{0}级</t>
  </si>
  <si>
    <t>405</t>
  </si>
  <si>
    <t>7000</t>
  </si>
  <si>
    <t>、抢夺也算</t>
  </si>
  <si>
    <t>406</t>
  </si>
  <si>
    <t>10006</t>
  </si>
  <si>
    <t>407</t>
  </si>
  <si>
    <t>14</t>
  </si>
  <si>
    <t>408</t>
  </si>
  <si>
    <t>开启防护罩{0}次</t>
  </si>
  <si>
    <t>409</t>
  </si>
  <si>
    <t>35</t>
  </si>
  <si>
    <t>使用防护罩驱赶掠夺者{0}次</t>
  </si>
  <si>
    <t>15</t>
  </si>
  <si>
    <t>申请加入军团</t>
  </si>
  <si>
    <t>申请就算完成，已有军团也算完成</t>
  </si>
  <si>
    <t>411</t>
  </si>
  <si>
    <t>有军团才算完成</t>
  </si>
  <si>
    <t>412</t>
  </si>
  <si>
    <t>领取军团奖励{0}次</t>
  </si>
  <si>
    <t>413</t>
  </si>
  <si>
    <t>挑战无尽深渊{0}次</t>
  </si>
  <si>
    <t>军团协助他人{0}几次</t>
  </si>
  <si>
    <t>414</t>
  </si>
  <si>
    <t>通关{0}</t>
  </si>
  <si>
    <t>415</t>
  </si>
  <si>
    <t>军团单次讨伐魔王获得{0}积分</t>
  </si>
  <si>
    <t>第5天</t>
  </si>
  <si>
    <t>501</t>
  </si>
  <si>
    <t>70</t>
  </si>
  <si>
    <t>在一次军团讨伐魔王活动中累计获得{0}分</t>
  </si>
  <si>
    <t>502</t>
  </si>
  <si>
    <t>9</t>
  </si>
  <si>
    <t>在军团讨伐魔王狙击其他玩家{0}次</t>
  </si>
  <si>
    <t>503</t>
  </si>
  <si>
    <t>810</t>
  </si>
  <si>
    <t>在军团讨伐魔王时狙击成功其他玩家{0}次</t>
  </si>
  <si>
    <t>504</t>
  </si>
  <si>
    <t>910</t>
  </si>
  <si>
    <t>9000</t>
  </si>
  <si>
    <t>0=章节名称 1=关卡（如：通过嗜血深渊-第7层）</t>
  </si>
  <si>
    <t>506</t>
  </si>
  <si>
    <t>10008</t>
  </si>
  <si>
    <t>扫荡和挑战都算</t>
  </si>
  <si>
    <t>507</t>
  </si>
  <si>
    <t>宠物试练通过{0}</t>
  </si>
  <si>
    <t>0=关卡名  难度1=10001</t>
  </si>
  <si>
    <t>508</t>
  </si>
  <si>
    <t>509</t>
  </si>
  <si>
    <t>45</t>
  </si>
  <si>
    <t>宝石试练最高达到{0}层奖励</t>
  </si>
  <si>
    <t>参与{0}次技能试练</t>
  </si>
  <si>
    <t>511</t>
  </si>
  <si>
    <t>23</t>
  </si>
  <si>
    <t>技能试练通过{0}</t>
  </si>
  <si>
    <t>0=关卡名</t>
  </si>
  <si>
    <t>512</t>
  </si>
  <si>
    <t>参与{0}次坐骑试练</t>
  </si>
  <si>
    <t>513</t>
  </si>
  <si>
    <t>坐骑试练通过{0}</t>
  </si>
  <si>
    <t xml:space="preserve">0=关卡名 </t>
  </si>
  <si>
    <t>514</t>
  </si>
  <si>
    <t>累计充值{0}元</t>
  </si>
  <si>
    <t>515</t>
  </si>
  <si>
    <t>{0}位被邀请人达到{1}级</t>
  </si>
  <si>
    <t>第6天</t>
  </si>
  <si>
    <t>601</t>
  </si>
  <si>
    <t>80</t>
  </si>
  <si>
    <t>世界频道聊天{0}次</t>
  </si>
  <si>
    <t>602</t>
  </si>
  <si>
    <t>1010</t>
  </si>
  <si>
    <t>修改昵称{0}次</t>
  </si>
  <si>
    <t>603</t>
  </si>
  <si>
    <t>1110</t>
  </si>
  <si>
    <t>604</t>
  </si>
  <si>
    <t>12000</t>
  </si>
  <si>
    <t>10010</t>
  </si>
  <si>
    <t>606</t>
  </si>
  <si>
    <t>22</t>
  </si>
  <si>
    <t>607</t>
  </si>
  <si>
    <t>608</t>
  </si>
  <si>
    <t>55</t>
  </si>
  <si>
    <t>609</t>
  </si>
  <si>
    <t>28</t>
  </si>
  <si>
    <t>611</t>
  </si>
  <si>
    <t>60010</t>
  </si>
  <si>
    <t>612</t>
  </si>
  <si>
    <t>613</t>
  </si>
  <si>
    <t>614</t>
  </si>
  <si>
    <t>615</t>
  </si>
  <si>
    <t>第7天</t>
  </si>
  <si>
    <t>701</t>
  </si>
  <si>
    <t>85</t>
  </si>
  <si>
    <t>702</t>
  </si>
  <si>
    <t>703</t>
  </si>
  <si>
    <t>1205</t>
  </si>
  <si>
    <t>704</t>
  </si>
  <si>
    <t>1210</t>
  </si>
  <si>
    <t>15000</t>
  </si>
  <si>
    <t>706</t>
  </si>
  <si>
    <t>10011</t>
  </si>
  <si>
    <t>707</t>
  </si>
  <si>
    <t>708</t>
  </si>
  <si>
    <t>709</t>
  </si>
  <si>
    <t>65</t>
  </si>
  <si>
    <t>711</t>
  </si>
  <si>
    <t>33</t>
  </si>
  <si>
    <t>712</t>
  </si>
  <si>
    <t>713</t>
  </si>
  <si>
    <t>714</t>
  </si>
  <si>
    <t>715</t>
  </si>
  <si>
    <t>第8天</t>
  </si>
  <si>
    <t>801</t>
  </si>
  <si>
    <t>90</t>
  </si>
  <si>
    <t>802</t>
  </si>
  <si>
    <t>1305</t>
  </si>
  <si>
    <t>803</t>
  </si>
  <si>
    <t>1310</t>
  </si>
  <si>
    <t>804</t>
  </si>
  <si>
    <t>805</t>
  </si>
  <si>
    <t>10012</t>
  </si>
  <si>
    <t>806</t>
  </si>
  <si>
    <t>807</t>
  </si>
  <si>
    <t>808</t>
  </si>
  <si>
    <t>809</t>
  </si>
  <si>
    <t>811</t>
  </si>
  <si>
    <t>812</t>
  </si>
  <si>
    <t>813</t>
  </si>
  <si>
    <t>500</t>
  </si>
  <si>
    <t>814</t>
  </si>
  <si>
    <t>815</t>
  </si>
  <si>
    <t>第9天</t>
  </si>
  <si>
    <t>901</t>
  </si>
  <si>
    <t>93</t>
  </si>
  <si>
    <t>902</t>
  </si>
  <si>
    <t>11</t>
  </si>
  <si>
    <t>903</t>
  </si>
  <si>
    <t>1405</t>
  </si>
  <si>
    <t>904</t>
  </si>
  <si>
    <t>1410</t>
  </si>
  <si>
    <t>905</t>
  </si>
  <si>
    <t>6000</t>
  </si>
  <si>
    <t>906</t>
  </si>
  <si>
    <t>907</t>
  </si>
  <si>
    <t>908</t>
  </si>
  <si>
    <t>909</t>
  </si>
  <si>
    <t>911</t>
  </si>
  <si>
    <t>912</t>
  </si>
  <si>
    <t>913</t>
  </si>
  <si>
    <t>914</t>
  </si>
  <si>
    <t>915</t>
  </si>
  <si>
    <t>第10天</t>
  </si>
  <si>
    <t>1001</t>
  </si>
  <si>
    <t>95</t>
  </si>
  <si>
    <t>1002</t>
  </si>
  <si>
    <t>1003</t>
  </si>
  <si>
    <t>1505</t>
  </si>
  <si>
    <t>1004</t>
  </si>
  <si>
    <t>1510</t>
  </si>
  <si>
    <t>1005</t>
  </si>
  <si>
    <t>1006</t>
  </si>
  <si>
    <t>10013</t>
  </si>
  <si>
    <t>1007</t>
  </si>
  <si>
    <t>1008</t>
  </si>
  <si>
    <t>1009</t>
  </si>
  <si>
    <t>1011</t>
  </si>
  <si>
    <t>1012</t>
  </si>
  <si>
    <t>1013</t>
  </si>
  <si>
    <t>1014</t>
  </si>
  <si>
    <t>1400</t>
  </si>
  <si>
    <t>1015</t>
  </si>
  <si>
    <t>第11天</t>
  </si>
  <si>
    <t>1101</t>
  </si>
  <si>
    <t>97</t>
  </si>
  <si>
    <t>1102</t>
  </si>
  <si>
    <t>1602</t>
  </si>
  <si>
    <t>1103</t>
  </si>
  <si>
    <t>1604</t>
  </si>
  <si>
    <t>1104</t>
  </si>
  <si>
    <t>1105</t>
  </si>
  <si>
    <t>1106</t>
  </si>
  <si>
    <t>1107</t>
  </si>
  <si>
    <t>1108</t>
  </si>
  <si>
    <t>17</t>
  </si>
  <si>
    <t>1109</t>
  </si>
  <si>
    <t>1111</t>
  </si>
  <si>
    <t>1112</t>
  </si>
  <si>
    <t>1113</t>
  </si>
  <si>
    <t>1114</t>
  </si>
  <si>
    <t>1115</t>
  </si>
  <si>
    <t>第12天</t>
  </si>
  <si>
    <t>1201</t>
  </si>
  <si>
    <t>98</t>
  </si>
  <si>
    <t>1202</t>
  </si>
  <si>
    <t>1203</t>
  </si>
  <si>
    <t>1606</t>
  </si>
  <si>
    <t>1204</t>
  </si>
  <si>
    <t>1608</t>
  </si>
  <si>
    <t>1206</t>
  </si>
  <si>
    <t>1207</t>
  </si>
  <si>
    <t>1208</t>
  </si>
  <si>
    <t>1209</t>
  </si>
  <si>
    <t>1211</t>
  </si>
  <si>
    <t>1212</t>
  </si>
  <si>
    <t>1213</t>
  </si>
  <si>
    <t>1214</t>
  </si>
  <si>
    <t>1215</t>
  </si>
  <si>
    <t>第13天</t>
  </si>
  <si>
    <t>1301</t>
  </si>
  <si>
    <t>99</t>
  </si>
  <si>
    <t>1302</t>
  </si>
  <si>
    <t>1609</t>
  </si>
  <si>
    <t>1303</t>
  </si>
  <si>
    <t>1610</t>
  </si>
  <si>
    <t>1304</t>
  </si>
  <si>
    <t>18000</t>
  </si>
  <si>
    <t>1306</t>
  </si>
  <si>
    <t>1307</t>
  </si>
  <si>
    <t>1308</t>
  </si>
  <si>
    <t>27</t>
  </si>
  <si>
    <t>1309</t>
  </si>
  <si>
    <t>1311</t>
  </si>
  <si>
    <t>1312</t>
  </si>
  <si>
    <t>1313</t>
  </si>
  <si>
    <t>1314</t>
  </si>
  <si>
    <t>1315</t>
  </si>
  <si>
    <t>第14天</t>
  </si>
  <si>
    <t>1401</t>
  </si>
  <si>
    <t>100</t>
  </si>
  <si>
    <t>1402</t>
  </si>
  <si>
    <t>1403</t>
  </si>
  <si>
    <t>1702</t>
  </si>
  <si>
    <t>1404</t>
  </si>
  <si>
    <t>1705</t>
  </si>
  <si>
    <t>22000</t>
  </si>
  <si>
    <t>1406</t>
  </si>
  <si>
    <t>21</t>
  </si>
  <si>
    <t>1407</t>
  </si>
  <si>
    <t>62</t>
  </si>
  <si>
    <t>1408</t>
  </si>
  <si>
    <t>1409</t>
  </si>
  <si>
    <t>32</t>
  </si>
  <si>
    <t>34</t>
  </si>
  <si>
    <t>1411</t>
  </si>
  <si>
    <t>1412</t>
  </si>
  <si>
    <t>1413</t>
  </si>
  <si>
    <t>1414</t>
  </si>
  <si>
    <t>1415</t>
  </si>
  <si>
    <t>要求</t>
  </si>
  <si>
    <t>道具1</t>
  </si>
  <si>
    <t>道具2</t>
  </si>
  <si>
    <t>道具3</t>
  </si>
  <si>
    <t>单价3</t>
  </si>
  <si>
    <t>任一特殊属性达到</t>
  </si>
  <si>
    <t>任一忽视属性达到</t>
  </si>
  <si>
    <t>一天</t>
  </si>
  <si>
    <t>4000箱子</t>
  </si>
  <si>
    <t>宝箱等级</t>
  </si>
  <si>
    <t>打开宝箱</t>
  </si>
  <si>
    <t>时间</t>
  </si>
  <si>
    <t>300</t>
  </si>
  <si>
    <t>1800</t>
  </si>
  <si>
    <t>礼包名</t>
  </si>
  <si>
    <t>1,999</t>
  </si>
  <si>
    <t>免费特惠礼包</t>
  </si>
  <si>
    <t>Ⅰ</t>
  </si>
  <si>
    <t>新服特惠礼包Ⅰ</t>
  </si>
  <si>
    <t>50,999</t>
  </si>
  <si>
    <t>Ⅱ</t>
  </si>
  <si>
    <t>新服特惠礼包Ⅱ</t>
  </si>
  <si>
    <t>70,999</t>
  </si>
  <si>
    <t>Ⅲ</t>
  </si>
  <si>
    <t>新服特惠礼包Ⅲ</t>
  </si>
  <si>
    <t>85,999</t>
  </si>
  <si>
    <t>Ⅳ</t>
  </si>
  <si>
    <t>新服特惠礼包Ⅳ</t>
  </si>
  <si>
    <t>Ⅴ</t>
  </si>
  <si>
    <t>新服特惠礼包Ⅴ</t>
  </si>
  <si>
    <t>Ⅵ</t>
  </si>
  <si>
    <t>新服特惠礼包Ⅵ</t>
  </si>
  <si>
    <t>Ⅶ</t>
  </si>
  <si>
    <t>新服特惠礼包Ⅶ</t>
  </si>
  <si>
    <t>Ⅷ</t>
  </si>
  <si>
    <t>新服特惠礼包Ⅷ</t>
  </si>
  <si>
    <t>Ⅸ</t>
  </si>
  <si>
    <t>新服特惠礼包Ⅸ</t>
  </si>
  <si>
    <t>Ⅹ</t>
  </si>
  <si>
    <t>新服特惠礼包Ⅹ</t>
  </si>
  <si>
    <t>Ⅺ</t>
  </si>
  <si>
    <t>新服特惠礼包Ⅺ</t>
  </si>
  <si>
    <t>Ⅻ</t>
  </si>
  <si>
    <t>新服特惠礼包Ⅻ</t>
  </si>
  <si>
    <t>XIII</t>
  </si>
  <si>
    <t>新服特惠礼包XIII</t>
  </si>
  <si>
    <t>XIV</t>
  </si>
  <si>
    <t>新服特惠礼包XIV</t>
  </si>
  <si>
    <t>XV</t>
  </si>
  <si>
    <t>新服特惠礼包XV</t>
  </si>
  <si>
    <t>Ⅰ, Ⅱ , Ⅲ ,Ⅳ(IIII),Ⅴ ,Ⅵ ,Ⅶ ,Ⅷ ,Ⅸ ,Ⅹ ,Ⅺ ,Ⅻ, XIII, XIV, XV, XVI, XVII, XVIII</t>
  </si>
  <si>
    <t>特惠礼包进度</t>
  </si>
  <si>
    <t>关卡冲刺</t>
  </si>
  <si>
    <t>排名</t>
  </si>
  <si>
    <t>奖励2</t>
  </si>
  <si>
    <t>奖励3</t>
  </si>
  <si>
    <t>价值2</t>
  </si>
  <si>
    <t>价值3</t>
  </si>
  <si>
    <t>关卡自定义称号</t>
  </si>
  <si>
    <t>第4-5名</t>
  </si>
  <si>
    <t>第6-10名</t>
  </si>
  <si>
    <t>第11-30名</t>
  </si>
  <si>
    <t>第31-100名</t>
  </si>
  <si>
    <t>最强骑士</t>
  </si>
  <si>
    <t>战力自定义称号</t>
  </si>
  <si>
    <t>流派大师—闪避</t>
  </si>
  <si>
    <t>闪避</t>
  </si>
  <si>
    <t>暴击</t>
  </si>
  <si>
    <t>击晕</t>
  </si>
  <si>
    <t>反击</t>
  </si>
  <si>
    <t>连击</t>
  </si>
  <si>
    <t>第11-50名</t>
  </si>
  <si>
    <t>吸血</t>
  </si>
  <si>
    <t>流派大师—暴击</t>
  </si>
  <si>
    <t>流派大师—击晕</t>
  </si>
  <si>
    <t>流派大师—反击</t>
  </si>
  <si>
    <t>流派大师—连击</t>
  </si>
  <si>
    <t>流派大师—吸血</t>
  </si>
  <si>
    <t>第11-20名</t>
  </si>
  <si>
    <t>第21-50名</t>
  </si>
  <si>
    <t>储值档位</t>
  </si>
  <si>
    <t>返奖比</t>
  </si>
  <si>
    <t>价格(人民币)</t>
  </si>
  <si>
    <t>价格(美元)(乘100)</t>
  </si>
  <si>
    <r>
      <rPr>
        <sz val="11"/>
        <color theme="1"/>
        <rFont val="宋体"/>
        <charset val="134"/>
      </rPr>
      <t>价格(</t>
    </r>
    <r>
      <rPr>
        <sz val="11"/>
        <color theme="1"/>
        <rFont val="宋体"/>
        <charset val="134"/>
      </rPr>
      <t>TWD</t>
    </r>
    <r>
      <rPr>
        <sz val="11"/>
        <color theme="1"/>
        <rFont val="宋体"/>
        <charset val="134"/>
      </rPr>
      <t>)</t>
    </r>
  </si>
  <si>
    <r>
      <rPr>
        <sz val="11"/>
        <color theme="1"/>
        <rFont val="宋体"/>
        <charset val="134"/>
      </rPr>
      <t>价格(</t>
    </r>
    <r>
      <rPr>
        <sz val="11"/>
        <color theme="1"/>
        <rFont val="宋体"/>
        <charset val="134"/>
      </rPr>
      <t>KRW</t>
    </r>
    <r>
      <rPr>
        <sz val="11"/>
        <color theme="1"/>
        <rFont val="宋体"/>
        <charset val="134"/>
      </rPr>
      <t>)</t>
    </r>
  </si>
  <si>
    <r>
      <rPr>
        <sz val="11"/>
        <color theme="1"/>
        <rFont val="宋体"/>
        <charset val="134"/>
      </rPr>
      <t>价格(</t>
    </r>
    <r>
      <rPr>
        <sz val="11"/>
        <color theme="1"/>
        <rFont val="宋体"/>
        <charset val="134"/>
      </rPr>
      <t>JPY</t>
    </r>
    <r>
      <rPr>
        <sz val="11"/>
        <color theme="1"/>
        <rFont val="宋体"/>
        <charset val="134"/>
      </rPr>
      <t>)</t>
    </r>
  </si>
  <si>
    <t>int</t>
  </si>
  <si>
    <t>string</t>
  </si>
  <si>
    <t>道具4</t>
  </si>
  <si>
    <t>价值4</t>
  </si>
  <si>
    <t>总价1</t>
  </si>
  <si>
    <t>总价2</t>
  </si>
  <si>
    <t>总价3</t>
  </si>
  <si>
    <t>总价4</t>
  </si>
  <si>
    <t>Price</t>
  </si>
  <si>
    <t>PriceUSD</t>
  </si>
  <si>
    <r>
      <rPr>
        <sz val="11"/>
        <color theme="1"/>
        <rFont val="宋体"/>
        <charset val="134"/>
      </rPr>
      <t>Price</t>
    </r>
    <r>
      <rPr>
        <sz val="11"/>
        <color theme="1"/>
        <rFont val="宋体"/>
        <charset val="134"/>
      </rPr>
      <t>TWD</t>
    </r>
  </si>
  <si>
    <r>
      <rPr>
        <sz val="11"/>
        <color theme="1"/>
        <rFont val="宋体"/>
        <charset val="134"/>
      </rPr>
      <t>Price</t>
    </r>
    <r>
      <rPr>
        <sz val="11"/>
        <color theme="1"/>
        <rFont val="宋体"/>
        <charset val="134"/>
      </rPr>
      <t>KRW</t>
    </r>
  </si>
  <si>
    <r>
      <rPr>
        <sz val="11"/>
        <color theme="1"/>
        <rFont val="宋体"/>
        <charset val="134"/>
      </rPr>
      <t>Price</t>
    </r>
    <r>
      <rPr>
        <sz val="11"/>
        <color theme="1"/>
        <rFont val="宋体"/>
        <charset val="134"/>
      </rPr>
      <t>JPY</t>
    </r>
  </si>
  <si>
    <t>PayPoint</t>
  </si>
  <si>
    <t>1|9|10</t>
  </si>
  <si>
    <t>1|9|20</t>
  </si>
  <si>
    <t>1|9|30</t>
  </si>
  <si>
    <t>1|9|50</t>
  </si>
  <si>
    <t>1|9|100</t>
  </si>
  <si>
    <t>1|9|150</t>
  </si>
  <si>
    <t>1|9|200</t>
  </si>
  <si>
    <t>1|9|305</t>
  </si>
  <si>
    <t>1|9|480</t>
  </si>
  <si>
    <t>1|9|510</t>
  </si>
  <si>
    <t>1|9|1010</t>
  </si>
  <si>
    <t>1|9|1510</t>
  </si>
  <si>
    <t>1|9|3030</t>
  </si>
  <si>
    <t>等级任务</t>
  </si>
  <si>
    <t>积分任务</t>
  </si>
  <si>
    <t>七日</t>
  </si>
  <si>
    <t>试炼</t>
  </si>
  <si>
    <t>周活动</t>
  </si>
  <si>
    <t>主线</t>
  </si>
  <si>
    <t>签到</t>
  </si>
  <si>
    <t>邀请</t>
  </si>
  <si>
    <t>每打开一枚宠物蛋</t>
  </si>
  <si>
    <t>宠物蛋前三天</t>
  </si>
  <si>
    <t>宠物蛋第一天</t>
  </si>
  <si>
    <t>宠物蛋第二天</t>
  </si>
  <si>
    <t>总计免费积分</t>
  </si>
  <si>
    <t>第1轮</t>
  </si>
  <si>
    <t>数量1</t>
  </si>
  <si>
    <t>数量2</t>
  </si>
  <si>
    <t>第一轮积分需求</t>
  </si>
  <si>
    <t>第2轮</t>
  </si>
  <si>
    <t>第二轮积分需求</t>
  </si>
  <si>
    <t>第3轮</t>
  </si>
  <si>
    <t>第三轮积分需求</t>
  </si>
  <si>
    <t>第4轮</t>
  </si>
  <si>
    <t>第四轮积分需求</t>
  </si>
  <si>
    <t>商店</t>
  </si>
  <si>
    <t>限购次数</t>
  </si>
  <si>
    <t>免费</t>
  </si>
  <si>
    <t>1|1011|</t>
  </si>
  <si>
    <t>兑换一枚1级普通宝石</t>
  </si>
  <si>
    <t>兑换一枚2级优秀宝石</t>
  </si>
  <si>
    <t>周活动积分</t>
  </si>
  <si>
    <t>七日目标</t>
  </si>
  <si>
    <t>试炼积分</t>
  </si>
  <si>
    <t>兑换一枚3级精良宝石</t>
  </si>
  <si>
    <t>宝石积分</t>
  </si>
  <si>
    <t>兑换一枚4级稀有宝石</t>
  </si>
  <si>
    <t>兑换一枚5级史诗宝石</t>
  </si>
  <si>
    <t>兑换一枚6级传说宝石</t>
  </si>
  <si>
    <t>数量3</t>
  </si>
  <si>
    <t>数量4</t>
  </si>
  <si>
    <t>单价4</t>
  </si>
  <si>
    <t>每召唤一次技能获得10点积分</t>
  </si>
  <si>
    <t>每召唤一次坐骑获得10点积分</t>
  </si>
  <si>
    <t>在黑市内每消耗1钻石</t>
  </si>
  <si>
    <t>积分需求</t>
  </si>
  <si>
    <t>翅膀升阶消耗</t>
  </si>
  <si>
    <t>阶数</t>
  </si>
  <si>
    <t>等级</t>
  </si>
  <si>
    <t>升级经验值</t>
  </si>
  <si>
    <t>升级消耗</t>
  </si>
  <si>
    <t>进阶消耗</t>
  </si>
  <si>
    <t>(array#sep=,),string</t>
  </si>
  <si>
    <t>Grade</t>
  </si>
  <si>
    <t>Level</t>
  </si>
  <si>
    <t>Exp</t>
  </si>
  <si>
    <t>UpgradeCost</t>
  </si>
  <si>
    <t>ThroughCost</t>
  </si>
  <si>
    <t>白色羽毛</t>
  </si>
  <si>
    <t>比例</t>
  </si>
  <si>
    <t>1|10002|1,1|1|100</t>
  </si>
  <si>
    <t>1|10003|1,1|1|10000</t>
  </si>
  <si>
    <t>1|10002|1,1|1|500</t>
  </si>
  <si>
    <t>1|10003|4,1|1|10000</t>
  </si>
  <si>
    <t>1|10002|1,1|1|1000</t>
  </si>
  <si>
    <t>1|10003|8,1|1|10000</t>
  </si>
  <si>
    <t>1|10002|1,1|1|2000</t>
  </si>
  <si>
    <t>1|10003|14,1|1|10000</t>
  </si>
  <si>
    <t>1|10002|1,1|1|5000</t>
  </si>
  <si>
    <t>1|10003|20,1|1|10000</t>
  </si>
  <si>
    <t>1|10002|1,1|1|10000</t>
  </si>
  <si>
    <t>1|10003|30,1|1|10000</t>
  </si>
  <si>
    <t>1|10003|50,1|1|10000</t>
  </si>
  <si>
    <t>1|10003|70,1|1|10000</t>
  </si>
  <si>
    <t>1|10003|90,1|1|10000</t>
  </si>
  <si>
    <t>1|10003|120,1|1|10000</t>
  </si>
  <si>
    <t>周</t>
  </si>
  <si>
    <t>宠物</t>
  </si>
  <si>
    <t>2,3</t>
  </si>
  <si>
    <t>4,10</t>
  </si>
  <si>
    <t>11,20</t>
  </si>
  <si>
    <t>21,100</t>
  </si>
  <si>
    <t>101,999</t>
  </si>
  <si>
    <t>坐骑</t>
  </si>
  <si>
    <t>技能</t>
  </si>
  <si>
    <t>星空</t>
  </si>
  <si>
    <t>抽奖</t>
  </si>
  <si>
    <t>奖励</t>
  </si>
  <si>
    <t>权重</t>
  </si>
  <si>
    <t>成长礼</t>
  </si>
  <si>
    <t>条件</t>
  </si>
  <si>
    <t>特等奖</t>
  </si>
  <si>
    <t>1位被邀请人达到30级</t>
  </si>
  <si>
    <t>一等奖</t>
  </si>
  <si>
    <t>2位被邀请人达到30级</t>
  </si>
  <si>
    <t>普通奖</t>
  </si>
  <si>
    <t>1位被邀请人达到50级</t>
  </si>
  <si>
    <t>2位被邀请人达到50级</t>
  </si>
  <si>
    <t>1位被邀请人达到80级</t>
  </si>
  <si>
    <t>2位被邀请人达到80级</t>
  </si>
  <si>
    <t>1位被邀请人达到100级</t>
  </si>
  <si>
    <t>2位被邀请人达到100级</t>
  </si>
  <si>
    <t>3位被邀请人达到100级</t>
  </si>
  <si>
    <t>部位</t>
  </si>
  <si>
    <t>储值积分</t>
  </si>
  <si>
    <t>新手礼包1</t>
  </si>
  <si>
    <t>帽子</t>
  </si>
  <si>
    <t>传说</t>
  </si>
  <si>
    <t>装备部位</t>
  </si>
  <si>
    <t>新手礼包2</t>
  </si>
  <si>
    <t>盾牌</t>
  </si>
  <si>
    <t>天赐</t>
  </si>
  <si>
    <t>新手礼包3</t>
  </si>
  <si>
    <t>武器</t>
  </si>
  <si>
    <t>神铸</t>
  </si>
  <si>
    <t>肩甲</t>
  </si>
  <si>
    <t>等级礼包25</t>
  </si>
  <si>
    <t>衣服</t>
  </si>
  <si>
    <t>等级礼包40</t>
  </si>
  <si>
    <t>耳环</t>
  </si>
  <si>
    <t>等级礼包50</t>
  </si>
  <si>
    <t>手套</t>
  </si>
  <si>
    <t>等级礼包60</t>
  </si>
  <si>
    <t>腰带</t>
  </si>
  <si>
    <t>等级礼包70</t>
  </si>
  <si>
    <t>鞋子</t>
  </si>
  <si>
    <t>披风</t>
  </si>
  <si>
    <t>等级礼包80</t>
  </si>
  <si>
    <t>项链</t>
  </si>
  <si>
    <t>等级礼包90</t>
  </si>
  <si>
    <t>等级礼包94</t>
  </si>
  <si>
    <t>戒指</t>
  </si>
  <si>
    <t>等级礼包98</t>
  </si>
  <si>
    <t>等级礼包100</t>
  </si>
  <si>
    <t>永恒</t>
  </si>
  <si>
    <t>等级礼包101</t>
  </si>
  <si>
    <t>等级礼包102</t>
  </si>
  <si>
    <t>等级礼包103</t>
  </si>
  <si>
    <r>
      <rPr>
        <sz val="11"/>
        <color theme="1"/>
        <rFont val="宋体"/>
        <charset val="134"/>
        <scheme val="minor"/>
      </rPr>
      <t>(品质基础属性+升级表属性*升级属性系数)*随机浮动系数</t>
    </r>
  </si>
  <si>
    <t>部件</t>
  </si>
  <si>
    <t>品质ID</t>
  </si>
  <si>
    <t>部位ID</t>
  </si>
  <si>
    <t>基础速度</t>
  </si>
  <si>
    <t>基础生命</t>
  </si>
  <si>
    <t>基础攻击</t>
  </si>
  <si>
    <t>基础防御</t>
  </si>
  <si>
    <t>忽视闪避</t>
  </si>
  <si>
    <t>附赠</t>
  </si>
  <si>
    <t>装备ID</t>
  </si>
  <si>
    <t>属性ID</t>
  </si>
  <si>
    <t>属性类型</t>
  </si>
  <si>
    <t>属性名称</t>
  </si>
  <si>
    <t>速度</t>
  </si>
  <si>
    <t>生命</t>
  </si>
  <si>
    <t>攻击</t>
  </si>
  <si>
    <t>防御</t>
  </si>
  <si>
    <t>回血</t>
  </si>
  <si>
    <t>忽视暴击</t>
  </si>
  <si>
    <t>忽视击晕</t>
  </si>
  <si>
    <t>暴虐</t>
  </si>
  <si>
    <t>仁爱</t>
  </si>
  <si>
    <t>泥泞</t>
  </si>
  <si>
    <t>回复</t>
  </si>
  <si>
    <t>欺凌</t>
  </si>
  <si>
    <t>底力</t>
  </si>
  <si>
    <t>掠财</t>
  </si>
  <si>
    <t>角斗士</t>
  </si>
  <si>
    <t>全忽视属性</t>
  </si>
  <si>
    <t>伤害提升+</t>
  </si>
  <si>
    <t>伤害减免+</t>
  </si>
  <si>
    <t>暴击伤害+</t>
  </si>
  <si>
    <t>开服天数</t>
  </si>
  <si>
    <t>1,9999</t>
  </si>
  <si>
    <r>
      <rPr>
        <sz val="10"/>
        <rFont val="宋体"/>
        <charset val="134"/>
      </rPr>
      <t>商品池子</t>
    </r>
    <r>
      <rPr>
        <sz val="10"/>
        <rFont val="Arial"/>
        <charset val="134"/>
      </rPr>
      <t>(</t>
    </r>
    <r>
      <rPr>
        <sz val="10"/>
        <rFont val="宋体"/>
        <charset val="134"/>
      </rPr>
      <t>类型</t>
    </r>
    <r>
      <rPr>
        <sz val="10"/>
        <rFont val="Arial"/>
        <charset val="134"/>
      </rPr>
      <t>|ID|</t>
    </r>
    <r>
      <rPr>
        <sz val="10"/>
        <rFont val="宋体"/>
        <charset val="134"/>
      </rPr>
      <t>数量</t>
    </r>
    <r>
      <rPr>
        <sz val="10"/>
        <rFont val="Arial"/>
        <charset val="134"/>
      </rPr>
      <t>|</t>
    </r>
    <r>
      <rPr>
        <sz val="10"/>
        <rFont val="宋体"/>
        <charset val="134"/>
      </rPr>
      <t>价格</t>
    </r>
    <r>
      <rPr>
        <sz val="10"/>
        <rFont val="Arial"/>
        <charset val="134"/>
      </rPr>
      <t>|</t>
    </r>
    <r>
      <rPr>
        <sz val="10"/>
        <rFont val="宋体"/>
        <charset val="134"/>
      </rPr>
      <t>折扣</t>
    </r>
    <r>
      <rPr>
        <sz val="10"/>
        <rFont val="Arial"/>
        <charset val="134"/>
      </rPr>
      <t>|</t>
    </r>
    <r>
      <rPr>
        <sz val="10"/>
        <rFont val="宋体"/>
        <charset val="134"/>
      </rPr>
      <t>权重</t>
    </r>
    <r>
      <rPr>
        <sz val="10"/>
        <rFont val="Arial"/>
        <charset val="134"/>
      </rPr>
      <t>)</t>
    </r>
  </si>
  <si>
    <t>道具配置</t>
  </si>
  <si>
    <t>道具数量</t>
  </si>
  <si>
    <t>原价</t>
  </si>
  <si>
    <t>8折</t>
  </si>
  <si>
    <t>7折</t>
  </si>
  <si>
    <t>6折</t>
  </si>
  <si>
    <t>4折</t>
  </si>
  <si>
    <t>3折</t>
  </si>
  <si>
    <t>宠物抽奖</t>
  </si>
  <si>
    <t>坐骑抽奖</t>
  </si>
  <si>
    <t>..</t>
  </si>
  <si>
    <t xml:space="preserve"> </t>
  </si>
  <si>
    <t>价格配置</t>
  </si>
  <si>
    <t>1、立即获得300钻石</t>
  </si>
  <si>
    <t>2、每日登录都可领取宝箱200</t>
  </si>
  <si>
    <t>3、坐骑探索位置+1</t>
  </si>
  <si>
    <t>4、25%概率翅膀升级经验+1</t>
  </si>
  <si>
    <t>5、竞技场挑战券上限+3</t>
  </si>
  <si>
    <t>1、立即获得钻石1980</t>
  </si>
  <si>
    <t>2、每日可领取钻石100</t>
  </si>
  <si>
    <t>3、获得永久称号-星传说使者</t>
  </si>
  <si>
    <t>4、出售装备收益增加20%</t>
  </si>
  <si>
    <t>5、永久免广告</t>
  </si>
  <si>
    <t>3+1</t>
  </si>
  <si>
    <t>付费1</t>
  </si>
  <si>
    <t>付费2</t>
  </si>
  <si>
    <t>激活</t>
  </si>
  <si>
    <t>关卡等级</t>
  </si>
  <si>
    <t>竞技场挑战</t>
  </si>
  <si>
    <t>技能试炼</t>
  </si>
  <si>
    <t>坐骑试炼</t>
  </si>
  <si>
    <t>礼包1</t>
  </si>
  <si>
    <t>礼包2</t>
  </si>
  <si>
    <t>礼包3</t>
  </si>
  <si>
    <t>1|5|15,1|1|1000,1|2|5,1|10019|5,1|10019|1,1|10005|1,1|6|5,1|4|1,1|10006|20,1|10011|20</t>
  </si>
  <si>
    <t>1|5|5,1|1|2000,1|2|15,1|10019|15,1|10019|2,1|10005|2,1|6|15,1|4|2,1|10006|40,1|10011|40</t>
  </si>
  <si>
    <t>道具项</t>
  </si>
  <si>
    <t>随机奖励1</t>
  </si>
  <si>
    <t>随机奖励2</t>
  </si>
  <si>
    <t>概率</t>
  </si>
  <si>
    <t>概率价值</t>
  </si>
  <si>
    <t>平均价值</t>
  </si>
  <si>
    <t>##comment</t>
  </si>
  <si>
    <t>id</t>
  </si>
  <si>
    <t>充值描述</t>
  </si>
  <si>
    <t>商品id</t>
  </si>
  <si>
    <t>商品名称</t>
  </si>
  <si>
    <t>##type</t>
  </si>
  <si>
    <t>string#i18n</t>
  </si>
  <si>
    <t>##var</t>
  </si>
  <si>
    <t>Id</t>
  </si>
  <si>
    <t>TypeDesc</t>
  </si>
  <si>
    <t>ProductId</t>
  </si>
  <si>
    <t>ProductName</t>
  </si>
  <si>
    <t>6元礼包</t>
  </si>
  <si>
    <t>com.superbox.coin6</t>
  </si>
  <si>
    <t>example_package01</t>
  </si>
  <si>
    <t>12元礼包</t>
  </si>
  <si>
    <t>com.superbox.coin12</t>
  </si>
  <si>
    <t>example_package02</t>
  </si>
  <si>
    <t>18元礼包</t>
  </si>
  <si>
    <t>com.superbox.coin18</t>
  </si>
  <si>
    <t>example_package03</t>
  </si>
  <si>
    <t>30元礼包</t>
  </si>
  <si>
    <t>com.superbox.coin30</t>
  </si>
  <si>
    <t>example_package04</t>
  </si>
  <si>
    <t>68元礼包</t>
  </si>
  <si>
    <t>com.superbox.coin68</t>
  </si>
  <si>
    <t>example_package05</t>
  </si>
  <si>
    <t>98元礼包</t>
  </si>
  <si>
    <t>com.superbox.coin98</t>
  </si>
  <si>
    <t>example_package06</t>
  </si>
  <si>
    <t>128元礼包</t>
  </si>
  <si>
    <t>com.superbox.coin128</t>
  </si>
  <si>
    <t>example_package07</t>
  </si>
  <si>
    <t>198元礼包</t>
  </si>
  <si>
    <t>com.superbox.coin198</t>
  </si>
  <si>
    <t>example_package08</t>
  </si>
  <si>
    <t>298元礼包</t>
  </si>
  <si>
    <t>com.superbox.coin298</t>
  </si>
  <si>
    <t>example_package09</t>
  </si>
  <si>
    <t>328元礼包</t>
  </si>
  <si>
    <t>com.superbox.coin328</t>
  </si>
  <si>
    <t>example_package10</t>
  </si>
  <si>
    <t>648元礼包</t>
  </si>
  <si>
    <t>com.superbox.coin648</t>
  </si>
  <si>
    <t>example_package11</t>
  </si>
  <si>
    <t>1000元礼包</t>
  </si>
  <si>
    <t>com.superbox.coin1000</t>
  </si>
  <si>
    <t>example_package12</t>
  </si>
  <si>
    <t>2000元礼包</t>
  </si>
  <si>
    <t>com.superbox.coin2000</t>
  </si>
  <si>
    <t>example_package13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</si>
</sst>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_ "/>
    <numFmt numFmtId="178" formatCode="0.00_ "/>
  </numFmts>
  <fonts count="3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9"/>
      <color theme="1"/>
      <name val="宋体"/>
      <charset val="134"/>
      <scheme val="minor"/>
    </font>
    <font>
      <sz val="10"/>
      <name val="宋体"/>
      <charset val="134"/>
    </font>
    <font>
      <sz val="9"/>
      <color theme="1"/>
      <name val="微软雅黑"/>
      <charset val="134"/>
    </font>
    <font>
      <sz val="11"/>
      <color theme="1"/>
      <name val="Heiti SC"/>
      <charset val="134"/>
    </font>
    <font>
      <sz val="11"/>
      <color theme="1"/>
      <name val="宋体"/>
      <charset val="134"/>
    </font>
    <font>
      <sz val="10"/>
      <color theme="1"/>
      <name val="黑体"/>
      <charset val="134"/>
    </font>
    <font>
      <sz val="10"/>
      <color rgb="FF333333"/>
      <name val="微软雅黑"/>
      <charset val="134"/>
    </font>
    <font>
      <sz val="11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theme="0" tint="-0.149327066866054"/>
      </left>
      <right style="thin">
        <color theme="0" tint="-0.149327066866054"/>
      </right>
      <top style="thin">
        <color theme="0" tint="-0.149327066866054"/>
      </top>
      <bottom style="thin">
        <color theme="0" tint="-0.149327066866054"/>
      </bottom>
      <diagonal/>
    </border>
    <border>
      <left style="thin">
        <color theme="0" tint="-0.149296548356578"/>
      </left>
      <right style="thin">
        <color theme="0" tint="-0.149296548356578"/>
      </right>
      <top style="thin">
        <color theme="0" tint="-0.149296548356578"/>
      </top>
      <bottom style="thin">
        <color theme="0" tint="-0.14929654835657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20499282815"/>
      </left>
      <right style="thin">
        <color theme="0" tint="-0.14920499282815"/>
      </right>
      <top style="thin">
        <color theme="0" tint="-0.14920499282815"/>
      </top>
      <bottom style="thin">
        <color theme="0" tint="-0.14920499282815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1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15" applyNumberFormat="0" applyAlignment="0" applyProtection="0">
      <alignment vertical="center"/>
    </xf>
    <xf numFmtId="0" fontId="21" fillId="11" borderId="16" applyNumberFormat="0" applyAlignment="0" applyProtection="0">
      <alignment vertical="center"/>
    </xf>
    <xf numFmtId="0" fontId="22" fillId="11" borderId="15" applyNumberFormat="0" applyAlignment="0" applyProtection="0">
      <alignment vertical="center"/>
    </xf>
    <xf numFmtId="0" fontId="23" fillId="12" borderId="17" applyNumberForma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>
      <alignment vertical="center"/>
    </xf>
    <xf numFmtId="176" fontId="3" fillId="0" borderId="3" xfId="0" applyNumberFormat="1" applyFont="1" applyBorder="1" applyAlignment="1">
      <alignment horizontal="center" vertical="center"/>
    </xf>
    <xf numFmtId="9" fontId="3" fillId="0" borderId="3" xfId="3" applyFont="1" applyBorder="1" applyAlignment="1">
      <alignment horizontal="center" vertical="center"/>
    </xf>
    <xf numFmtId="176" fontId="3" fillId="0" borderId="3" xfId="3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9" fontId="0" fillId="0" borderId="3" xfId="3" applyBorder="1" applyAlignment="1">
      <alignment horizontal="center" vertical="center"/>
    </xf>
    <xf numFmtId="49" fontId="0" fillId="0" borderId="0" xfId="0" applyNumberFormat="1" applyFont="1" applyFill="1" applyBorder="1" applyAlignment="1"/>
    <xf numFmtId="177" fontId="0" fillId="0" borderId="0" xfId="0" applyNumberFormat="1">
      <alignment vertical="center"/>
    </xf>
    <xf numFmtId="0" fontId="7" fillId="0" borderId="0" xfId="0" applyFont="1" applyFill="1" applyAlignment="1"/>
    <xf numFmtId="0" fontId="8" fillId="0" borderId="0" xfId="0" applyFont="1" applyFill="1" applyAlignment="1"/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9" fillId="0" borderId="3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0" fontId="0" fillId="0" borderId="3" xfId="0" applyFont="1" applyFill="1" applyBorder="1" applyAlignment="1"/>
    <xf numFmtId="0" fontId="0" fillId="0" borderId="3" xfId="0" applyFill="1" applyBorder="1" applyAlignment="1">
      <alignment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58" fontId="0" fillId="0" borderId="3" xfId="0" applyNumberFormat="1" applyBorder="1" applyAlignment="1">
      <alignment horizontal="center" vertical="center"/>
    </xf>
    <xf numFmtId="9" fontId="0" fillId="0" borderId="0" xfId="3">
      <alignment vertical="center"/>
    </xf>
    <xf numFmtId="49" fontId="0" fillId="0" borderId="0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0" fillId="0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NumberFormat="1" applyFont="1">
      <alignment vertical="center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center" vertical="center"/>
    </xf>
    <xf numFmtId="0" fontId="11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0" borderId="0" xfId="0" applyNumberFormat="1" applyFont="1">
      <alignment vertical="center"/>
    </xf>
    <xf numFmtId="49" fontId="3" fillId="3" borderId="3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58" fontId="3" fillId="0" borderId="7" xfId="0" applyNumberFormat="1" applyFont="1" applyBorder="1" applyAlignment="1">
      <alignment horizontal="center" vertical="center"/>
    </xf>
    <xf numFmtId="0" fontId="3" fillId="0" borderId="0" xfId="0" applyFont="1" applyFill="1" applyAlignment="1"/>
    <xf numFmtId="0" fontId="3" fillId="0" borderId="0" xfId="0" applyFont="1" applyFill="1" applyBorder="1" applyAlignment="1">
      <alignment horizontal="center"/>
    </xf>
    <xf numFmtId="0" fontId="3" fillId="3" borderId="0" xfId="0" applyFont="1" applyFill="1" applyBorder="1" applyAlignment="1"/>
    <xf numFmtId="0" fontId="3" fillId="4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Fill="1" applyAlignment="1"/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NumberFormat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1" xfId="0" applyFill="1" applyBorder="1" applyAlignment="1">
      <alignment vertical="center"/>
    </xf>
    <xf numFmtId="0" fontId="0" fillId="0" borderId="0" xfId="0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39" Type="http://schemas.openxmlformats.org/officeDocument/2006/relationships/styles" Target="styles.xml"/><Relationship Id="rId38" Type="http://schemas.openxmlformats.org/officeDocument/2006/relationships/theme" Target="theme/theme1.xml"/><Relationship Id="rId37" Type="http://schemas.openxmlformats.org/officeDocument/2006/relationships/externalLink" Target="externalLinks/externalLink3.xml"/><Relationship Id="rId36" Type="http://schemas.openxmlformats.org/officeDocument/2006/relationships/externalLink" Target="externalLinks/externalLink2.xml"/><Relationship Id="rId35" Type="http://schemas.openxmlformats.org/officeDocument/2006/relationships/externalLink" Target="externalLinks/externalLink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30480</xdr:colOff>
      <xdr:row>49</xdr:row>
      <xdr:rowOff>53340</xdr:rowOff>
    </xdr:from>
    <xdr:to>
      <xdr:col>17</xdr:col>
      <xdr:colOff>510540</xdr:colOff>
      <xdr:row>68</xdr:row>
      <xdr:rowOff>53340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7459345" y="9387840"/>
          <a:ext cx="5966460" cy="3771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gongcheng\superbox\superbox\Assets\LocalResources\Config\Data\Excel\EquipmentQualit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gongcheng\superbox\superbox\Assets\LocalResources\Config\Data\Excel\EquipmentValue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gongcheng\superbox\superbox\Assets\LocalResources\Config\Data\Excel\Pay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品质</v>
          </cell>
        </row>
        <row r="1">
          <cell r="D1" t="str">
            <v>基础速度</v>
          </cell>
          <cell r="E1" t="str">
            <v>基础生命</v>
          </cell>
          <cell r="F1" t="str">
            <v>基础攻击</v>
          </cell>
          <cell r="G1" t="str">
            <v>基础防御</v>
          </cell>
        </row>
        <row r="1">
          <cell r="K1" t="str">
            <v>闪避</v>
          </cell>
        </row>
        <row r="1">
          <cell r="O1" t="str">
            <v>忽视反击</v>
          </cell>
        </row>
        <row r="2">
          <cell r="B2" t="str">
            <v>int</v>
          </cell>
        </row>
        <row r="2">
          <cell r="D2" t="str">
            <v>int</v>
          </cell>
          <cell r="E2" t="str">
            <v>int</v>
          </cell>
          <cell r="F2" t="str">
            <v>int</v>
          </cell>
          <cell r="G2" t="str">
            <v>int</v>
          </cell>
        </row>
        <row r="2">
          <cell r="K2" t="str">
            <v>(array#sep=,),int</v>
          </cell>
        </row>
        <row r="2">
          <cell r="O2" t="str">
            <v>(array#sep=,),int</v>
          </cell>
        </row>
        <row r="3">
          <cell r="B3" t="str">
            <v>Quality</v>
          </cell>
        </row>
        <row r="3">
          <cell r="D3" t="str">
            <v>Attr1</v>
          </cell>
          <cell r="E3" t="str">
            <v>Attr2</v>
          </cell>
          <cell r="F3" t="str">
            <v>Attr3</v>
          </cell>
          <cell r="G3" t="str">
            <v>Attr4</v>
          </cell>
        </row>
        <row r="3">
          <cell r="K3" t="str">
            <v>Attr14</v>
          </cell>
        </row>
        <row r="3">
          <cell r="O3" t="str">
            <v>Attr22</v>
          </cell>
        </row>
        <row r="4">
          <cell r="B4">
            <v>1</v>
          </cell>
        </row>
        <row r="4">
          <cell r="D4" t="str">
            <v>0</v>
          </cell>
          <cell r="E4" t="str">
            <v>0</v>
          </cell>
          <cell r="F4" t="str">
            <v>0</v>
          </cell>
          <cell r="G4" t="str">
            <v>0</v>
          </cell>
        </row>
        <row r="4">
          <cell r="K4" t="str">
            <v>0,0</v>
          </cell>
        </row>
        <row r="4">
          <cell r="O4" t="str">
            <v>0,0</v>
          </cell>
        </row>
        <row r="5">
          <cell r="B5">
            <v>2</v>
          </cell>
        </row>
        <row r="5">
          <cell r="D5">
            <v>5</v>
          </cell>
          <cell r="E5">
            <v>150</v>
          </cell>
          <cell r="F5">
            <v>30</v>
          </cell>
          <cell r="G5">
            <v>10</v>
          </cell>
        </row>
        <row r="5">
          <cell r="K5" t="str">
            <v>100,100</v>
          </cell>
        </row>
        <row r="5">
          <cell r="O5" t="str">
            <v>0,0</v>
          </cell>
        </row>
        <row r="6">
          <cell r="B6">
            <v>3</v>
          </cell>
        </row>
        <row r="6">
          <cell r="D6">
            <v>10</v>
          </cell>
          <cell r="E6">
            <v>300</v>
          </cell>
          <cell r="F6">
            <v>60</v>
          </cell>
          <cell r="G6">
            <v>20</v>
          </cell>
        </row>
        <row r="6">
          <cell r="K6" t="str">
            <v>110,150</v>
          </cell>
        </row>
        <row r="6">
          <cell r="O6" t="str">
            <v>0,0</v>
          </cell>
        </row>
        <row r="7">
          <cell r="B7">
            <v>4</v>
          </cell>
        </row>
        <row r="7">
          <cell r="D7">
            <v>15</v>
          </cell>
          <cell r="E7">
            <v>450</v>
          </cell>
          <cell r="F7">
            <v>90</v>
          </cell>
          <cell r="G7">
            <v>30</v>
          </cell>
        </row>
        <row r="7">
          <cell r="K7" t="str">
            <v>160,200</v>
          </cell>
        </row>
        <row r="7">
          <cell r="O7" t="str">
            <v>0,0</v>
          </cell>
        </row>
        <row r="8">
          <cell r="B8">
            <v>5</v>
          </cell>
        </row>
        <row r="8">
          <cell r="D8">
            <v>21</v>
          </cell>
          <cell r="E8">
            <v>630</v>
          </cell>
          <cell r="F8">
            <v>126</v>
          </cell>
          <cell r="G8">
            <v>42</v>
          </cell>
        </row>
        <row r="8">
          <cell r="K8" t="str">
            <v>220,260</v>
          </cell>
        </row>
        <row r="8">
          <cell r="O8" t="str">
            <v>220,260</v>
          </cell>
        </row>
        <row r="9">
          <cell r="B9">
            <v>6</v>
          </cell>
        </row>
        <row r="9">
          <cell r="D9">
            <v>27</v>
          </cell>
          <cell r="E9">
            <v>810</v>
          </cell>
          <cell r="F9">
            <v>162</v>
          </cell>
          <cell r="G9">
            <v>54</v>
          </cell>
        </row>
        <row r="9">
          <cell r="K9" t="str">
            <v>280,340</v>
          </cell>
        </row>
        <row r="9">
          <cell r="O9" t="str">
            <v>280,340</v>
          </cell>
        </row>
        <row r="10">
          <cell r="B10">
            <v>7</v>
          </cell>
        </row>
        <row r="10">
          <cell r="D10">
            <v>35</v>
          </cell>
          <cell r="E10">
            <v>1050</v>
          </cell>
          <cell r="F10">
            <v>210</v>
          </cell>
          <cell r="G10">
            <v>70</v>
          </cell>
        </row>
        <row r="10">
          <cell r="K10" t="str">
            <v>350,450</v>
          </cell>
        </row>
        <row r="10">
          <cell r="O10" t="str">
            <v>350,450</v>
          </cell>
        </row>
        <row r="11">
          <cell r="B11">
            <v>8</v>
          </cell>
        </row>
        <row r="11">
          <cell r="D11">
            <v>44</v>
          </cell>
          <cell r="E11">
            <v>1320</v>
          </cell>
          <cell r="F11">
            <v>264</v>
          </cell>
          <cell r="G11">
            <v>88</v>
          </cell>
        </row>
        <row r="11">
          <cell r="K11" t="str">
            <v>450,550</v>
          </cell>
        </row>
        <row r="11">
          <cell r="O11" t="str">
            <v>450,550</v>
          </cell>
        </row>
        <row r="12">
          <cell r="B12">
            <v>9</v>
          </cell>
        </row>
        <row r="12">
          <cell r="D12">
            <v>54</v>
          </cell>
          <cell r="E12">
            <v>1620</v>
          </cell>
          <cell r="F12">
            <v>324</v>
          </cell>
          <cell r="G12">
            <v>108</v>
          </cell>
        </row>
        <row r="12">
          <cell r="K12" t="str">
            <v>550,650</v>
          </cell>
        </row>
        <row r="12">
          <cell r="O12" t="str">
            <v>550,650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等级</v>
          </cell>
          <cell r="C1" t="str">
            <v>速度</v>
          </cell>
          <cell r="D1" t="str">
            <v>生命</v>
          </cell>
          <cell r="E1" t="str">
            <v>攻击</v>
          </cell>
          <cell r="F1" t="str">
            <v>防御</v>
          </cell>
        </row>
        <row r="2">
          <cell r="B2" t="str">
            <v>int</v>
          </cell>
          <cell r="C2" t="str">
            <v>int</v>
          </cell>
          <cell r="D2" t="str">
            <v>int</v>
          </cell>
          <cell r="E2" t="str">
            <v>int</v>
          </cell>
          <cell r="F2" t="str">
            <v>int</v>
          </cell>
        </row>
        <row r="3">
          <cell r="B3" t="str">
            <v>Level</v>
          </cell>
          <cell r="C3" t="str">
            <v>Attr1</v>
          </cell>
          <cell r="D3" t="str">
            <v>Attr2</v>
          </cell>
          <cell r="E3" t="str">
            <v>Attr3</v>
          </cell>
          <cell r="F3" t="str">
            <v>Attr4</v>
          </cell>
        </row>
        <row r="4">
          <cell r="B4">
            <v>1</v>
          </cell>
          <cell r="C4">
            <v>3</v>
          </cell>
          <cell r="D4">
            <v>75</v>
          </cell>
          <cell r="E4">
            <v>15</v>
          </cell>
          <cell r="F4">
            <v>5</v>
          </cell>
        </row>
        <row r="5">
          <cell r="B5">
            <v>2</v>
          </cell>
          <cell r="C5">
            <v>5</v>
          </cell>
          <cell r="D5">
            <v>150</v>
          </cell>
          <cell r="E5">
            <v>30</v>
          </cell>
          <cell r="F5">
            <v>10</v>
          </cell>
        </row>
        <row r="6">
          <cell r="B6">
            <v>3</v>
          </cell>
          <cell r="C6">
            <v>8</v>
          </cell>
          <cell r="D6">
            <v>225</v>
          </cell>
          <cell r="E6">
            <v>45</v>
          </cell>
          <cell r="F6">
            <v>15</v>
          </cell>
        </row>
        <row r="7">
          <cell r="B7">
            <v>4</v>
          </cell>
          <cell r="C7">
            <v>10</v>
          </cell>
          <cell r="D7">
            <v>300</v>
          </cell>
          <cell r="E7">
            <v>60</v>
          </cell>
          <cell r="F7">
            <v>20</v>
          </cell>
        </row>
        <row r="8">
          <cell r="B8">
            <v>5</v>
          </cell>
          <cell r="C8">
            <v>13</v>
          </cell>
          <cell r="D8">
            <v>375</v>
          </cell>
          <cell r="E8">
            <v>75</v>
          </cell>
          <cell r="F8">
            <v>25</v>
          </cell>
        </row>
        <row r="9">
          <cell r="B9">
            <v>6</v>
          </cell>
          <cell r="C9">
            <v>15</v>
          </cell>
          <cell r="D9">
            <v>450</v>
          </cell>
          <cell r="E9">
            <v>90</v>
          </cell>
          <cell r="F9">
            <v>30</v>
          </cell>
        </row>
        <row r="10">
          <cell r="B10">
            <v>7</v>
          </cell>
          <cell r="C10">
            <v>18</v>
          </cell>
          <cell r="D10">
            <v>525</v>
          </cell>
          <cell r="E10">
            <v>105</v>
          </cell>
          <cell r="F10">
            <v>35</v>
          </cell>
        </row>
        <row r="11">
          <cell r="B11">
            <v>8</v>
          </cell>
          <cell r="C11">
            <v>20</v>
          </cell>
          <cell r="D11">
            <v>600</v>
          </cell>
          <cell r="E11">
            <v>120</v>
          </cell>
          <cell r="F11">
            <v>40</v>
          </cell>
        </row>
        <row r="12">
          <cell r="B12">
            <v>9</v>
          </cell>
          <cell r="C12">
            <v>23</v>
          </cell>
          <cell r="D12">
            <v>675</v>
          </cell>
          <cell r="E12">
            <v>135</v>
          </cell>
          <cell r="F12">
            <v>45</v>
          </cell>
        </row>
        <row r="13">
          <cell r="B13">
            <v>10</v>
          </cell>
          <cell r="C13">
            <v>25</v>
          </cell>
          <cell r="D13">
            <v>750</v>
          </cell>
          <cell r="E13">
            <v>150</v>
          </cell>
          <cell r="F13">
            <v>50</v>
          </cell>
        </row>
        <row r="14">
          <cell r="B14">
            <v>11</v>
          </cell>
          <cell r="C14">
            <v>28</v>
          </cell>
          <cell r="D14">
            <v>825</v>
          </cell>
          <cell r="E14">
            <v>165</v>
          </cell>
          <cell r="F14">
            <v>55</v>
          </cell>
        </row>
        <row r="15">
          <cell r="B15">
            <v>12</v>
          </cell>
          <cell r="C15">
            <v>30</v>
          </cell>
          <cell r="D15">
            <v>900</v>
          </cell>
          <cell r="E15">
            <v>180</v>
          </cell>
          <cell r="F15">
            <v>60</v>
          </cell>
        </row>
        <row r="16">
          <cell r="B16">
            <v>13</v>
          </cell>
          <cell r="C16">
            <v>33</v>
          </cell>
          <cell r="D16">
            <v>975</v>
          </cell>
          <cell r="E16">
            <v>195</v>
          </cell>
          <cell r="F16">
            <v>65</v>
          </cell>
        </row>
        <row r="17">
          <cell r="B17">
            <v>14</v>
          </cell>
          <cell r="C17">
            <v>35</v>
          </cell>
          <cell r="D17">
            <v>1050</v>
          </cell>
          <cell r="E17">
            <v>210</v>
          </cell>
          <cell r="F17">
            <v>70</v>
          </cell>
        </row>
        <row r="18">
          <cell r="B18">
            <v>15</v>
          </cell>
          <cell r="C18">
            <v>38</v>
          </cell>
          <cell r="D18">
            <v>1125</v>
          </cell>
          <cell r="E18">
            <v>225</v>
          </cell>
          <cell r="F18">
            <v>75</v>
          </cell>
        </row>
        <row r="19">
          <cell r="B19">
            <v>16</v>
          </cell>
          <cell r="C19">
            <v>40</v>
          </cell>
          <cell r="D19">
            <v>1200</v>
          </cell>
          <cell r="E19">
            <v>240</v>
          </cell>
          <cell r="F19">
            <v>80</v>
          </cell>
        </row>
        <row r="20">
          <cell r="B20">
            <v>17</v>
          </cell>
          <cell r="C20">
            <v>43</v>
          </cell>
          <cell r="D20">
            <v>1275</v>
          </cell>
          <cell r="E20">
            <v>255</v>
          </cell>
          <cell r="F20">
            <v>85</v>
          </cell>
        </row>
        <row r="21">
          <cell r="B21">
            <v>18</v>
          </cell>
          <cell r="C21">
            <v>45</v>
          </cell>
          <cell r="D21">
            <v>1350</v>
          </cell>
          <cell r="E21">
            <v>270</v>
          </cell>
          <cell r="F21">
            <v>90</v>
          </cell>
        </row>
        <row r="22">
          <cell r="B22">
            <v>19</v>
          </cell>
          <cell r="C22">
            <v>48</v>
          </cell>
          <cell r="D22">
            <v>1425</v>
          </cell>
          <cell r="E22">
            <v>285</v>
          </cell>
          <cell r="F22">
            <v>95</v>
          </cell>
        </row>
        <row r="23">
          <cell r="B23">
            <v>20</v>
          </cell>
          <cell r="C23">
            <v>51</v>
          </cell>
          <cell r="D23">
            <v>1515</v>
          </cell>
          <cell r="E23">
            <v>303</v>
          </cell>
          <cell r="F23">
            <v>101</v>
          </cell>
        </row>
        <row r="24">
          <cell r="B24">
            <v>21</v>
          </cell>
          <cell r="C24">
            <v>54</v>
          </cell>
          <cell r="D24">
            <v>1605</v>
          </cell>
          <cell r="E24">
            <v>321</v>
          </cell>
          <cell r="F24">
            <v>107</v>
          </cell>
        </row>
        <row r="25">
          <cell r="B25">
            <v>22</v>
          </cell>
          <cell r="C25">
            <v>57</v>
          </cell>
          <cell r="D25">
            <v>1695</v>
          </cell>
          <cell r="E25">
            <v>339</v>
          </cell>
          <cell r="F25">
            <v>113</v>
          </cell>
        </row>
        <row r="26">
          <cell r="B26">
            <v>23</v>
          </cell>
          <cell r="C26">
            <v>60</v>
          </cell>
          <cell r="D26">
            <v>1785</v>
          </cell>
          <cell r="E26">
            <v>357</v>
          </cell>
          <cell r="F26">
            <v>119</v>
          </cell>
        </row>
        <row r="27">
          <cell r="B27">
            <v>24</v>
          </cell>
          <cell r="C27">
            <v>63</v>
          </cell>
          <cell r="D27">
            <v>1875</v>
          </cell>
          <cell r="E27">
            <v>375</v>
          </cell>
          <cell r="F27">
            <v>125</v>
          </cell>
        </row>
        <row r="28">
          <cell r="B28">
            <v>25</v>
          </cell>
          <cell r="C28">
            <v>66</v>
          </cell>
          <cell r="D28">
            <v>1965</v>
          </cell>
          <cell r="E28">
            <v>393</v>
          </cell>
          <cell r="F28">
            <v>131</v>
          </cell>
        </row>
        <row r="29">
          <cell r="B29">
            <v>26</v>
          </cell>
          <cell r="C29">
            <v>69</v>
          </cell>
          <cell r="D29">
            <v>2055</v>
          </cell>
          <cell r="E29">
            <v>411</v>
          </cell>
          <cell r="F29">
            <v>137</v>
          </cell>
        </row>
        <row r="30">
          <cell r="B30">
            <v>27</v>
          </cell>
          <cell r="C30">
            <v>72</v>
          </cell>
          <cell r="D30">
            <v>2145</v>
          </cell>
          <cell r="E30">
            <v>429</v>
          </cell>
          <cell r="F30">
            <v>143</v>
          </cell>
        </row>
        <row r="31">
          <cell r="B31">
            <v>28</v>
          </cell>
          <cell r="C31">
            <v>75</v>
          </cell>
          <cell r="D31">
            <v>2235</v>
          </cell>
          <cell r="E31">
            <v>447</v>
          </cell>
          <cell r="F31">
            <v>149</v>
          </cell>
        </row>
        <row r="32">
          <cell r="B32">
            <v>29</v>
          </cell>
          <cell r="C32">
            <v>78</v>
          </cell>
          <cell r="D32">
            <v>2325</v>
          </cell>
          <cell r="E32">
            <v>465</v>
          </cell>
          <cell r="F32">
            <v>155</v>
          </cell>
        </row>
        <row r="33">
          <cell r="B33">
            <v>30</v>
          </cell>
          <cell r="C33">
            <v>81</v>
          </cell>
          <cell r="D33">
            <v>2415</v>
          </cell>
          <cell r="E33">
            <v>483</v>
          </cell>
          <cell r="F33">
            <v>161</v>
          </cell>
        </row>
        <row r="34">
          <cell r="B34">
            <v>31</v>
          </cell>
          <cell r="C34">
            <v>84</v>
          </cell>
          <cell r="D34">
            <v>2505</v>
          </cell>
          <cell r="E34">
            <v>501</v>
          </cell>
          <cell r="F34">
            <v>167</v>
          </cell>
        </row>
        <row r="35">
          <cell r="B35">
            <v>32</v>
          </cell>
          <cell r="C35">
            <v>87</v>
          </cell>
          <cell r="D35">
            <v>2595</v>
          </cell>
          <cell r="E35">
            <v>519</v>
          </cell>
          <cell r="F35">
            <v>173</v>
          </cell>
        </row>
        <row r="36">
          <cell r="B36">
            <v>33</v>
          </cell>
          <cell r="C36">
            <v>90</v>
          </cell>
          <cell r="D36">
            <v>2685</v>
          </cell>
          <cell r="E36">
            <v>537</v>
          </cell>
          <cell r="F36">
            <v>179</v>
          </cell>
        </row>
        <row r="37">
          <cell r="B37">
            <v>34</v>
          </cell>
          <cell r="C37">
            <v>93</v>
          </cell>
          <cell r="D37">
            <v>2775</v>
          </cell>
          <cell r="E37">
            <v>555</v>
          </cell>
          <cell r="F37">
            <v>185</v>
          </cell>
        </row>
        <row r="38">
          <cell r="B38">
            <v>35</v>
          </cell>
          <cell r="C38">
            <v>96</v>
          </cell>
          <cell r="D38">
            <v>2865</v>
          </cell>
          <cell r="E38">
            <v>573</v>
          </cell>
          <cell r="F38">
            <v>191</v>
          </cell>
        </row>
        <row r="39">
          <cell r="B39">
            <v>36</v>
          </cell>
          <cell r="C39">
            <v>99</v>
          </cell>
          <cell r="D39">
            <v>2955</v>
          </cell>
          <cell r="E39">
            <v>591</v>
          </cell>
          <cell r="F39">
            <v>197</v>
          </cell>
        </row>
        <row r="40">
          <cell r="B40">
            <v>37</v>
          </cell>
          <cell r="C40">
            <v>102</v>
          </cell>
          <cell r="D40">
            <v>3045</v>
          </cell>
          <cell r="E40">
            <v>609</v>
          </cell>
          <cell r="F40">
            <v>203</v>
          </cell>
        </row>
        <row r="41">
          <cell r="B41">
            <v>38</v>
          </cell>
          <cell r="C41">
            <v>105</v>
          </cell>
          <cell r="D41">
            <v>3135</v>
          </cell>
          <cell r="E41">
            <v>627</v>
          </cell>
          <cell r="F41">
            <v>209</v>
          </cell>
        </row>
        <row r="42">
          <cell r="B42">
            <v>39</v>
          </cell>
          <cell r="C42">
            <v>108</v>
          </cell>
          <cell r="D42">
            <v>3225</v>
          </cell>
          <cell r="E42">
            <v>645</v>
          </cell>
          <cell r="F42">
            <v>215</v>
          </cell>
        </row>
        <row r="43">
          <cell r="B43">
            <v>40</v>
          </cell>
          <cell r="C43">
            <v>111</v>
          </cell>
          <cell r="D43">
            <v>3330</v>
          </cell>
          <cell r="E43">
            <v>666</v>
          </cell>
          <cell r="F43">
            <v>222</v>
          </cell>
        </row>
        <row r="44">
          <cell r="B44">
            <v>41</v>
          </cell>
          <cell r="C44">
            <v>115</v>
          </cell>
          <cell r="D44">
            <v>3435</v>
          </cell>
          <cell r="E44">
            <v>687</v>
          </cell>
          <cell r="F44">
            <v>229</v>
          </cell>
        </row>
        <row r="45">
          <cell r="B45">
            <v>42</v>
          </cell>
          <cell r="C45">
            <v>118</v>
          </cell>
          <cell r="D45">
            <v>3540</v>
          </cell>
          <cell r="E45">
            <v>708</v>
          </cell>
          <cell r="F45">
            <v>236</v>
          </cell>
        </row>
        <row r="46">
          <cell r="B46">
            <v>43</v>
          </cell>
          <cell r="C46">
            <v>122</v>
          </cell>
          <cell r="D46">
            <v>3645</v>
          </cell>
          <cell r="E46">
            <v>729</v>
          </cell>
          <cell r="F46">
            <v>243</v>
          </cell>
        </row>
        <row r="47">
          <cell r="B47">
            <v>44</v>
          </cell>
          <cell r="C47">
            <v>125</v>
          </cell>
          <cell r="D47">
            <v>3750</v>
          </cell>
          <cell r="E47">
            <v>750</v>
          </cell>
          <cell r="F47">
            <v>250</v>
          </cell>
        </row>
        <row r="48">
          <cell r="B48">
            <v>45</v>
          </cell>
          <cell r="C48">
            <v>129</v>
          </cell>
          <cell r="D48">
            <v>3855</v>
          </cell>
          <cell r="E48">
            <v>771</v>
          </cell>
          <cell r="F48">
            <v>257</v>
          </cell>
        </row>
        <row r="49">
          <cell r="B49">
            <v>46</v>
          </cell>
          <cell r="C49">
            <v>132</v>
          </cell>
          <cell r="D49">
            <v>3960</v>
          </cell>
          <cell r="E49">
            <v>792</v>
          </cell>
          <cell r="F49">
            <v>264</v>
          </cell>
        </row>
        <row r="50">
          <cell r="B50">
            <v>47</v>
          </cell>
          <cell r="C50">
            <v>136</v>
          </cell>
          <cell r="D50">
            <v>4065</v>
          </cell>
          <cell r="E50">
            <v>813</v>
          </cell>
          <cell r="F50">
            <v>271</v>
          </cell>
        </row>
        <row r="51">
          <cell r="B51">
            <v>48</v>
          </cell>
          <cell r="C51">
            <v>139</v>
          </cell>
          <cell r="D51">
            <v>4170</v>
          </cell>
          <cell r="E51">
            <v>834</v>
          </cell>
          <cell r="F51">
            <v>278</v>
          </cell>
        </row>
        <row r="52">
          <cell r="B52">
            <v>49</v>
          </cell>
          <cell r="C52">
            <v>143</v>
          </cell>
          <cell r="D52">
            <v>4275</v>
          </cell>
          <cell r="E52">
            <v>855</v>
          </cell>
          <cell r="F52">
            <v>285</v>
          </cell>
        </row>
        <row r="53">
          <cell r="B53">
            <v>50</v>
          </cell>
          <cell r="C53">
            <v>146</v>
          </cell>
          <cell r="D53">
            <v>4380</v>
          </cell>
          <cell r="E53">
            <v>876</v>
          </cell>
          <cell r="F53">
            <v>292</v>
          </cell>
        </row>
        <row r="54">
          <cell r="B54">
            <v>51</v>
          </cell>
          <cell r="C54">
            <v>150</v>
          </cell>
          <cell r="D54">
            <v>4485</v>
          </cell>
          <cell r="E54">
            <v>897</v>
          </cell>
          <cell r="F54">
            <v>299</v>
          </cell>
        </row>
        <row r="55">
          <cell r="B55">
            <v>52</v>
          </cell>
          <cell r="C55">
            <v>153</v>
          </cell>
          <cell r="D55">
            <v>4590</v>
          </cell>
          <cell r="E55">
            <v>918</v>
          </cell>
          <cell r="F55">
            <v>306</v>
          </cell>
        </row>
        <row r="56">
          <cell r="B56">
            <v>53</v>
          </cell>
          <cell r="C56">
            <v>157</v>
          </cell>
          <cell r="D56">
            <v>4695</v>
          </cell>
          <cell r="E56">
            <v>939</v>
          </cell>
          <cell r="F56">
            <v>313</v>
          </cell>
        </row>
        <row r="57">
          <cell r="B57">
            <v>54</v>
          </cell>
          <cell r="C57">
            <v>160</v>
          </cell>
          <cell r="D57">
            <v>4800</v>
          </cell>
          <cell r="E57">
            <v>960</v>
          </cell>
          <cell r="F57">
            <v>320</v>
          </cell>
        </row>
        <row r="58">
          <cell r="B58">
            <v>55</v>
          </cell>
          <cell r="C58">
            <v>164</v>
          </cell>
          <cell r="D58">
            <v>4905</v>
          </cell>
          <cell r="E58">
            <v>981</v>
          </cell>
          <cell r="F58">
            <v>327</v>
          </cell>
        </row>
        <row r="59">
          <cell r="B59">
            <v>56</v>
          </cell>
          <cell r="C59">
            <v>167</v>
          </cell>
          <cell r="D59">
            <v>5010</v>
          </cell>
          <cell r="E59">
            <v>1002</v>
          </cell>
          <cell r="F59">
            <v>334</v>
          </cell>
        </row>
        <row r="60">
          <cell r="B60">
            <v>57</v>
          </cell>
          <cell r="C60">
            <v>171</v>
          </cell>
          <cell r="D60">
            <v>5115</v>
          </cell>
          <cell r="E60">
            <v>1023</v>
          </cell>
          <cell r="F60">
            <v>341</v>
          </cell>
        </row>
        <row r="61">
          <cell r="B61">
            <v>58</v>
          </cell>
          <cell r="C61">
            <v>174</v>
          </cell>
          <cell r="D61">
            <v>5220</v>
          </cell>
          <cell r="E61">
            <v>1044</v>
          </cell>
          <cell r="F61">
            <v>348</v>
          </cell>
        </row>
        <row r="62">
          <cell r="B62">
            <v>59</v>
          </cell>
          <cell r="C62">
            <v>178</v>
          </cell>
          <cell r="D62">
            <v>5325</v>
          </cell>
          <cell r="E62">
            <v>1065</v>
          </cell>
          <cell r="F62">
            <v>355</v>
          </cell>
        </row>
        <row r="63">
          <cell r="B63">
            <v>60</v>
          </cell>
          <cell r="C63">
            <v>182</v>
          </cell>
          <cell r="D63">
            <v>5445</v>
          </cell>
          <cell r="E63">
            <v>1089</v>
          </cell>
          <cell r="F63">
            <v>363</v>
          </cell>
        </row>
        <row r="64">
          <cell r="B64">
            <v>61</v>
          </cell>
          <cell r="C64">
            <v>186</v>
          </cell>
          <cell r="D64">
            <v>5565</v>
          </cell>
          <cell r="E64">
            <v>1113</v>
          </cell>
          <cell r="F64">
            <v>371</v>
          </cell>
        </row>
        <row r="65">
          <cell r="B65">
            <v>62</v>
          </cell>
          <cell r="C65">
            <v>190</v>
          </cell>
          <cell r="D65">
            <v>5685</v>
          </cell>
          <cell r="E65">
            <v>1137</v>
          </cell>
          <cell r="F65">
            <v>379</v>
          </cell>
        </row>
        <row r="66">
          <cell r="B66">
            <v>63</v>
          </cell>
          <cell r="C66">
            <v>194</v>
          </cell>
          <cell r="D66">
            <v>5805</v>
          </cell>
          <cell r="E66">
            <v>1161</v>
          </cell>
          <cell r="F66">
            <v>387</v>
          </cell>
        </row>
        <row r="67">
          <cell r="B67">
            <v>64</v>
          </cell>
          <cell r="C67">
            <v>198</v>
          </cell>
          <cell r="D67">
            <v>5925</v>
          </cell>
          <cell r="E67">
            <v>1185</v>
          </cell>
          <cell r="F67">
            <v>395</v>
          </cell>
        </row>
        <row r="68">
          <cell r="B68">
            <v>65</v>
          </cell>
          <cell r="C68">
            <v>202</v>
          </cell>
          <cell r="D68">
            <v>6045</v>
          </cell>
          <cell r="E68">
            <v>1209</v>
          </cell>
          <cell r="F68">
            <v>403</v>
          </cell>
        </row>
        <row r="69">
          <cell r="B69">
            <v>66</v>
          </cell>
          <cell r="C69">
            <v>206</v>
          </cell>
          <cell r="D69">
            <v>6165</v>
          </cell>
          <cell r="E69">
            <v>1233</v>
          </cell>
          <cell r="F69">
            <v>411</v>
          </cell>
        </row>
        <row r="70">
          <cell r="B70">
            <v>67</v>
          </cell>
          <cell r="C70">
            <v>210</v>
          </cell>
          <cell r="D70">
            <v>6285</v>
          </cell>
          <cell r="E70">
            <v>1257</v>
          </cell>
          <cell r="F70">
            <v>419</v>
          </cell>
        </row>
        <row r="71">
          <cell r="B71">
            <v>68</v>
          </cell>
          <cell r="C71">
            <v>214</v>
          </cell>
          <cell r="D71">
            <v>6405</v>
          </cell>
          <cell r="E71">
            <v>1281</v>
          </cell>
          <cell r="F71">
            <v>427</v>
          </cell>
        </row>
        <row r="72">
          <cell r="B72">
            <v>69</v>
          </cell>
          <cell r="C72">
            <v>218</v>
          </cell>
          <cell r="D72">
            <v>6525</v>
          </cell>
          <cell r="E72">
            <v>1305</v>
          </cell>
          <cell r="F72">
            <v>435</v>
          </cell>
        </row>
        <row r="73">
          <cell r="B73">
            <v>70</v>
          </cell>
          <cell r="C73">
            <v>222</v>
          </cell>
          <cell r="D73">
            <v>6645</v>
          </cell>
          <cell r="E73">
            <v>1329</v>
          </cell>
          <cell r="F73">
            <v>443</v>
          </cell>
        </row>
        <row r="74">
          <cell r="B74">
            <v>71</v>
          </cell>
          <cell r="C74">
            <v>226</v>
          </cell>
          <cell r="D74">
            <v>6765</v>
          </cell>
          <cell r="E74">
            <v>1353</v>
          </cell>
          <cell r="F74">
            <v>451</v>
          </cell>
        </row>
        <row r="75">
          <cell r="B75">
            <v>72</v>
          </cell>
          <cell r="C75">
            <v>230</v>
          </cell>
          <cell r="D75">
            <v>6885</v>
          </cell>
          <cell r="E75">
            <v>1377</v>
          </cell>
          <cell r="F75">
            <v>459</v>
          </cell>
        </row>
        <row r="76">
          <cell r="B76">
            <v>73</v>
          </cell>
          <cell r="C76">
            <v>234</v>
          </cell>
          <cell r="D76">
            <v>7005</v>
          </cell>
          <cell r="E76">
            <v>1401</v>
          </cell>
          <cell r="F76">
            <v>467</v>
          </cell>
        </row>
        <row r="77">
          <cell r="B77">
            <v>74</v>
          </cell>
          <cell r="C77">
            <v>238</v>
          </cell>
          <cell r="D77">
            <v>7125</v>
          </cell>
          <cell r="E77">
            <v>1425</v>
          </cell>
          <cell r="F77">
            <v>475</v>
          </cell>
        </row>
        <row r="78">
          <cell r="B78">
            <v>75</v>
          </cell>
          <cell r="C78">
            <v>242</v>
          </cell>
          <cell r="D78">
            <v>7245</v>
          </cell>
          <cell r="E78">
            <v>1449</v>
          </cell>
          <cell r="F78">
            <v>483</v>
          </cell>
        </row>
        <row r="79">
          <cell r="B79">
            <v>76</v>
          </cell>
          <cell r="C79">
            <v>246</v>
          </cell>
          <cell r="D79">
            <v>7365</v>
          </cell>
          <cell r="E79">
            <v>1473</v>
          </cell>
          <cell r="F79">
            <v>491</v>
          </cell>
        </row>
        <row r="80">
          <cell r="B80">
            <v>77</v>
          </cell>
          <cell r="C80">
            <v>250</v>
          </cell>
          <cell r="D80">
            <v>7485</v>
          </cell>
          <cell r="E80">
            <v>1497</v>
          </cell>
          <cell r="F80">
            <v>499</v>
          </cell>
        </row>
        <row r="81">
          <cell r="B81">
            <v>78</v>
          </cell>
          <cell r="C81">
            <v>254</v>
          </cell>
          <cell r="D81">
            <v>7605</v>
          </cell>
          <cell r="E81">
            <v>1521</v>
          </cell>
          <cell r="F81">
            <v>507</v>
          </cell>
        </row>
        <row r="82">
          <cell r="B82">
            <v>79</v>
          </cell>
          <cell r="C82">
            <v>258</v>
          </cell>
          <cell r="D82">
            <v>7725</v>
          </cell>
          <cell r="E82">
            <v>1545</v>
          </cell>
          <cell r="F82">
            <v>515</v>
          </cell>
        </row>
        <row r="83">
          <cell r="B83">
            <v>80</v>
          </cell>
          <cell r="C83">
            <v>262</v>
          </cell>
          <cell r="D83">
            <v>7860</v>
          </cell>
          <cell r="E83">
            <v>1572</v>
          </cell>
          <cell r="F83">
            <v>524</v>
          </cell>
        </row>
        <row r="84">
          <cell r="B84">
            <v>81</v>
          </cell>
          <cell r="C84">
            <v>267</v>
          </cell>
          <cell r="D84">
            <v>7995</v>
          </cell>
          <cell r="E84">
            <v>1599</v>
          </cell>
          <cell r="F84">
            <v>533</v>
          </cell>
        </row>
        <row r="85">
          <cell r="B85">
            <v>82</v>
          </cell>
          <cell r="C85">
            <v>271</v>
          </cell>
          <cell r="D85">
            <v>8130</v>
          </cell>
          <cell r="E85">
            <v>1626</v>
          </cell>
          <cell r="F85">
            <v>542</v>
          </cell>
        </row>
        <row r="86">
          <cell r="B86">
            <v>83</v>
          </cell>
          <cell r="C86">
            <v>276</v>
          </cell>
          <cell r="D86">
            <v>8265</v>
          </cell>
          <cell r="E86">
            <v>1653</v>
          </cell>
          <cell r="F86">
            <v>551</v>
          </cell>
        </row>
        <row r="87">
          <cell r="B87">
            <v>84</v>
          </cell>
          <cell r="C87">
            <v>280</v>
          </cell>
          <cell r="D87">
            <v>8400</v>
          </cell>
          <cell r="E87">
            <v>1680</v>
          </cell>
          <cell r="F87">
            <v>560</v>
          </cell>
        </row>
        <row r="88">
          <cell r="B88">
            <v>85</v>
          </cell>
          <cell r="C88">
            <v>285</v>
          </cell>
          <cell r="D88">
            <v>8535</v>
          </cell>
          <cell r="E88">
            <v>1707</v>
          </cell>
          <cell r="F88">
            <v>569</v>
          </cell>
        </row>
        <row r="89">
          <cell r="B89">
            <v>86</v>
          </cell>
          <cell r="C89">
            <v>289</v>
          </cell>
          <cell r="D89">
            <v>8670</v>
          </cell>
          <cell r="E89">
            <v>1734</v>
          </cell>
          <cell r="F89">
            <v>578</v>
          </cell>
        </row>
        <row r="90">
          <cell r="B90">
            <v>87</v>
          </cell>
          <cell r="C90">
            <v>294</v>
          </cell>
          <cell r="D90">
            <v>8805</v>
          </cell>
          <cell r="E90">
            <v>1761</v>
          </cell>
          <cell r="F90">
            <v>587</v>
          </cell>
        </row>
        <row r="91">
          <cell r="B91">
            <v>88</v>
          </cell>
          <cell r="C91">
            <v>298</v>
          </cell>
          <cell r="D91">
            <v>8940</v>
          </cell>
          <cell r="E91">
            <v>1788</v>
          </cell>
          <cell r="F91">
            <v>596</v>
          </cell>
        </row>
        <row r="92">
          <cell r="B92">
            <v>89</v>
          </cell>
          <cell r="C92">
            <v>303</v>
          </cell>
          <cell r="D92">
            <v>9075</v>
          </cell>
          <cell r="E92">
            <v>1815</v>
          </cell>
          <cell r="F92">
            <v>605</v>
          </cell>
        </row>
        <row r="93">
          <cell r="B93">
            <v>90</v>
          </cell>
          <cell r="C93">
            <v>307</v>
          </cell>
          <cell r="D93">
            <v>9210</v>
          </cell>
          <cell r="E93">
            <v>1842</v>
          </cell>
          <cell r="F93">
            <v>614</v>
          </cell>
        </row>
        <row r="94">
          <cell r="B94">
            <v>91</v>
          </cell>
          <cell r="C94">
            <v>312</v>
          </cell>
          <cell r="D94">
            <v>9345</v>
          </cell>
          <cell r="E94">
            <v>1869</v>
          </cell>
          <cell r="F94">
            <v>623</v>
          </cell>
        </row>
        <row r="95">
          <cell r="B95">
            <v>92</v>
          </cell>
          <cell r="C95">
            <v>316</v>
          </cell>
          <cell r="D95">
            <v>9480</v>
          </cell>
          <cell r="E95">
            <v>1896</v>
          </cell>
          <cell r="F95">
            <v>632</v>
          </cell>
        </row>
        <row r="96">
          <cell r="B96">
            <v>93</v>
          </cell>
          <cell r="C96">
            <v>321</v>
          </cell>
          <cell r="D96">
            <v>9615</v>
          </cell>
          <cell r="E96">
            <v>1923</v>
          </cell>
          <cell r="F96">
            <v>641</v>
          </cell>
        </row>
        <row r="97">
          <cell r="B97">
            <v>94</v>
          </cell>
          <cell r="C97">
            <v>325</v>
          </cell>
          <cell r="D97">
            <v>9750</v>
          </cell>
          <cell r="E97">
            <v>1950</v>
          </cell>
          <cell r="F97">
            <v>650</v>
          </cell>
        </row>
        <row r="98">
          <cell r="B98">
            <v>95</v>
          </cell>
          <cell r="C98">
            <v>330</v>
          </cell>
          <cell r="D98">
            <v>9885</v>
          </cell>
          <cell r="E98">
            <v>1977</v>
          </cell>
          <cell r="F98">
            <v>659</v>
          </cell>
        </row>
        <row r="99">
          <cell r="B99">
            <v>96</v>
          </cell>
          <cell r="C99">
            <v>334</v>
          </cell>
          <cell r="D99">
            <v>10020</v>
          </cell>
          <cell r="E99">
            <v>2004</v>
          </cell>
          <cell r="F99">
            <v>668</v>
          </cell>
        </row>
        <row r="100">
          <cell r="B100">
            <v>97</v>
          </cell>
          <cell r="C100">
            <v>339</v>
          </cell>
          <cell r="D100">
            <v>10155</v>
          </cell>
          <cell r="E100">
            <v>2031</v>
          </cell>
          <cell r="F100">
            <v>677</v>
          </cell>
        </row>
        <row r="101">
          <cell r="B101">
            <v>98</v>
          </cell>
          <cell r="C101">
            <v>343</v>
          </cell>
          <cell r="D101">
            <v>10290</v>
          </cell>
          <cell r="E101">
            <v>2058</v>
          </cell>
          <cell r="F101">
            <v>686</v>
          </cell>
        </row>
        <row r="102">
          <cell r="B102">
            <v>99</v>
          </cell>
          <cell r="C102">
            <v>348</v>
          </cell>
          <cell r="D102">
            <v>10425</v>
          </cell>
          <cell r="E102">
            <v>2085</v>
          </cell>
          <cell r="F102">
            <v>695</v>
          </cell>
        </row>
        <row r="103">
          <cell r="B103">
            <v>100</v>
          </cell>
          <cell r="C103">
            <v>353</v>
          </cell>
          <cell r="D103">
            <v>10575</v>
          </cell>
          <cell r="E103">
            <v>2115</v>
          </cell>
          <cell r="F103">
            <v>705</v>
          </cell>
        </row>
        <row r="104">
          <cell r="B104">
            <v>101</v>
          </cell>
          <cell r="C104">
            <v>358</v>
          </cell>
          <cell r="D104">
            <v>10725</v>
          </cell>
          <cell r="E104">
            <v>2145</v>
          </cell>
          <cell r="F104">
            <v>715</v>
          </cell>
        </row>
        <row r="105">
          <cell r="B105">
            <v>102</v>
          </cell>
          <cell r="C105">
            <v>363</v>
          </cell>
          <cell r="D105">
            <v>10875</v>
          </cell>
          <cell r="E105">
            <v>2175</v>
          </cell>
          <cell r="F105">
            <v>725</v>
          </cell>
        </row>
        <row r="106">
          <cell r="B106">
            <v>103</v>
          </cell>
          <cell r="C106">
            <v>368</v>
          </cell>
          <cell r="D106">
            <v>11025</v>
          </cell>
          <cell r="E106">
            <v>2205</v>
          </cell>
          <cell r="F106">
            <v>735</v>
          </cell>
        </row>
        <row r="107">
          <cell r="B107">
            <v>104</v>
          </cell>
          <cell r="C107">
            <v>373</v>
          </cell>
          <cell r="D107">
            <v>11175</v>
          </cell>
          <cell r="E107">
            <v>2235</v>
          </cell>
          <cell r="F107">
            <v>745</v>
          </cell>
        </row>
        <row r="108">
          <cell r="B108">
            <v>105</v>
          </cell>
          <cell r="C108">
            <v>378</v>
          </cell>
          <cell r="D108">
            <v>11325</v>
          </cell>
          <cell r="E108">
            <v>2265</v>
          </cell>
          <cell r="F108">
            <v>755</v>
          </cell>
        </row>
        <row r="109">
          <cell r="B109">
            <v>106</v>
          </cell>
          <cell r="C109">
            <v>383</v>
          </cell>
          <cell r="D109">
            <v>11475</v>
          </cell>
          <cell r="E109">
            <v>2295</v>
          </cell>
          <cell r="F109">
            <v>765</v>
          </cell>
        </row>
        <row r="110">
          <cell r="B110">
            <v>107</v>
          </cell>
          <cell r="C110">
            <v>388</v>
          </cell>
          <cell r="D110">
            <v>11625</v>
          </cell>
          <cell r="E110">
            <v>2325</v>
          </cell>
          <cell r="F110">
            <v>775</v>
          </cell>
        </row>
        <row r="111">
          <cell r="B111">
            <v>108</v>
          </cell>
          <cell r="C111">
            <v>393</v>
          </cell>
          <cell r="D111">
            <v>11775</v>
          </cell>
          <cell r="E111">
            <v>2355</v>
          </cell>
          <cell r="F111">
            <v>785</v>
          </cell>
        </row>
        <row r="112">
          <cell r="B112">
            <v>109</v>
          </cell>
          <cell r="C112">
            <v>398</v>
          </cell>
          <cell r="D112">
            <v>11925</v>
          </cell>
          <cell r="E112">
            <v>2385</v>
          </cell>
          <cell r="F112">
            <v>795</v>
          </cell>
        </row>
        <row r="113">
          <cell r="B113">
            <v>110</v>
          </cell>
          <cell r="C113">
            <v>403</v>
          </cell>
          <cell r="D113">
            <v>12075</v>
          </cell>
          <cell r="E113">
            <v>2415</v>
          </cell>
          <cell r="F113">
            <v>805</v>
          </cell>
        </row>
        <row r="114">
          <cell r="B114">
            <v>111</v>
          </cell>
          <cell r="C114">
            <v>408</v>
          </cell>
          <cell r="D114">
            <v>12225</v>
          </cell>
          <cell r="E114">
            <v>2445</v>
          </cell>
          <cell r="F114">
            <v>815</v>
          </cell>
        </row>
        <row r="115">
          <cell r="B115">
            <v>112</v>
          </cell>
          <cell r="C115">
            <v>413</v>
          </cell>
          <cell r="D115">
            <v>12375</v>
          </cell>
          <cell r="E115">
            <v>2475</v>
          </cell>
          <cell r="F115">
            <v>825</v>
          </cell>
        </row>
        <row r="116">
          <cell r="B116">
            <v>113</v>
          </cell>
          <cell r="C116">
            <v>418</v>
          </cell>
          <cell r="D116">
            <v>12525</v>
          </cell>
          <cell r="E116">
            <v>2505</v>
          </cell>
          <cell r="F116">
            <v>835</v>
          </cell>
        </row>
        <row r="117">
          <cell r="B117">
            <v>114</v>
          </cell>
          <cell r="C117">
            <v>423</v>
          </cell>
          <cell r="D117">
            <v>12675</v>
          </cell>
          <cell r="E117">
            <v>2535</v>
          </cell>
          <cell r="F117">
            <v>845</v>
          </cell>
        </row>
        <row r="118">
          <cell r="B118">
            <v>115</v>
          </cell>
          <cell r="C118">
            <v>428</v>
          </cell>
          <cell r="D118">
            <v>12825</v>
          </cell>
          <cell r="E118">
            <v>2565</v>
          </cell>
          <cell r="F118">
            <v>855</v>
          </cell>
        </row>
        <row r="119">
          <cell r="B119">
            <v>116</v>
          </cell>
          <cell r="C119">
            <v>433</v>
          </cell>
          <cell r="D119">
            <v>12975</v>
          </cell>
          <cell r="E119">
            <v>2595</v>
          </cell>
          <cell r="F119">
            <v>865</v>
          </cell>
        </row>
        <row r="120">
          <cell r="B120">
            <v>117</v>
          </cell>
          <cell r="C120">
            <v>438</v>
          </cell>
          <cell r="D120">
            <v>13125</v>
          </cell>
          <cell r="E120">
            <v>2625</v>
          </cell>
          <cell r="F120">
            <v>875</v>
          </cell>
        </row>
        <row r="121">
          <cell r="B121">
            <v>118</v>
          </cell>
          <cell r="C121">
            <v>443</v>
          </cell>
          <cell r="D121">
            <v>13275</v>
          </cell>
          <cell r="E121">
            <v>2655</v>
          </cell>
          <cell r="F121">
            <v>885</v>
          </cell>
        </row>
        <row r="122">
          <cell r="B122">
            <v>119</v>
          </cell>
          <cell r="C122">
            <v>448</v>
          </cell>
          <cell r="D122">
            <v>13425</v>
          </cell>
          <cell r="E122">
            <v>2685</v>
          </cell>
          <cell r="F122">
            <v>895</v>
          </cell>
        </row>
        <row r="123">
          <cell r="B123">
            <v>120</v>
          </cell>
          <cell r="C123">
            <v>453</v>
          </cell>
          <cell r="D123">
            <v>13590</v>
          </cell>
          <cell r="E123">
            <v>2718</v>
          </cell>
          <cell r="F123">
            <v>906</v>
          </cell>
        </row>
        <row r="124">
          <cell r="B124">
            <v>121</v>
          </cell>
          <cell r="C124">
            <v>459</v>
          </cell>
          <cell r="D124">
            <v>13755</v>
          </cell>
          <cell r="E124">
            <v>2751</v>
          </cell>
          <cell r="F124">
            <v>917</v>
          </cell>
        </row>
        <row r="125">
          <cell r="B125">
            <v>122</v>
          </cell>
          <cell r="C125">
            <v>464</v>
          </cell>
          <cell r="D125">
            <v>13920</v>
          </cell>
          <cell r="E125">
            <v>2784</v>
          </cell>
          <cell r="F125">
            <v>928</v>
          </cell>
        </row>
        <row r="126">
          <cell r="B126">
            <v>123</v>
          </cell>
          <cell r="C126">
            <v>470</v>
          </cell>
          <cell r="D126">
            <v>14085</v>
          </cell>
          <cell r="E126">
            <v>2817</v>
          </cell>
          <cell r="F126">
            <v>939</v>
          </cell>
        </row>
        <row r="127">
          <cell r="B127">
            <v>124</v>
          </cell>
          <cell r="C127">
            <v>475</v>
          </cell>
          <cell r="D127">
            <v>14250</v>
          </cell>
          <cell r="E127">
            <v>2850</v>
          </cell>
          <cell r="F127">
            <v>950</v>
          </cell>
        </row>
        <row r="128">
          <cell r="B128">
            <v>125</v>
          </cell>
          <cell r="C128">
            <v>481</v>
          </cell>
          <cell r="D128">
            <v>14415</v>
          </cell>
          <cell r="E128">
            <v>2883</v>
          </cell>
          <cell r="F128">
            <v>961</v>
          </cell>
        </row>
        <row r="129">
          <cell r="B129">
            <v>126</v>
          </cell>
          <cell r="C129">
            <v>486</v>
          </cell>
          <cell r="D129">
            <v>14580</v>
          </cell>
          <cell r="E129">
            <v>2916</v>
          </cell>
          <cell r="F129">
            <v>972</v>
          </cell>
        </row>
        <row r="130">
          <cell r="B130">
            <v>127</v>
          </cell>
          <cell r="C130">
            <v>492</v>
          </cell>
          <cell r="D130">
            <v>14745</v>
          </cell>
          <cell r="E130">
            <v>2949</v>
          </cell>
          <cell r="F130">
            <v>983</v>
          </cell>
        </row>
        <row r="131">
          <cell r="B131">
            <v>128</v>
          </cell>
          <cell r="C131">
            <v>497</v>
          </cell>
          <cell r="D131">
            <v>14910</v>
          </cell>
          <cell r="E131">
            <v>2982</v>
          </cell>
          <cell r="F131">
            <v>994</v>
          </cell>
        </row>
        <row r="132">
          <cell r="B132">
            <v>129</v>
          </cell>
          <cell r="C132">
            <v>503</v>
          </cell>
          <cell r="D132">
            <v>15075</v>
          </cell>
          <cell r="E132">
            <v>3015</v>
          </cell>
          <cell r="F132">
            <v>1005</v>
          </cell>
        </row>
        <row r="133">
          <cell r="B133">
            <v>130</v>
          </cell>
          <cell r="C133">
            <v>508</v>
          </cell>
          <cell r="D133">
            <v>15240</v>
          </cell>
          <cell r="E133">
            <v>3048</v>
          </cell>
          <cell r="F133">
            <v>1016</v>
          </cell>
        </row>
        <row r="134">
          <cell r="B134">
            <v>131</v>
          </cell>
          <cell r="C134">
            <v>514</v>
          </cell>
          <cell r="D134">
            <v>15405</v>
          </cell>
          <cell r="E134">
            <v>3081</v>
          </cell>
          <cell r="F134">
            <v>1027</v>
          </cell>
        </row>
        <row r="135">
          <cell r="B135">
            <v>132</v>
          </cell>
          <cell r="C135">
            <v>519</v>
          </cell>
          <cell r="D135">
            <v>15570</v>
          </cell>
          <cell r="E135">
            <v>3114</v>
          </cell>
          <cell r="F135">
            <v>1038</v>
          </cell>
        </row>
        <row r="136">
          <cell r="B136">
            <v>133</v>
          </cell>
          <cell r="C136">
            <v>525</v>
          </cell>
          <cell r="D136">
            <v>15735</v>
          </cell>
          <cell r="E136">
            <v>3147</v>
          </cell>
          <cell r="F136">
            <v>1049</v>
          </cell>
        </row>
        <row r="137">
          <cell r="B137">
            <v>134</v>
          </cell>
          <cell r="C137">
            <v>530</v>
          </cell>
          <cell r="D137">
            <v>15900</v>
          </cell>
          <cell r="E137">
            <v>3180</v>
          </cell>
          <cell r="F137">
            <v>1060</v>
          </cell>
        </row>
        <row r="138">
          <cell r="B138">
            <v>135</v>
          </cell>
          <cell r="C138">
            <v>536</v>
          </cell>
          <cell r="D138">
            <v>16065</v>
          </cell>
          <cell r="E138">
            <v>3213</v>
          </cell>
          <cell r="F138">
            <v>1071</v>
          </cell>
        </row>
        <row r="139">
          <cell r="B139">
            <v>136</v>
          </cell>
          <cell r="C139">
            <v>541</v>
          </cell>
          <cell r="D139">
            <v>16230</v>
          </cell>
          <cell r="E139">
            <v>3246</v>
          </cell>
          <cell r="F139">
            <v>1082</v>
          </cell>
        </row>
        <row r="140">
          <cell r="B140">
            <v>137</v>
          </cell>
          <cell r="C140">
            <v>547</v>
          </cell>
          <cell r="D140">
            <v>16395</v>
          </cell>
          <cell r="E140">
            <v>3279</v>
          </cell>
          <cell r="F140">
            <v>1093</v>
          </cell>
        </row>
        <row r="141">
          <cell r="B141">
            <v>138</v>
          </cell>
          <cell r="C141">
            <v>552</v>
          </cell>
          <cell r="D141">
            <v>16560</v>
          </cell>
          <cell r="E141">
            <v>3312</v>
          </cell>
          <cell r="F141">
            <v>1104</v>
          </cell>
        </row>
        <row r="142">
          <cell r="B142">
            <v>139</v>
          </cell>
          <cell r="C142">
            <v>558</v>
          </cell>
          <cell r="D142">
            <v>16725</v>
          </cell>
          <cell r="E142">
            <v>3345</v>
          </cell>
          <cell r="F142">
            <v>1115</v>
          </cell>
        </row>
        <row r="143">
          <cell r="B143">
            <v>140</v>
          </cell>
          <cell r="C143">
            <v>564</v>
          </cell>
          <cell r="D143">
            <v>16905</v>
          </cell>
          <cell r="E143">
            <v>3381</v>
          </cell>
          <cell r="F143">
            <v>1127</v>
          </cell>
        </row>
        <row r="144">
          <cell r="B144">
            <v>141</v>
          </cell>
          <cell r="C144">
            <v>570</v>
          </cell>
          <cell r="D144">
            <v>17085</v>
          </cell>
          <cell r="E144">
            <v>3417</v>
          </cell>
          <cell r="F144">
            <v>1139</v>
          </cell>
        </row>
        <row r="145">
          <cell r="B145">
            <v>142</v>
          </cell>
          <cell r="C145">
            <v>576</v>
          </cell>
          <cell r="D145">
            <v>17265</v>
          </cell>
          <cell r="E145">
            <v>3453</v>
          </cell>
          <cell r="F145">
            <v>1151</v>
          </cell>
        </row>
        <row r="146">
          <cell r="B146">
            <v>143</v>
          </cell>
          <cell r="C146">
            <v>582</v>
          </cell>
          <cell r="D146">
            <v>17445</v>
          </cell>
          <cell r="E146">
            <v>3489</v>
          </cell>
          <cell r="F146">
            <v>1163</v>
          </cell>
        </row>
        <row r="147">
          <cell r="B147">
            <v>144</v>
          </cell>
          <cell r="C147">
            <v>588</v>
          </cell>
          <cell r="D147">
            <v>17625</v>
          </cell>
          <cell r="E147">
            <v>3525</v>
          </cell>
          <cell r="F147">
            <v>1175</v>
          </cell>
        </row>
        <row r="148">
          <cell r="B148">
            <v>145</v>
          </cell>
          <cell r="C148">
            <v>594</v>
          </cell>
          <cell r="D148">
            <v>17805</v>
          </cell>
          <cell r="E148">
            <v>3561</v>
          </cell>
          <cell r="F148">
            <v>1187</v>
          </cell>
        </row>
        <row r="149">
          <cell r="B149">
            <v>146</v>
          </cell>
          <cell r="C149">
            <v>600</v>
          </cell>
          <cell r="D149">
            <v>17985</v>
          </cell>
          <cell r="E149">
            <v>3597</v>
          </cell>
          <cell r="F149">
            <v>1199</v>
          </cell>
        </row>
        <row r="150">
          <cell r="B150">
            <v>147</v>
          </cell>
          <cell r="C150">
            <v>606</v>
          </cell>
          <cell r="D150">
            <v>18165</v>
          </cell>
          <cell r="E150">
            <v>3633</v>
          </cell>
          <cell r="F150">
            <v>1211</v>
          </cell>
        </row>
        <row r="151">
          <cell r="B151">
            <v>148</v>
          </cell>
          <cell r="C151">
            <v>612</v>
          </cell>
          <cell r="D151">
            <v>18345</v>
          </cell>
          <cell r="E151">
            <v>3669</v>
          </cell>
          <cell r="F151">
            <v>1223</v>
          </cell>
        </row>
        <row r="152">
          <cell r="B152">
            <v>149</v>
          </cell>
          <cell r="C152">
            <v>618</v>
          </cell>
          <cell r="D152">
            <v>18525</v>
          </cell>
          <cell r="E152">
            <v>3705</v>
          </cell>
          <cell r="F152">
            <v>1235</v>
          </cell>
        </row>
        <row r="153">
          <cell r="B153">
            <v>150</v>
          </cell>
          <cell r="C153">
            <v>624</v>
          </cell>
          <cell r="D153">
            <v>18705</v>
          </cell>
          <cell r="E153">
            <v>3741</v>
          </cell>
          <cell r="F153">
            <v>1247</v>
          </cell>
        </row>
        <row r="154">
          <cell r="B154">
            <v>151</v>
          </cell>
          <cell r="C154">
            <v>630</v>
          </cell>
          <cell r="D154">
            <v>18885</v>
          </cell>
          <cell r="E154">
            <v>3777</v>
          </cell>
          <cell r="F154">
            <v>1259</v>
          </cell>
        </row>
        <row r="155">
          <cell r="B155">
            <v>152</v>
          </cell>
          <cell r="C155">
            <v>636</v>
          </cell>
          <cell r="D155">
            <v>19065</v>
          </cell>
          <cell r="E155">
            <v>3813</v>
          </cell>
          <cell r="F155">
            <v>1271</v>
          </cell>
        </row>
        <row r="156">
          <cell r="B156">
            <v>153</v>
          </cell>
          <cell r="C156">
            <v>642</v>
          </cell>
          <cell r="D156">
            <v>19245</v>
          </cell>
          <cell r="E156">
            <v>3849</v>
          </cell>
          <cell r="F156">
            <v>1283</v>
          </cell>
        </row>
        <row r="157">
          <cell r="B157">
            <v>154</v>
          </cell>
          <cell r="C157">
            <v>648</v>
          </cell>
          <cell r="D157">
            <v>19425</v>
          </cell>
          <cell r="E157">
            <v>3885</v>
          </cell>
          <cell r="F157">
            <v>1295</v>
          </cell>
        </row>
        <row r="158">
          <cell r="B158">
            <v>155</v>
          </cell>
          <cell r="C158">
            <v>654</v>
          </cell>
          <cell r="D158">
            <v>19605</v>
          </cell>
          <cell r="E158">
            <v>3921</v>
          </cell>
          <cell r="F158">
            <v>1307</v>
          </cell>
        </row>
        <row r="159">
          <cell r="B159">
            <v>156</v>
          </cell>
          <cell r="C159">
            <v>660</v>
          </cell>
          <cell r="D159">
            <v>19785</v>
          </cell>
          <cell r="E159">
            <v>3957</v>
          </cell>
          <cell r="F159">
            <v>1319</v>
          </cell>
        </row>
        <row r="160">
          <cell r="B160">
            <v>157</v>
          </cell>
          <cell r="C160">
            <v>666</v>
          </cell>
          <cell r="D160">
            <v>19965</v>
          </cell>
          <cell r="E160">
            <v>3993</v>
          </cell>
          <cell r="F160">
            <v>1331</v>
          </cell>
        </row>
        <row r="161">
          <cell r="B161">
            <v>158</v>
          </cell>
          <cell r="C161">
            <v>672</v>
          </cell>
          <cell r="D161">
            <v>20145</v>
          </cell>
          <cell r="E161">
            <v>4029</v>
          </cell>
          <cell r="F161">
            <v>1343</v>
          </cell>
        </row>
        <row r="162">
          <cell r="B162">
            <v>159</v>
          </cell>
          <cell r="C162">
            <v>678</v>
          </cell>
          <cell r="D162">
            <v>20325</v>
          </cell>
          <cell r="E162">
            <v>4065</v>
          </cell>
          <cell r="F162">
            <v>1355</v>
          </cell>
        </row>
        <row r="163">
          <cell r="B163">
            <v>160</v>
          </cell>
          <cell r="C163">
            <v>684</v>
          </cell>
          <cell r="D163">
            <v>20520</v>
          </cell>
          <cell r="E163">
            <v>4104</v>
          </cell>
          <cell r="F163">
            <v>1368</v>
          </cell>
        </row>
        <row r="164">
          <cell r="B164">
            <v>161</v>
          </cell>
          <cell r="C164">
            <v>691</v>
          </cell>
          <cell r="D164">
            <v>20715</v>
          </cell>
          <cell r="E164">
            <v>4143</v>
          </cell>
          <cell r="F164">
            <v>1381</v>
          </cell>
        </row>
        <row r="165">
          <cell r="B165">
            <v>162</v>
          </cell>
          <cell r="C165">
            <v>697</v>
          </cell>
          <cell r="D165">
            <v>20910</v>
          </cell>
          <cell r="E165">
            <v>4182</v>
          </cell>
          <cell r="F165">
            <v>1394</v>
          </cell>
        </row>
        <row r="166">
          <cell r="B166">
            <v>163</v>
          </cell>
          <cell r="C166">
            <v>704</v>
          </cell>
          <cell r="D166">
            <v>21105</v>
          </cell>
          <cell r="E166">
            <v>4221</v>
          </cell>
          <cell r="F166">
            <v>1407</v>
          </cell>
        </row>
        <row r="167">
          <cell r="B167">
            <v>164</v>
          </cell>
          <cell r="C167">
            <v>710</v>
          </cell>
          <cell r="D167">
            <v>21300</v>
          </cell>
          <cell r="E167">
            <v>4260</v>
          </cell>
          <cell r="F167">
            <v>1420</v>
          </cell>
        </row>
        <row r="168">
          <cell r="B168">
            <v>165</v>
          </cell>
          <cell r="C168">
            <v>717</v>
          </cell>
          <cell r="D168">
            <v>21495</v>
          </cell>
          <cell r="E168">
            <v>4299</v>
          </cell>
          <cell r="F168">
            <v>1433</v>
          </cell>
        </row>
        <row r="169">
          <cell r="B169">
            <v>166</v>
          </cell>
          <cell r="C169">
            <v>723</v>
          </cell>
          <cell r="D169">
            <v>21690</v>
          </cell>
          <cell r="E169">
            <v>4338</v>
          </cell>
          <cell r="F169">
            <v>1446</v>
          </cell>
        </row>
        <row r="170">
          <cell r="B170">
            <v>167</v>
          </cell>
          <cell r="C170">
            <v>730</v>
          </cell>
          <cell r="D170">
            <v>21885</v>
          </cell>
          <cell r="E170">
            <v>4377</v>
          </cell>
          <cell r="F170">
            <v>1459</v>
          </cell>
        </row>
        <row r="171">
          <cell r="B171">
            <v>168</v>
          </cell>
          <cell r="C171">
            <v>736</v>
          </cell>
          <cell r="D171">
            <v>22080</v>
          </cell>
          <cell r="E171">
            <v>4416</v>
          </cell>
          <cell r="F171">
            <v>1472</v>
          </cell>
        </row>
        <row r="172">
          <cell r="B172">
            <v>169</v>
          </cell>
          <cell r="C172">
            <v>743</v>
          </cell>
          <cell r="D172">
            <v>22275</v>
          </cell>
          <cell r="E172">
            <v>4455</v>
          </cell>
          <cell r="F172">
            <v>1485</v>
          </cell>
        </row>
        <row r="173">
          <cell r="B173">
            <v>170</v>
          </cell>
          <cell r="C173">
            <v>749</v>
          </cell>
          <cell r="D173">
            <v>22470</v>
          </cell>
          <cell r="E173">
            <v>4494</v>
          </cell>
          <cell r="F173">
            <v>1498</v>
          </cell>
        </row>
        <row r="174">
          <cell r="B174">
            <v>171</v>
          </cell>
          <cell r="C174">
            <v>756</v>
          </cell>
          <cell r="D174">
            <v>22665</v>
          </cell>
          <cell r="E174">
            <v>4533</v>
          </cell>
          <cell r="F174">
            <v>1511</v>
          </cell>
        </row>
        <row r="175">
          <cell r="B175">
            <v>172</v>
          </cell>
          <cell r="C175">
            <v>762</v>
          </cell>
          <cell r="D175">
            <v>22860</v>
          </cell>
          <cell r="E175">
            <v>4572</v>
          </cell>
          <cell r="F175">
            <v>1524</v>
          </cell>
        </row>
        <row r="176">
          <cell r="B176">
            <v>173</v>
          </cell>
          <cell r="C176">
            <v>769</v>
          </cell>
          <cell r="D176">
            <v>23055</v>
          </cell>
          <cell r="E176">
            <v>4611</v>
          </cell>
          <cell r="F176">
            <v>1537</v>
          </cell>
        </row>
        <row r="177">
          <cell r="B177">
            <v>174</v>
          </cell>
          <cell r="C177">
            <v>775</v>
          </cell>
          <cell r="D177">
            <v>23250</v>
          </cell>
          <cell r="E177">
            <v>4650</v>
          </cell>
          <cell r="F177">
            <v>1550</v>
          </cell>
        </row>
        <row r="178">
          <cell r="B178">
            <v>175</v>
          </cell>
          <cell r="C178">
            <v>782</v>
          </cell>
          <cell r="D178">
            <v>23445</v>
          </cell>
          <cell r="E178">
            <v>4689</v>
          </cell>
          <cell r="F178">
            <v>1563</v>
          </cell>
        </row>
        <row r="179">
          <cell r="B179">
            <v>176</v>
          </cell>
          <cell r="C179">
            <v>788</v>
          </cell>
          <cell r="D179">
            <v>23640</v>
          </cell>
          <cell r="E179">
            <v>4728</v>
          </cell>
          <cell r="F179">
            <v>1576</v>
          </cell>
        </row>
        <row r="180">
          <cell r="B180">
            <v>177</v>
          </cell>
          <cell r="C180">
            <v>795</v>
          </cell>
          <cell r="D180">
            <v>23835</v>
          </cell>
          <cell r="E180">
            <v>4767</v>
          </cell>
          <cell r="F180">
            <v>1589</v>
          </cell>
        </row>
        <row r="181">
          <cell r="B181">
            <v>178</v>
          </cell>
          <cell r="C181">
            <v>801</v>
          </cell>
          <cell r="D181">
            <v>24030</v>
          </cell>
          <cell r="E181">
            <v>4806</v>
          </cell>
          <cell r="F181">
            <v>1602</v>
          </cell>
        </row>
        <row r="182">
          <cell r="B182">
            <v>179</v>
          </cell>
          <cell r="C182">
            <v>808</v>
          </cell>
          <cell r="D182">
            <v>24225</v>
          </cell>
          <cell r="E182">
            <v>4845</v>
          </cell>
          <cell r="F182">
            <v>1615</v>
          </cell>
        </row>
        <row r="183">
          <cell r="B183">
            <v>180</v>
          </cell>
          <cell r="C183">
            <v>815</v>
          </cell>
          <cell r="D183">
            <v>24435</v>
          </cell>
          <cell r="E183">
            <v>4887</v>
          </cell>
          <cell r="F183">
            <v>1629</v>
          </cell>
        </row>
        <row r="184">
          <cell r="B184">
            <v>181</v>
          </cell>
          <cell r="C184">
            <v>822</v>
          </cell>
          <cell r="D184">
            <v>24645</v>
          </cell>
          <cell r="E184">
            <v>4929</v>
          </cell>
          <cell r="F184">
            <v>1643</v>
          </cell>
        </row>
        <row r="185">
          <cell r="B185">
            <v>182</v>
          </cell>
          <cell r="C185">
            <v>829</v>
          </cell>
          <cell r="D185">
            <v>24855</v>
          </cell>
          <cell r="E185">
            <v>4971</v>
          </cell>
          <cell r="F185">
            <v>1657</v>
          </cell>
        </row>
        <row r="186">
          <cell r="B186">
            <v>183</v>
          </cell>
          <cell r="C186">
            <v>836</v>
          </cell>
          <cell r="D186">
            <v>25065</v>
          </cell>
          <cell r="E186">
            <v>5013</v>
          </cell>
          <cell r="F186">
            <v>1671</v>
          </cell>
        </row>
        <row r="187">
          <cell r="B187">
            <v>184</v>
          </cell>
          <cell r="C187">
            <v>843</v>
          </cell>
          <cell r="D187">
            <v>25275</v>
          </cell>
          <cell r="E187">
            <v>5055</v>
          </cell>
          <cell r="F187">
            <v>1685</v>
          </cell>
        </row>
        <row r="188">
          <cell r="B188">
            <v>185</v>
          </cell>
          <cell r="C188">
            <v>850</v>
          </cell>
          <cell r="D188">
            <v>25485</v>
          </cell>
          <cell r="E188">
            <v>5097</v>
          </cell>
          <cell r="F188">
            <v>1699</v>
          </cell>
        </row>
        <row r="189">
          <cell r="B189">
            <v>186</v>
          </cell>
          <cell r="C189">
            <v>857</v>
          </cell>
          <cell r="D189">
            <v>25695</v>
          </cell>
          <cell r="E189">
            <v>5139</v>
          </cell>
          <cell r="F189">
            <v>1713</v>
          </cell>
        </row>
        <row r="190">
          <cell r="B190">
            <v>187</v>
          </cell>
          <cell r="C190">
            <v>864</v>
          </cell>
          <cell r="D190">
            <v>25905</v>
          </cell>
          <cell r="E190">
            <v>5181</v>
          </cell>
          <cell r="F190">
            <v>1727</v>
          </cell>
        </row>
        <row r="191">
          <cell r="B191">
            <v>188</v>
          </cell>
          <cell r="C191">
            <v>871</v>
          </cell>
          <cell r="D191">
            <v>26115</v>
          </cell>
          <cell r="E191">
            <v>5223</v>
          </cell>
          <cell r="F191">
            <v>1741</v>
          </cell>
        </row>
        <row r="192">
          <cell r="B192">
            <v>189</v>
          </cell>
          <cell r="C192">
            <v>878</v>
          </cell>
          <cell r="D192">
            <v>26325</v>
          </cell>
          <cell r="E192">
            <v>5265</v>
          </cell>
          <cell r="F192">
            <v>1755</v>
          </cell>
        </row>
        <row r="193">
          <cell r="B193">
            <v>190</v>
          </cell>
          <cell r="C193">
            <v>885</v>
          </cell>
          <cell r="D193">
            <v>26535</v>
          </cell>
          <cell r="E193">
            <v>5307</v>
          </cell>
          <cell r="F193">
            <v>1769</v>
          </cell>
        </row>
        <row r="194">
          <cell r="B194">
            <v>191</v>
          </cell>
          <cell r="C194">
            <v>892</v>
          </cell>
          <cell r="D194">
            <v>26745</v>
          </cell>
          <cell r="E194">
            <v>5349</v>
          </cell>
          <cell r="F194">
            <v>1783</v>
          </cell>
        </row>
        <row r="195">
          <cell r="B195">
            <v>192</v>
          </cell>
          <cell r="C195">
            <v>899</v>
          </cell>
          <cell r="D195">
            <v>26955</v>
          </cell>
          <cell r="E195">
            <v>5391</v>
          </cell>
          <cell r="F195">
            <v>1797</v>
          </cell>
        </row>
        <row r="196">
          <cell r="B196">
            <v>193</v>
          </cell>
          <cell r="C196">
            <v>906</v>
          </cell>
          <cell r="D196">
            <v>27165</v>
          </cell>
          <cell r="E196">
            <v>5433</v>
          </cell>
          <cell r="F196">
            <v>1811</v>
          </cell>
        </row>
        <row r="197">
          <cell r="B197">
            <v>194</v>
          </cell>
          <cell r="C197">
            <v>913</v>
          </cell>
          <cell r="D197">
            <v>27375</v>
          </cell>
          <cell r="E197">
            <v>5475</v>
          </cell>
          <cell r="F197">
            <v>1825</v>
          </cell>
        </row>
        <row r="198">
          <cell r="B198">
            <v>195</v>
          </cell>
          <cell r="C198">
            <v>920</v>
          </cell>
          <cell r="D198">
            <v>27585</v>
          </cell>
          <cell r="E198">
            <v>5517</v>
          </cell>
          <cell r="F198">
            <v>1839</v>
          </cell>
        </row>
        <row r="199">
          <cell r="B199">
            <v>196</v>
          </cell>
          <cell r="C199">
            <v>927</v>
          </cell>
          <cell r="D199">
            <v>27795</v>
          </cell>
          <cell r="E199">
            <v>5559</v>
          </cell>
          <cell r="F199">
            <v>1853</v>
          </cell>
        </row>
        <row r="200">
          <cell r="B200">
            <v>197</v>
          </cell>
          <cell r="C200">
            <v>934</v>
          </cell>
          <cell r="D200">
            <v>28005</v>
          </cell>
          <cell r="E200">
            <v>5601</v>
          </cell>
          <cell r="F200">
            <v>1867</v>
          </cell>
        </row>
        <row r="201">
          <cell r="B201">
            <v>198</v>
          </cell>
          <cell r="C201">
            <v>941</v>
          </cell>
          <cell r="D201">
            <v>28215</v>
          </cell>
          <cell r="E201">
            <v>5643</v>
          </cell>
          <cell r="F201">
            <v>1881</v>
          </cell>
        </row>
        <row r="202">
          <cell r="B202">
            <v>199</v>
          </cell>
          <cell r="C202">
            <v>948</v>
          </cell>
          <cell r="D202">
            <v>28425</v>
          </cell>
          <cell r="E202">
            <v>5685</v>
          </cell>
          <cell r="F202">
            <v>1895</v>
          </cell>
        </row>
        <row r="203">
          <cell r="B203">
            <v>200</v>
          </cell>
          <cell r="C203">
            <v>955</v>
          </cell>
          <cell r="D203">
            <v>28650</v>
          </cell>
          <cell r="E203">
            <v>5730</v>
          </cell>
          <cell r="F203">
            <v>1910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id</v>
          </cell>
        </row>
        <row r="1">
          <cell r="K1" t="str">
            <v>积分</v>
          </cell>
        </row>
        <row r="2">
          <cell r="B2" t="str">
            <v>int</v>
          </cell>
        </row>
        <row r="2">
          <cell r="K2" t="str">
            <v>string</v>
          </cell>
        </row>
        <row r="3">
          <cell r="B3" t="str">
            <v>Id</v>
          </cell>
        </row>
        <row r="3">
          <cell r="K3" t="str">
            <v>PayPoint</v>
          </cell>
        </row>
        <row r="4">
          <cell r="B4">
            <v>101</v>
          </cell>
        </row>
        <row r="4">
          <cell r="K4" t="str">
            <v>1|9|10</v>
          </cell>
        </row>
        <row r="5">
          <cell r="B5">
            <v>102</v>
          </cell>
        </row>
        <row r="5">
          <cell r="K5" t="str">
            <v>1|9|20</v>
          </cell>
        </row>
        <row r="6">
          <cell r="B6">
            <v>103</v>
          </cell>
        </row>
        <row r="6">
          <cell r="K6" t="str">
            <v>1|9|30</v>
          </cell>
        </row>
        <row r="7">
          <cell r="B7">
            <v>104</v>
          </cell>
        </row>
        <row r="7">
          <cell r="K7" t="str">
            <v>1|9|50</v>
          </cell>
        </row>
        <row r="8">
          <cell r="B8">
            <v>105</v>
          </cell>
        </row>
        <row r="8">
          <cell r="K8" t="str">
            <v>1|9|100</v>
          </cell>
        </row>
        <row r="9">
          <cell r="B9">
            <v>106</v>
          </cell>
        </row>
        <row r="9">
          <cell r="K9" t="str">
            <v>1|9|150</v>
          </cell>
        </row>
        <row r="10">
          <cell r="B10">
            <v>107</v>
          </cell>
        </row>
        <row r="10">
          <cell r="K10" t="str">
            <v>1|9|200</v>
          </cell>
        </row>
        <row r="11">
          <cell r="B11">
            <v>108</v>
          </cell>
        </row>
        <row r="11">
          <cell r="K11" t="str">
            <v>1|9|305</v>
          </cell>
        </row>
        <row r="12">
          <cell r="B12">
            <v>109</v>
          </cell>
        </row>
        <row r="12">
          <cell r="K12" t="str">
            <v>1|9|480</v>
          </cell>
        </row>
        <row r="13">
          <cell r="B13">
            <v>110</v>
          </cell>
        </row>
        <row r="13">
          <cell r="K13" t="str">
            <v>1|9|510</v>
          </cell>
        </row>
        <row r="14">
          <cell r="B14">
            <v>111</v>
          </cell>
        </row>
        <row r="14">
          <cell r="K14" t="str">
            <v>1|9|1010</v>
          </cell>
        </row>
        <row r="15">
          <cell r="B15">
            <v>112</v>
          </cell>
        </row>
        <row r="15">
          <cell r="K15" t="str">
            <v>1|9|1510</v>
          </cell>
        </row>
        <row r="16">
          <cell r="B16">
            <v>113</v>
          </cell>
        </row>
        <row r="16">
          <cell r="K16" t="str">
            <v>1|9|3030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H326"/>
  <sheetViews>
    <sheetView zoomScale="130" zoomScaleNormal="130" topLeftCell="A12" workbookViewId="0">
      <selection activeCell="B19" sqref="B19"/>
    </sheetView>
  </sheetViews>
  <sheetFormatPr defaultColWidth="8.88888888888889" defaultRowHeight="15" outlineLevelCol="7"/>
  <cols>
    <col min="1" max="1" width="9.10185185185185" style="29" customWidth="1"/>
    <col min="2" max="2" width="37.8888888888889" style="29" customWidth="1"/>
    <col min="4" max="4" width="12.8888888888889"/>
    <col min="7" max="7" width="12.8888888888889"/>
  </cols>
  <sheetData>
    <row r="1" spans="1:5">
      <c r="A1" s="29" t="s">
        <v>0</v>
      </c>
      <c r="B1" s="29" t="s">
        <v>1</v>
      </c>
      <c r="C1" t="s">
        <v>2</v>
      </c>
      <c r="D1" t="s">
        <v>3</v>
      </c>
      <c r="E1" t="s">
        <v>4</v>
      </c>
    </row>
    <row r="2" spans="1:5">
      <c r="A2" s="29">
        <v>1</v>
      </c>
      <c r="B2" s="29" t="s">
        <v>5</v>
      </c>
      <c r="C2">
        <v>1</v>
      </c>
      <c r="D2">
        <v>1</v>
      </c>
      <c r="E2" s="16">
        <v>0.004</v>
      </c>
    </row>
    <row r="3" spans="1:5">
      <c r="A3" s="29">
        <v>2</v>
      </c>
      <c r="B3" s="29" t="s">
        <v>6</v>
      </c>
      <c r="C3">
        <v>1</v>
      </c>
      <c r="D3">
        <v>1</v>
      </c>
      <c r="E3" s="16">
        <v>1</v>
      </c>
    </row>
    <row r="4" spans="1:5">
      <c r="A4" s="29">
        <v>3</v>
      </c>
      <c r="B4" s="29" t="s">
        <v>7</v>
      </c>
      <c r="C4">
        <v>1</v>
      </c>
      <c r="D4">
        <v>6</v>
      </c>
      <c r="E4" s="16"/>
    </row>
    <row r="5" spans="1:5">
      <c r="A5" s="29">
        <v>4</v>
      </c>
      <c r="B5" s="29" t="s">
        <v>8</v>
      </c>
      <c r="C5">
        <v>1</v>
      </c>
      <c r="D5">
        <v>1</v>
      </c>
      <c r="E5" s="16">
        <v>80</v>
      </c>
    </row>
    <row r="6" spans="1:5">
      <c r="A6" s="29">
        <v>5</v>
      </c>
      <c r="B6" s="29" t="s">
        <v>9</v>
      </c>
      <c r="C6">
        <v>1</v>
      </c>
      <c r="D6">
        <v>6</v>
      </c>
      <c r="E6" s="16">
        <v>1</v>
      </c>
    </row>
    <row r="7" spans="1:5">
      <c r="A7" s="29">
        <v>6</v>
      </c>
      <c r="B7" s="29" t="s">
        <v>10</v>
      </c>
      <c r="C7">
        <v>1</v>
      </c>
      <c r="D7">
        <v>4</v>
      </c>
      <c r="E7" s="16">
        <v>100</v>
      </c>
    </row>
    <row r="8" spans="1:5">
      <c r="A8" s="29">
        <v>7</v>
      </c>
      <c r="B8" s="29" t="s">
        <v>11</v>
      </c>
      <c r="C8">
        <v>1</v>
      </c>
      <c r="D8">
        <v>1</v>
      </c>
      <c r="E8" s="16">
        <v>24</v>
      </c>
    </row>
    <row r="9" spans="1:5">
      <c r="A9" s="29">
        <v>8</v>
      </c>
      <c r="B9" s="29" t="s">
        <v>12</v>
      </c>
      <c r="C9">
        <v>1</v>
      </c>
      <c r="D9">
        <v>1</v>
      </c>
      <c r="E9" s="16"/>
    </row>
    <row r="10" spans="1:5">
      <c r="A10" s="29">
        <v>9</v>
      </c>
      <c r="B10" s="29" t="s">
        <v>13</v>
      </c>
      <c r="C10">
        <v>1</v>
      </c>
      <c r="D10">
        <v>1</v>
      </c>
      <c r="E10" s="16"/>
    </row>
    <row r="11" spans="1:5">
      <c r="A11" s="29">
        <v>10</v>
      </c>
      <c r="B11" s="29" t="s">
        <v>14</v>
      </c>
      <c r="C11">
        <v>1</v>
      </c>
      <c r="D11">
        <v>1</v>
      </c>
      <c r="E11" s="16">
        <v>0.1</v>
      </c>
    </row>
    <row r="12" spans="1:5">
      <c r="A12" s="29">
        <v>11</v>
      </c>
      <c r="B12" s="29" t="s">
        <v>15</v>
      </c>
      <c r="C12">
        <v>1</v>
      </c>
      <c r="D12">
        <v>1</v>
      </c>
      <c r="E12" s="16"/>
    </row>
    <row r="13" spans="1:5">
      <c r="A13" s="29">
        <v>12</v>
      </c>
      <c r="B13" s="29" t="s">
        <v>16</v>
      </c>
      <c r="C13">
        <v>1</v>
      </c>
      <c r="D13">
        <v>1</v>
      </c>
      <c r="E13" s="16"/>
    </row>
    <row r="14" spans="1:5">
      <c r="A14" s="29">
        <v>13</v>
      </c>
      <c r="B14" s="29" t="s">
        <v>17</v>
      </c>
      <c r="C14">
        <v>1</v>
      </c>
      <c r="D14">
        <v>1</v>
      </c>
      <c r="E14" s="16"/>
    </row>
    <row r="15" spans="1:5">
      <c r="A15" s="29">
        <v>14</v>
      </c>
      <c r="B15" s="29" t="s">
        <v>18</v>
      </c>
      <c r="C15">
        <v>1</v>
      </c>
      <c r="D15">
        <v>1</v>
      </c>
      <c r="E15" s="16"/>
    </row>
    <row r="16" spans="1:5">
      <c r="A16" s="29">
        <v>15</v>
      </c>
      <c r="B16" s="29" t="s">
        <v>19</v>
      </c>
      <c r="C16">
        <v>1</v>
      </c>
      <c r="D16">
        <v>1</v>
      </c>
      <c r="E16" s="16"/>
    </row>
    <row r="17" spans="1:5">
      <c r="A17" s="29">
        <v>16</v>
      </c>
      <c r="B17" s="29" t="s">
        <v>20</v>
      </c>
      <c r="C17">
        <v>1</v>
      </c>
      <c r="D17">
        <v>6</v>
      </c>
      <c r="E17" s="16"/>
    </row>
    <row r="18" spans="1:5">
      <c r="A18" s="29">
        <v>17</v>
      </c>
      <c r="B18" s="29" t="s">
        <v>21</v>
      </c>
      <c r="C18">
        <v>1</v>
      </c>
      <c r="D18">
        <v>1</v>
      </c>
      <c r="E18" s="16">
        <v>1</v>
      </c>
    </row>
    <row r="19" spans="1:5">
      <c r="A19" s="29">
        <v>18</v>
      </c>
      <c r="B19" s="29" t="s">
        <v>22</v>
      </c>
      <c r="C19">
        <v>1</v>
      </c>
      <c r="D19">
        <v>4</v>
      </c>
      <c r="E19" s="16">
        <v>20</v>
      </c>
    </row>
    <row r="20" spans="1:5">
      <c r="A20" s="29">
        <v>19</v>
      </c>
      <c r="B20" s="29" t="s">
        <v>23</v>
      </c>
      <c r="C20">
        <v>1</v>
      </c>
      <c r="D20">
        <v>6</v>
      </c>
      <c r="E20" s="16">
        <v>50</v>
      </c>
    </row>
    <row r="21" spans="1:4">
      <c r="A21" s="29">
        <v>801</v>
      </c>
      <c r="B21" s="29" t="s">
        <v>24</v>
      </c>
      <c r="C21">
        <v>1</v>
      </c>
      <c r="D21" s="119">
        <v>8</v>
      </c>
    </row>
    <row r="22" spans="1:4">
      <c r="A22" s="29">
        <v>802</v>
      </c>
      <c r="B22" s="29" t="s">
        <v>25</v>
      </c>
      <c r="C22">
        <v>1</v>
      </c>
      <c r="D22">
        <v>8</v>
      </c>
    </row>
    <row r="23" spans="1:4">
      <c r="A23" s="29">
        <v>901</v>
      </c>
      <c r="B23" s="29" t="s">
        <v>26</v>
      </c>
      <c r="C23">
        <v>1</v>
      </c>
      <c r="D23">
        <v>8</v>
      </c>
    </row>
    <row r="24" spans="1:5">
      <c r="A24" s="29">
        <v>902</v>
      </c>
      <c r="B24" s="29" t="s">
        <v>27</v>
      </c>
      <c r="C24">
        <v>1</v>
      </c>
      <c r="D24">
        <v>8</v>
      </c>
      <c r="E24" s="119"/>
    </row>
    <row r="25" spans="1:5">
      <c r="A25" s="29">
        <v>1002</v>
      </c>
      <c r="B25" s="29" t="s">
        <v>28</v>
      </c>
      <c r="C25">
        <v>1</v>
      </c>
      <c r="D25">
        <v>2</v>
      </c>
      <c r="E25" s="16">
        <v>30</v>
      </c>
    </row>
    <row r="26" spans="1:5">
      <c r="A26" s="29">
        <v>1003</v>
      </c>
      <c r="B26" s="29" t="s">
        <v>29</v>
      </c>
      <c r="C26">
        <v>1</v>
      </c>
      <c r="D26">
        <v>3</v>
      </c>
      <c r="E26" s="16">
        <v>69.4</v>
      </c>
    </row>
    <row r="27" spans="1:5">
      <c r="A27" s="29">
        <v>1004</v>
      </c>
      <c r="B27" s="29" t="s">
        <v>30</v>
      </c>
      <c r="C27">
        <v>1</v>
      </c>
      <c r="D27">
        <v>4</v>
      </c>
      <c r="E27" s="16">
        <v>232.2</v>
      </c>
    </row>
    <row r="28" spans="1:5">
      <c r="A28" s="29">
        <v>1005</v>
      </c>
      <c r="B28" s="29" t="s">
        <v>31</v>
      </c>
      <c r="C28">
        <v>1</v>
      </c>
      <c r="D28">
        <v>5</v>
      </c>
      <c r="E28" s="16">
        <v>598.2</v>
      </c>
    </row>
    <row r="29" spans="1:5">
      <c r="A29" s="29">
        <v>1006</v>
      </c>
      <c r="B29" s="29" t="s">
        <v>32</v>
      </c>
      <c r="C29">
        <v>1</v>
      </c>
      <c r="D29">
        <v>6</v>
      </c>
      <c r="E29" s="16">
        <v>3401.1</v>
      </c>
    </row>
    <row r="30" spans="1:5">
      <c r="A30" s="29">
        <v>1007</v>
      </c>
      <c r="B30" s="29" t="s">
        <v>33</v>
      </c>
      <c r="C30">
        <v>1</v>
      </c>
      <c r="D30">
        <v>7</v>
      </c>
      <c r="E30" s="16">
        <v>21420.7</v>
      </c>
    </row>
    <row r="31" spans="1:5">
      <c r="A31" s="29">
        <v>1011</v>
      </c>
      <c r="B31" s="29" t="s">
        <v>34</v>
      </c>
      <c r="C31">
        <v>1</v>
      </c>
      <c r="D31">
        <v>6</v>
      </c>
      <c r="E31" s="16">
        <v>100</v>
      </c>
    </row>
    <row r="32" spans="1:5">
      <c r="A32" s="29">
        <v>1012</v>
      </c>
      <c r="B32" s="29" t="s">
        <v>35</v>
      </c>
      <c r="C32">
        <v>1</v>
      </c>
      <c r="D32">
        <v>2</v>
      </c>
      <c r="E32" s="16">
        <v>150</v>
      </c>
    </row>
    <row r="33" spans="1:5">
      <c r="A33" s="29">
        <v>1013</v>
      </c>
      <c r="B33" s="29" t="s">
        <v>36</v>
      </c>
      <c r="C33">
        <v>1</v>
      </c>
      <c r="D33">
        <v>3</v>
      </c>
      <c r="E33" s="16">
        <v>525</v>
      </c>
    </row>
    <row r="34" spans="1:5">
      <c r="A34" s="29">
        <v>1014</v>
      </c>
      <c r="B34" s="29" t="s">
        <v>37</v>
      </c>
      <c r="C34">
        <v>1</v>
      </c>
      <c r="D34">
        <v>4</v>
      </c>
      <c r="E34" s="16">
        <v>2701</v>
      </c>
    </row>
    <row r="35" spans="1:5">
      <c r="A35" s="29">
        <v>1015</v>
      </c>
      <c r="B35" s="29" t="s">
        <v>38</v>
      </c>
      <c r="C35">
        <v>1</v>
      </c>
      <c r="D35">
        <v>5</v>
      </c>
      <c r="E35" s="16">
        <v>19916</v>
      </c>
    </row>
    <row r="36" spans="1:5">
      <c r="A36" s="29">
        <v>1016</v>
      </c>
      <c r="B36" s="29" t="s">
        <v>39</v>
      </c>
      <c r="C36">
        <v>1</v>
      </c>
      <c r="D36">
        <v>6</v>
      </c>
      <c r="E36" s="16">
        <v>206553</v>
      </c>
    </row>
    <row r="37" spans="1:5">
      <c r="A37" s="29">
        <v>1017</v>
      </c>
      <c r="B37" s="29" t="s">
        <v>40</v>
      </c>
      <c r="C37">
        <v>1</v>
      </c>
      <c r="D37">
        <v>7</v>
      </c>
      <c r="E37" s="16">
        <v>559971</v>
      </c>
    </row>
    <row r="38" spans="1:5">
      <c r="A38" s="29">
        <v>10001</v>
      </c>
      <c r="B38" s="29" t="s">
        <v>41</v>
      </c>
      <c r="C38">
        <v>1</v>
      </c>
      <c r="D38">
        <v>6</v>
      </c>
      <c r="E38" s="16">
        <v>100</v>
      </c>
    </row>
    <row r="39" spans="1:5">
      <c r="A39" s="29">
        <v>10002</v>
      </c>
      <c r="B39" s="29" t="s">
        <v>42</v>
      </c>
      <c r="C39">
        <v>1</v>
      </c>
      <c r="D39">
        <v>1</v>
      </c>
      <c r="E39" s="16">
        <v>40</v>
      </c>
    </row>
    <row r="40" spans="1:5">
      <c r="A40" s="29">
        <v>10003</v>
      </c>
      <c r="B40" s="29" t="s">
        <v>43</v>
      </c>
      <c r="C40">
        <v>1</v>
      </c>
      <c r="D40">
        <v>4</v>
      </c>
      <c r="E40" s="16">
        <v>500</v>
      </c>
    </row>
    <row r="41" spans="1:5">
      <c r="A41" s="29">
        <v>10004</v>
      </c>
      <c r="B41" s="29" t="s">
        <v>44</v>
      </c>
      <c r="C41">
        <v>1</v>
      </c>
      <c r="D41">
        <v>5</v>
      </c>
      <c r="E41" s="16">
        <v>1</v>
      </c>
    </row>
    <row r="42" spans="1:5">
      <c r="A42" s="29">
        <v>10005</v>
      </c>
      <c r="B42" s="29" t="s">
        <v>45</v>
      </c>
      <c r="C42">
        <v>1</v>
      </c>
      <c r="D42">
        <v>1</v>
      </c>
      <c r="E42" s="16">
        <v>100</v>
      </c>
    </row>
    <row r="43" spans="1:5">
      <c r="A43" s="29">
        <v>10006</v>
      </c>
      <c r="B43" s="29" t="s">
        <v>46</v>
      </c>
      <c r="C43">
        <v>1</v>
      </c>
      <c r="D43">
        <v>1</v>
      </c>
      <c r="E43" s="16">
        <v>0.5</v>
      </c>
    </row>
    <row r="44" spans="1:5">
      <c r="A44" s="29">
        <v>10007</v>
      </c>
      <c r="B44" s="29" t="s">
        <v>47</v>
      </c>
      <c r="C44">
        <v>1</v>
      </c>
      <c r="D44">
        <v>1</v>
      </c>
      <c r="E44" s="16">
        <v>15</v>
      </c>
    </row>
    <row r="45" spans="1:5">
      <c r="A45" s="29">
        <v>10009</v>
      </c>
      <c r="B45" s="29" t="s">
        <v>48</v>
      </c>
      <c r="C45">
        <v>1</v>
      </c>
      <c r="D45">
        <v>1</v>
      </c>
      <c r="E45" s="16">
        <v>102</v>
      </c>
    </row>
    <row r="46" spans="1:5">
      <c r="A46" s="29">
        <v>10010</v>
      </c>
      <c r="B46" s="29" t="s">
        <v>49</v>
      </c>
      <c r="C46">
        <v>1</v>
      </c>
      <c r="D46">
        <v>4</v>
      </c>
      <c r="E46" s="16">
        <v>918</v>
      </c>
    </row>
    <row r="47" spans="1:5">
      <c r="A47" s="29">
        <v>10011</v>
      </c>
      <c r="B47" s="29" t="s">
        <v>50</v>
      </c>
      <c r="C47">
        <v>1</v>
      </c>
      <c r="D47">
        <v>1</v>
      </c>
      <c r="E47" s="16">
        <v>0.25</v>
      </c>
    </row>
    <row r="48" spans="1:5">
      <c r="A48" s="29">
        <v>10012</v>
      </c>
      <c r="B48" s="29" t="s">
        <v>51</v>
      </c>
      <c r="C48">
        <v>1</v>
      </c>
      <c r="D48">
        <v>1</v>
      </c>
      <c r="E48" s="16">
        <v>12</v>
      </c>
    </row>
    <row r="49" spans="1:5">
      <c r="A49" s="29">
        <v>10013</v>
      </c>
      <c r="B49" s="29" t="s">
        <v>52</v>
      </c>
      <c r="C49">
        <v>1</v>
      </c>
      <c r="D49">
        <v>1</v>
      </c>
      <c r="E49" s="16">
        <v>12</v>
      </c>
    </row>
    <row r="50" spans="1:5">
      <c r="A50" s="29">
        <v>10014</v>
      </c>
      <c r="B50" s="29" t="s">
        <v>53</v>
      </c>
      <c r="C50">
        <v>1</v>
      </c>
      <c r="D50">
        <v>1</v>
      </c>
      <c r="E50" s="16">
        <v>50</v>
      </c>
    </row>
    <row r="51" spans="1:5">
      <c r="A51" s="29">
        <v>10015</v>
      </c>
      <c r="B51" s="29" t="s">
        <v>54</v>
      </c>
      <c r="C51">
        <v>1</v>
      </c>
      <c r="D51">
        <v>1</v>
      </c>
      <c r="E51" s="16">
        <v>50</v>
      </c>
    </row>
    <row r="52" spans="1:5">
      <c r="A52" s="29">
        <v>10016</v>
      </c>
      <c r="B52" s="29" t="s">
        <v>55</v>
      </c>
      <c r="C52">
        <v>1</v>
      </c>
      <c r="D52">
        <v>3</v>
      </c>
      <c r="E52" s="16"/>
    </row>
    <row r="53" spans="1:5">
      <c r="A53" s="29">
        <v>10017</v>
      </c>
      <c r="B53" s="29" t="s">
        <v>55</v>
      </c>
      <c r="C53">
        <v>1</v>
      </c>
      <c r="D53">
        <v>4</v>
      </c>
      <c r="E53" s="16"/>
    </row>
    <row r="54" spans="1:5">
      <c r="A54" s="29">
        <v>10018</v>
      </c>
      <c r="B54" s="29" t="s">
        <v>55</v>
      </c>
      <c r="C54">
        <v>1</v>
      </c>
      <c r="D54">
        <v>6</v>
      </c>
      <c r="E54" s="16"/>
    </row>
    <row r="55" spans="1:5">
      <c r="A55" s="29">
        <v>10019</v>
      </c>
      <c r="B55" s="29" t="s">
        <v>56</v>
      </c>
      <c r="C55">
        <v>1</v>
      </c>
      <c r="D55">
        <v>1</v>
      </c>
      <c r="E55" s="16">
        <v>1</v>
      </c>
    </row>
    <row r="56" s="1" customFormat="1" ht="16.2" customHeight="1" spans="1:8">
      <c r="A56" s="29">
        <v>10020</v>
      </c>
      <c r="B56" s="29" t="s">
        <v>57</v>
      </c>
      <c r="C56">
        <v>1</v>
      </c>
      <c r="D56" s="120">
        <v>4</v>
      </c>
      <c r="E56" s="121">
        <v>25</v>
      </c>
      <c r="F56" s="120"/>
      <c r="G56"/>
      <c r="H56"/>
    </row>
    <row r="57" s="1" customFormat="1" ht="16.2" customHeight="1" spans="1:8">
      <c r="A57" s="29">
        <v>10021</v>
      </c>
      <c r="B57" s="29" t="s">
        <v>58</v>
      </c>
      <c r="C57">
        <v>1</v>
      </c>
      <c r="D57" s="120">
        <v>5</v>
      </c>
      <c r="E57" s="121">
        <v>50</v>
      </c>
      <c r="F57" s="120"/>
      <c r="G57"/>
      <c r="H57"/>
    </row>
    <row r="58" s="1" customFormat="1" ht="16.2" customHeight="1" spans="1:8">
      <c r="A58" s="29">
        <v>10022</v>
      </c>
      <c r="B58" s="29" t="s">
        <v>59</v>
      </c>
      <c r="C58">
        <v>1</v>
      </c>
      <c r="D58" s="120">
        <v>6</v>
      </c>
      <c r="E58" s="121">
        <v>75</v>
      </c>
      <c r="F58" s="120"/>
      <c r="G58"/>
      <c r="H58"/>
    </row>
    <row r="59" s="118" customFormat="1" ht="16.2" customHeight="1" spans="1:8">
      <c r="A59" s="29">
        <v>10023</v>
      </c>
      <c r="B59" s="29" t="s">
        <v>60</v>
      </c>
      <c r="C59" s="80">
        <v>1</v>
      </c>
      <c r="D59" s="122">
        <v>4</v>
      </c>
      <c r="E59" s="122">
        <v>50</v>
      </c>
      <c r="F59" s="122"/>
      <c r="G59" s="1"/>
      <c r="H59" s="1"/>
    </row>
    <row r="60" s="118" customFormat="1" ht="16.2" customHeight="1" spans="1:8">
      <c r="A60" s="29">
        <v>10024</v>
      </c>
      <c r="B60" s="29" t="s">
        <v>61</v>
      </c>
      <c r="C60" s="80">
        <v>1</v>
      </c>
      <c r="D60" s="122">
        <v>2</v>
      </c>
      <c r="E60" s="122">
        <v>12</v>
      </c>
      <c r="F60" s="122"/>
      <c r="G60" s="1"/>
      <c r="H60" s="1"/>
    </row>
    <row r="61" s="118" customFormat="1" ht="16.2" customHeight="1" spans="1:8">
      <c r="A61" s="29">
        <v>10025</v>
      </c>
      <c r="B61" s="29" t="s">
        <v>62</v>
      </c>
      <c r="C61" s="80">
        <v>1</v>
      </c>
      <c r="D61" s="122">
        <v>4</v>
      </c>
      <c r="E61" s="122">
        <v>60</v>
      </c>
      <c r="F61" s="122"/>
      <c r="G61" s="1"/>
      <c r="H61" s="1"/>
    </row>
    <row r="62" s="118" customFormat="1" ht="16.2" customHeight="1" spans="1:6">
      <c r="A62" s="29">
        <v>10026</v>
      </c>
      <c r="B62" s="29" t="s">
        <v>63</v>
      </c>
      <c r="C62" s="80">
        <v>1</v>
      </c>
      <c r="D62" s="122">
        <v>3</v>
      </c>
      <c r="E62" s="122"/>
      <c r="F62" s="122"/>
    </row>
    <row r="63" s="118" customFormat="1" ht="16.2" customHeight="1" spans="1:6">
      <c r="A63" s="29">
        <v>10027</v>
      </c>
      <c r="B63" s="29" t="s">
        <v>64</v>
      </c>
      <c r="C63" s="80">
        <v>1</v>
      </c>
      <c r="D63" s="29">
        <v>6</v>
      </c>
      <c r="E63" s="123"/>
      <c r="F63" s="123"/>
    </row>
    <row r="64" s="118" customFormat="1" ht="16.2" customHeight="1" spans="1:6">
      <c r="A64" s="29">
        <v>10028</v>
      </c>
      <c r="B64" s="29" t="s">
        <v>65</v>
      </c>
      <c r="C64" s="80">
        <v>1</v>
      </c>
      <c r="D64" s="29">
        <v>6</v>
      </c>
      <c r="E64" s="123"/>
      <c r="F64" s="123"/>
    </row>
    <row r="65" s="118" customFormat="1" ht="16.2" customHeight="1" spans="1:6">
      <c r="A65" s="29">
        <v>10029</v>
      </c>
      <c r="B65" s="29" t="s">
        <v>66</v>
      </c>
      <c r="C65" s="80">
        <v>1</v>
      </c>
      <c r="D65" s="29">
        <v>2</v>
      </c>
      <c r="E65" s="123">
        <v>0</v>
      </c>
      <c r="F65" s="123"/>
    </row>
    <row r="66" spans="1:8">
      <c r="A66" s="29">
        <v>10030</v>
      </c>
      <c r="B66" s="29" t="s">
        <v>67</v>
      </c>
      <c r="C66" s="80">
        <v>1</v>
      </c>
      <c r="D66" s="122">
        <v>4</v>
      </c>
      <c r="E66" s="123">
        <v>50</v>
      </c>
      <c r="F66" s="123"/>
      <c r="G66" s="118"/>
      <c r="H66" s="118"/>
    </row>
    <row r="67" spans="1:8">
      <c r="A67" s="29">
        <v>10031</v>
      </c>
      <c r="B67" s="29" t="s">
        <v>68</v>
      </c>
      <c r="C67" s="80">
        <v>1</v>
      </c>
      <c r="D67" s="122">
        <v>4</v>
      </c>
      <c r="E67" s="123">
        <v>10</v>
      </c>
      <c r="F67" s="123"/>
      <c r="G67" s="118"/>
      <c r="H67" s="118"/>
    </row>
    <row r="68" spans="1:8">
      <c r="A68" s="29">
        <v>10032</v>
      </c>
      <c r="B68" s="29" t="s">
        <v>69</v>
      </c>
      <c r="C68" s="80">
        <v>1</v>
      </c>
      <c r="D68" s="122">
        <v>4</v>
      </c>
      <c r="E68" s="123">
        <v>10</v>
      </c>
      <c r="F68" s="123"/>
      <c r="G68" s="118"/>
      <c r="H68" s="118"/>
    </row>
    <row r="69" spans="1:5">
      <c r="A69" s="29">
        <v>90061</v>
      </c>
      <c r="B69" s="29" t="s">
        <v>70</v>
      </c>
      <c r="C69">
        <v>2</v>
      </c>
      <c r="D69">
        <v>6</v>
      </c>
      <c r="E69" s="16"/>
    </row>
    <row r="70" spans="1:4">
      <c r="A70" s="29">
        <v>90061</v>
      </c>
      <c r="B70" s="29" t="s">
        <v>71</v>
      </c>
      <c r="C70">
        <v>2</v>
      </c>
      <c r="D70">
        <v>6</v>
      </c>
    </row>
    <row r="71" spans="1:5">
      <c r="A71" s="29">
        <v>90062</v>
      </c>
      <c r="B71" s="29" t="s">
        <v>72</v>
      </c>
      <c r="C71">
        <v>2</v>
      </c>
      <c r="D71">
        <v>8</v>
      </c>
      <c r="E71" s="16"/>
    </row>
    <row r="72" spans="1:4">
      <c r="A72" s="29">
        <v>90062</v>
      </c>
      <c r="B72" s="29" t="s">
        <v>73</v>
      </c>
      <c r="C72">
        <v>2</v>
      </c>
      <c r="D72">
        <v>8</v>
      </c>
    </row>
    <row r="73" spans="1:5">
      <c r="A73" s="29">
        <v>90063</v>
      </c>
      <c r="B73" s="29" t="s">
        <v>74</v>
      </c>
      <c r="C73">
        <v>2</v>
      </c>
      <c r="D73">
        <v>7</v>
      </c>
      <c r="E73" s="16"/>
    </row>
    <row r="74" spans="1:4">
      <c r="A74" s="29">
        <v>90063</v>
      </c>
      <c r="B74" s="29" t="s">
        <v>75</v>
      </c>
      <c r="C74">
        <v>2</v>
      </c>
      <c r="D74">
        <v>7</v>
      </c>
    </row>
    <row r="75" spans="1:4">
      <c r="A75" s="29">
        <v>90064</v>
      </c>
      <c r="B75" s="29" t="s">
        <v>76</v>
      </c>
      <c r="C75">
        <v>2</v>
      </c>
      <c r="D75">
        <v>6</v>
      </c>
    </row>
    <row r="76" spans="1:4">
      <c r="A76" s="29">
        <v>90065</v>
      </c>
      <c r="B76" s="29" t="s">
        <v>77</v>
      </c>
      <c r="C76">
        <v>2</v>
      </c>
      <c r="D76">
        <v>7</v>
      </c>
    </row>
    <row r="77" spans="1:4">
      <c r="A77" s="29">
        <v>90066</v>
      </c>
      <c r="B77" s="29" t="s">
        <v>78</v>
      </c>
      <c r="C77">
        <v>2</v>
      </c>
      <c r="D77">
        <v>8</v>
      </c>
    </row>
    <row r="78" spans="1:4">
      <c r="A78" s="29">
        <v>90067</v>
      </c>
      <c r="B78" s="29" t="s">
        <v>79</v>
      </c>
      <c r="C78">
        <v>2</v>
      </c>
      <c r="D78">
        <v>8</v>
      </c>
    </row>
    <row r="79" spans="1:4">
      <c r="A79" s="29">
        <v>90068</v>
      </c>
      <c r="B79" s="29" t="s">
        <v>80</v>
      </c>
      <c r="C79">
        <v>2</v>
      </c>
      <c r="D79">
        <v>8</v>
      </c>
    </row>
    <row r="80" spans="1:4">
      <c r="A80" s="29">
        <v>90069</v>
      </c>
      <c r="B80" s="29" t="s">
        <v>81</v>
      </c>
      <c r="C80">
        <v>2</v>
      </c>
      <c r="D80">
        <v>8</v>
      </c>
    </row>
    <row r="81" spans="1:4">
      <c r="A81" s="29">
        <v>90070</v>
      </c>
      <c r="B81" s="29" t="s">
        <v>82</v>
      </c>
      <c r="C81">
        <v>2</v>
      </c>
      <c r="D81">
        <v>8</v>
      </c>
    </row>
    <row r="82" spans="1:4">
      <c r="A82" s="29">
        <v>90071</v>
      </c>
      <c r="B82" s="29" t="s">
        <v>83</v>
      </c>
      <c r="C82">
        <v>2</v>
      </c>
      <c r="D82">
        <v>8</v>
      </c>
    </row>
    <row r="83" spans="1:4">
      <c r="A83" s="29">
        <v>90072</v>
      </c>
      <c r="B83" s="29" t="s">
        <v>84</v>
      </c>
      <c r="C83">
        <v>2</v>
      </c>
      <c r="D83">
        <v>8</v>
      </c>
    </row>
    <row r="84" spans="1:4">
      <c r="A84" s="29">
        <v>90073</v>
      </c>
      <c r="B84" s="29" t="s">
        <v>85</v>
      </c>
      <c r="C84">
        <v>2</v>
      </c>
      <c r="D84">
        <v>8</v>
      </c>
    </row>
    <row r="85" spans="1:4">
      <c r="A85" s="29">
        <v>90074</v>
      </c>
      <c r="B85" s="29" t="s">
        <v>86</v>
      </c>
      <c r="C85">
        <v>2</v>
      </c>
      <c r="D85">
        <v>8</v>
      </c>
    </row>
    <row r="86" spans="1:4">
      <c r="A86" s="29">
        <v>90075</v>
      </c>
      <c r="B86" s="29" t="s">
        <v>87</v>
      </c>
      <c r="C86">
        <v>2</v>
      </c>
      <c r="D86">
        <v>8</v>
      </c>
    </row>
    <row r="87" spans="1:4">
      <c r="A87" s="29">
        <v>90076</v>
      </c>
      <c r="B87" s="29" t="s">
        <v>88</v>
      </c>
      <c r="C87">
        <v>2</v>
      </c>
      <c r="D87">
        <v>8</v>
      </c>
    </row>
    <row r="88" spans="1:4">
      <c r="A88" s="29">
        <v>90077</v>
      </c>
      <c r="B88" s="29" t="s">
        <v>89</v>
      </c>
      <c r="C88">
        <v>2</v>
      </c>
      <c r="D88">
        <v>8</v>
      </c>
    </row>
    <row r="89" spans="1:4">
      <c r="A89" s="29">
        <v>90078</v>
      </c>
      <c r="B89" s="29" t="s">
        <v>90</v>
      </c>
      <c r="C89">
        <v>2</v>
      </c>
      <c r="D89">
        <v>9</v>
      </c>
    </row>
    <row r="90" spans="1:4">
      <c r="A90" s="29">
        <v>90079</v>
      </c>
      <c r="B90" s="29" t="s">
        <v>91</v>
      </c>
      <c r="C90">
        <v>2</v>
      </c>
      <c r="D90">
        <v>9</v>
      </c>
    </row>
    <row r="91" spans="1:4">
      <c r="A91" s="29">
        <v>90080</v>
      </c>
      <c r="B91" s="29" t="s">
        <v>92</v>
      </c>
      <c r="C91">
        <v>2</v>
      </c>
      <c r="D91">
        <v>9</v>
      </c>
    </row>
    <row r="92" spans="1:4">
      <c r="A92" s="29">
        <v>90081</v>
      </c>
      <c r="B92" s="29" t="s">
        <v>93</v>
      </c>
      <c r="C92">
        <v>2</v>
      </c>
      <c r="D92">
        <v>9</v>
      </c>
    </row>
    <row r="93" spans="1:8">
      <c r="A93" s="29">
        <v>11</v>
      </c>
      <c r="B93" s="29" t="s">
        <v>94</v>
      </c>
      <c r="C93">
        <v>3</v>
      </c>
      <c r="D93" s="124">
        <v>1</v>
      </c>
      <c r="E93" s="16">
        <v>60</v>
      </c>
      <c r="G93" s="125"/>
      <c r="H93" s="126"/>
    </row>
    <row r="94" spans="1:8">
      <c r="A94" s="29">
        <v>12</v>
      </c>
      <c r="B94" s="29" t="s">
        <v>95</v>
      </c>
      <c r="C94">
        <v>3</v>
      </c>
      <c r="D94" s="124">
        <v>1</v>
      </c>
      <c r="E94" s="16">
        <v>60</v>
      </c>
      <c r="G94" s="125"/>
      <c r="H94" s="126"/>
    </row>
    <row r="95" spans="1:8">
      <c r="A95" s="29">
        <v>13</v>
      </c>
      <c r="B95" s="29" t="s">
        <v>96</v>
      </c>
      <c r="C95">
        <v>3</v>
      </c>
      <c r="D95" s="124">
        <v>1</v>
      </c>
      <c r="E95" s="16">
        <v>60</v>
      </c>
      <c r="G95" s="125"/>
      <c r="H95" s="126"/>
    </row>
    <row r="96" spans="1:8">
      <c r="A96" s="29">
        <v>14</v>
      </c>
      <c r="B96" s="29" t="s">
        <v>97</v>
      </c>
      <c r="C96">
        <v>3</v>
      </c>
      <c r="D96" s="124">
        <v>1</v>
      </c>
      <c r="E96" s="16">
        <v>60</v>
      </c>
      <c r="G96" s="125"/>
      <c r="H96" s="126"/>
    </row>
    <row r="97" spans="1:8">
      <c r="A97" s="29">
        <v>15</v>
      </c>
      <c r="B97" s="29" t="s">
        <v>98</v>
      </c>
      <c r="C97">
        <v>3</v>
      </c>
      <c r="D97" s="124">
        <v>1</v>
      </c>
      <c r="E97" s="16">
        <v>60</v>
      </c>
      <c r="G97" s="125"/>
      <c r="H97" s="126"/>
    </row>
    <row r="98" spans="1:8">
      <c r="A98" s="29">
        <v>16</v>
      </c>
      <c r="B98" s="29" t="s">
        <v>99</v>
      </c>
      <c r="C98">
        <v>3</v>
      </c>
      <c r="D98" s="124">
        <v>1</v>
      </c>
      <c r="E98" s="16">
        <v>60</v>
      </c>
      <c r="G98" s="125"/>
      <c r="H98" s="126"/>
    </row>
    <row r="99" spans="1:8">
      <c r="A99" s="29">
        <v>21</v>
      </c>
      <c r="B99" s="29" t="s">
        <v>100</v>
      </c>
      <c r="C99">
        <v>3</v>
      </c>
      <c r="D99" s="124">
        <v>2</v>
      </c>
      <c r="E99" s="16">
        <v>180</v>
      </c>
      <c r="G99" s="125"/>
      <c r="H99" s="126"/>
    </row>
    <row r="100" spans="1:8">
      <c r="A100" s="29">
        <v>22</v>
      </c>
      <c r="B100" s="29" t="s">
        <v>101</v>
      </c>
      <c r="C100">
        <v>3</v>
      </c>
      <c r="D100" s="124">
        <v>2</v>
      </c>
      <c r="E100" s="16">
        <v>180</v>
      </c>
      <c r="G100" s="125"/>
      <c r="H100" s="126"/>
    </row>
    <row r="101" spans="1:8">
      <c r="A101" s="29">
        <v>23</v>
      </c>
      <c r="B101" s="29" t="s">
        <v>102</v>
      </c>
      <c r="C101">
        <v>3</v>
      </c>
      <c r="D101" s="124">
        <v>2</v>
      </c>
      <c r="E101" s="16">
        <v>180</v>
      </c>
      <c r="G101" s="125"/>
      <c r="H101" s="126"/>
    </row>
    <row r="102" spans="1:5">
      <c r="A102" s="29">
        <v>24</v>
      </c>
      <c r="B102" s="29" t="s">
        <v>103</v>
      </c>
      <c r="C102">
        <v>3</v>
      </c>
      <c r="D102" s="124">
        <v>2</v>
      </c>
      <c r="E102" s="16">
        <v>180</v>
      </c>
    </row>
    <row r="103" spans="1:5">
      <c r="A103" s="29">
        <v>25</v>
      </c>
      <c r="B103" s="29" t="s">
        <v>104</v>
      </c>
      <c r="C103">
        <v>3</v>
      </c>
      <c r="D103" s="124">
        <v>2</v>
      </c>
      <c r="E103" s="16">
        <v>180</v>
      </c>
    </row>
    <row r="104" spans="1:5">
      <c r="A104" s="29">
        <v>26</v>
      </c>
      <c r="B104" s="29" t="s">
        <v>105</v>
      </c>
      <c r="C104">
        <v>3</v>
      </c>
      <c r="D104" s="124">
        <v>2</v>
      </c>
      <c r="E104" s="16">
        <v>180</v>
      </c>
    </row>
    <row r="105" spans="1:5">
      <c r="A105" s="29">
        <v>31</v>
      </c>
      <c r="B105" s="29" t="s">
        <v>106</v>
      </c>
      <c r="C105">
        <v>3</v>
      </c>
      <c r="D105" s="124">
        <v>3</v>
      </c>
      <c r="E105" s="16">
        <v>540</v>
      </c>
    </row>
    <row r="106" spans="1:5">
      <c r="A106" s="29">
        <v>32</v>
      </c>
      <c r="B106" s="29" t="s">
        <v>107</v>
      </c>
      <c r="C106">
        <v>3</v>
      </c>
      <c r="D106" s="124">
        <v>3</v>
      </c>
      <c r="E106" s="16">
        <v>540</v>
      </c>
    </row>
    <row r="107" spans="1:5">
      <c r="A107" s="29">
        <v>33</v>
      </c>
      <c r="B107" s="29" t="s">
        <v>108</v>
      </c>
      <c r="C107">
        <v>3</v>
      </c>
      <c r="D107" s="124">
        <v>3</v>
      </c>
      <c r="E107" s="16">
        <v>540</v>
      </c>
    </row>
    <row r="108" spans="1:5">
      <c r="A108" s="29">
        <v>34</v>
      </c>
      <c r="B108" s="29" t="s">
        <v>109</v>
      </c>
      <c r="C108">
        <v>3</v>
      </c>
      <c r="D108" s="124">
        <v>3</v>
      </c>
      <c r="E108" s="16">
        <v>540</v>
      </c>
    </row>
    <row r="109" spans="1:5">
      <c r="A109" s="29">
        <v>35</v>
      </c>
      <c r="B109" s="29" t="s">
        <v>110</v>
      </c>
      <c r="C109">
        <v>3</v>
      </c>
      <c r="D109" s="124">
        <v>3</v>
      </c>
      <c r="E109" s="16">
        <v>540</v>
      </c>
    </row>
    <row r="110" spans="1:5">
      <c r="A110" s="29">
        <v>36</v>
      </c>
      <c r="B110" s="29" t="s">
        <v>111</v>
      </c>
      <c r="C110">
        <v>3</v>
      </c>
      <c r="D110" s="124">
        <v>3</v>
      </c>
      <c r="E110" s="16">
        <v>540</v>
      </c>
    </row>
    <row r="111" spans="1:6">
      <c r="A111" s="29">
        <v>41</v>
      </c>
      <c r="B111" s="29" t="s">
        <v>112</v>
      </c>
      <c r="C111">
        <v>3</v>
      </c>
      <c r="D111" s="127">
        <v>4</v>
      </c>
      <c r="E111" s="128">
        <v>1620</v>
      </c>
      <c r="F111" s="119"/>
    </row>
    <row r="112" spans="1:5">
      <c r="A112" s="29">
        <v>42</v>
      </c>
      <c r="B112" s="29" t="s">
        <v>113</v>
      </c>
      <c r="C112">
        <v>3</v>
      </c>
      <c r="D112" s="124">
        <v>4</v>
      </c>
      <c r="E112" s="16">
        <v>1620</v>
      </c>
    </row>
    <row r="113" spans="1:5">
      <c r="A113" s="29">
        <v>43</v>
      </c>
      <c r="B113" s="29" t="s">
        <v>114</v>
      </c>
      <c r="C113">
        <v>3</v>
      </c>
      <c r="D113" s="124">
        <v>4</v>
      </c>
      <c r="E113" s="16">
        <v>1620</v>
      </c>
    </row>
    <row r="114" spans="1:5">
      <c r="A114" s="29">
        <v>44</v>
      </c>
      <c r="B114" s="29" t="s">
        <v>115</v>
      </c>
      <c r="C114">
        <v>3</v>
      </c>
      <c r="D114" s="127">
        <v>4</v>
      </c>
      <c r="E114" s="16">
        <v>1620</v>
      </c>
    </row>
    <row r="115" spans="1:8">
      <c r="A115" s="29">
        <v>45</v>
      </c>
      <c r="B115" s="29" t="s">
        <v>116</v>
      </c>
      <c r="C115">
        <v>3</v>
      </c>
      <c r="D115" s="127">
        <v>4</v>
      </c>
      <c r="E115" s="16">
        <v>1620</v>
      </c>
      <c r="F115"/>
      <c r="G115" s="129"/>
      <c r="H115" s="130"/>
    </row>
    <row r="116" spans="1:8">
      <c r="A116" s="29">
        <v>46</v>
      </c>
      <c r="B116" s="29" t="s">
        <v>117</v>
      </c>
      <c r="C116">
        <v>3</v>
      </c>
      <c r="D116" s="127">
        <v>4</v>
      </c>
      <c r="E116" s="16">
        <v>1620</v>
      </c>
      <c r="F116"/>
      <c r="G116" s="129"/>
      <c r="H116" s="130"/>
    </row>
    <row r="117" spans="1:8">
      <c r="A117" s="29">
        <v>51</v>
      </c>
      <c r="B117" s="29" t="s">
        <v>118</v>
      </c>
      <c r="C117">
        <v>3</v>
      </c>
      <c r="D117" s="124">
        <v>5</v>
      </c>
      <c r="E117" s="16">
        <v>4860</v>
      </c>
      <c r="F117"/>
      <c r="G117" s="129"/>
      <c r="H117" s="130"/>
    </row>
    <row r="118" spans="1:8">
      <c r="A118" s="29">
        <v>52</v>
      </c>
      <c r="B118" s="29" t="s">
        <v>119</v>
      </c>
      <c r="C118">
        <v>3</v>
      </c>
      <c r="D118" s="124">
        <v>5</v>
      </c>
      <c r="E118" s="16">
        <v>4860</v>
      </c>
      <c r="F118"/>
      <c r="G118" s="129"/>
      <c r="H118" s="130"/>
    </row>
    <row r="119" spans="1:8">
      <c r="A119" s="29">
        <v>53</v>
      </c>
      <c r="B119" s="29" t="s">
        <v>120</v>
      </c>
      <c r="C119">
        <v>3</v>
      </c>
      <c r="D119" s="124">
        <v>5</v>
      </c>
      <c r="E119" s="16">
        <v>4860</v>
      </c>
      <c r="F119"/>
      <c r="G119" s="129"/>
      <c r="H119" s="130"/>
    </row>
    <row r="120" spans="1:8">
      <c r="A120" s="29">
        <v>54</v>
      </c>
      <c r="B120" s="29" t="s">
        <v>121</v>
      </c>
      <c r="C120">
        <v>3</v>
      </c>
      <c r="D120" s="124">
        <v>5</v>
      </c>
      <c r="E120" s="16">
        <v>4860</v>
      </c>
      <c r="F120"/>
      <c r="G120" s="129"/>
      <c r="H120" s="130"/>
    </row>
    <row r="121" spans="1:8">
      <c r="A121" s="29">
        <v>55</v>
      </c>
      <c r="B121" s="29" t="s">
        <v>122</v>
      </c>
      <c r="C121">
        <v>3</v>
      </c>
      <c r="D121" s="124">
        <v>5</v>
      </c>
      <c r="E121" s="16">
        <v>4860</v>
      </c>
      <c r="F121"/>
      <c r="G121" s="129"/>
      <c r="H121" s="130"/>
    </row>
    <row r="122" spans="1:8">
      <c r="A122" s="29">
        <v>56</v>
      </c>
      <c r="B122" s="29" t="s">
        <v>123</v>
      </c>
      <c r="C122">
        <v>3</v>
      </c>
      <c r="D122" s="124">
        <v>5</v>
      </c>
      <c r="E122" s="16">
        <v>4860</v>
      </c>
      <c r="F122"/>
      <c r="G122" s="129"/>
      <c r="H122" s="130"/>
    </row>
    <row r="123" spans="1:8">
      <c r="A123" s="29">
        <v>61</v>
      </c>
      <c r="B123" s="29" t="s">
        <v>124</v>
      </c>
      <c r="C123">
        <v>3</v>
      </c>
      <c r="D123" s="124">
        <v>6</v>
      </c>
      <c r="E123" s="16">
        <v>14580</v>
      </c>
      <c r="F123"/>
      <c r="G123" s="129"/>
      <c r="H123" s="130"/>
    </row>
    <row r="124" spans="1:5">
      <c r="A124" s="29">
        <v>62</v>
      </c>
      <c r="B124" s="29" t="s">
        <v>125</v>
      </c>
      <c r="C124">
        <v>3</v>
      </c>
      <c r="D124" s="124">
        <v>6</v>
      </c>
      <c r="E124" s="16">
        <v>14580</v>
      </c>
    </row>
    <row r="125" spans="1:5">
      <c r="A125" s="29">
        <v>63</v>
      </c>
      <c r="B125" s="29" t="s">
        <v>126</v>
      </c>
      <c r="C125">
        <v>3</v>
      </c>
      <c r="D125" s="124">
        <v>6</v>
      </c>
      <c r="E125" s="16">
        <v>14580</v>
      </c>
    </row>
    <row r="126" spans="1:5">
      <c r="A126" s="29">
        <v>64</v>
      </c>
      <c r="B126" s="29" t="s">
        <v>127</v>
      </c>
      <c r="C126">
        <v>3</v>
      </c>
      <c r="D126" s="124">
        <v>6</v>
      </c>
      <c r="E126" s="16">
        <v>14580</v>
      </c>
    </row>
    <row r="127" spans="1:5">
      <c r="A127" s="29">
        <v>65</v>
      </c>
      <c r="B127" s="29" t="s">
        <v>128</v>
      </c>
      <c r="C127">
        <v>3</v>
      </c>
      <c r="D127" s="124">
        <v>6</v>
      </c>
      <c r="E127" s="16">
        <v>14580</v>
      </c>
    </row>
    <row r="128" spans="1:5">
      <c r="A128" s="29">
        <v>66</v>
      </c>
      <c r="B128" s="29" t="s">
        <v>129</v>
      </c>
      <c r="C128">
        <v>3</v>
      </c>
      <c r="D128" s="124">
        <v>6</v>
      </c>
      <c r="E128" s="16">
        <v>14580</v>
      </c>
    </row>
    <row r="129" spans="1:5">
      <c r="A129" s="29">
        <v>71</v>
      </c>
      <c r="B129" s="29" t="s">
        <v>130</v>
      </c>
      <c r="C129">
        <v>3</v>
      </c>
      <c r="D129" s="124">
        <v>7</v>
      </c>
      <c r="E129" s="16">
        <v>43740</v>
      </c>
    </row>
    <row r="130" spans="1:5">
      <c r="A130" s="29">
        <v>72</v>
      </c>
      <c r="B130" s="29" t="s">
        <v>131</v>
      </c>
      <c r="C130">
        <v>3</v>
      </c>
      <c r="D130" s="124">
        <v>7</v>
      </c>
      <c r="E130" s="16">
        <v>43740</v>
      </c>
    </row>
    <row r="131" spans="1:5">
      <c r="A131" s="29">
        <v>73</v>
      </c>
      <c r="B131" s="29" t="s">
        <v>132</v>
      </c>
      <c r="C131">
        <v>3</v>
      </c>
      <c r="D131" s="124">
        <v>7</v>
      </c>
      <c r="E131" s="16">
        <v>43740</v>
      </c>
    </row>
    <row r="132" spans="1:5">
      <c r="A132" s="29">
        <v>74</v>
      </c>
      <c r="B132" s="29" t="s">
        <v>133</v>
      </c>
      <c r="C132">
        <v>3</v>
      </c>
      <c r="D132" s="124">
        <v>7</v>
      </c>
      <c r="E132" s="16">
        <v>43740</v>
      </c>
    </row>
    <row r="133" spans="1:5">
      <c r="A133" s="29">
        <v>75</v>
      </c>
      <c r="B133" s="29" t="s">
        <v>134</v>
      </c>
      <c r="C133">
        <v>3</v>
      </c>
      <c r="D133" s="124">
        <v>7</v>
      </c>
      <c r="E133" s="16">
        <v>43740</v>
      </c>
    </row>
    <row r="134" spans="1:5">
      <c r="A134" s="29">
        <v>76</v>
      </c>
      <c r="B134" s="29" t="s">
        <v>135</v>
      </c>
      <c r="C134">
        <v>3</v>
      </c>
      <c r="D134" s="124">
        <v>7</v>
      </c>
      <c r="E134" s="16">
        <v>43740</v>
      </c>
    </row>
    <row r="135" spans="1:5">
      <c r="A135" s="29">
        <v>81</v>
      </c>
      <c r="B135" s="29" t="s">
        <v>136</v>
      </c>
      <c r="C135">
        <v>3</v>
      </c>
      <c r="D135" s="124">
        <v>8</v>
      </c>
      <c r="E135" s="16">
        <v>131220</v>
      </c>
    </row>
    <row r="136" spans="1:5">
      <c r="A136" s="29">
        <v>82</v>
      </c>
      <c r="B136" s="29" t="s">
        <v>137</v>
      </c>
      <c r="C136">
        <v>3</v>
      </c>
      <c r="D136" s="124">
        <v>8</v>
      </c>
      <c r="E136" s="16">
        <v>131220</v>
      </c>
    </row>
    <row r="137" spans="1:5">
      <c r="A137" s="29">
        <v>83</v>
      </c>
      <c r="B137" s="29" t="s">
        <v>138</v>
      </c>
      <c r="C137">
        <v>3</v>
      </c>
      <c r="D137" s="124">
        <v>8</v>
      </c>
      <c r="E137" s="16">
        <v>131220</v>
      </c>
    </row>
    <row r="138" spans="1:5">
      <c r="A138" s="29">
        <v>84</v>
      </c>
      <c r="B138" s="29" t="s">
        <v>139</v>
      </c>
      <c r="C138">
        <v>3</v>
      </c>
      <c r="D138" s="124">
        <v>8</v>
      </c>
      <c r="E138" s="16">
        <v>131220</v>
      </c>
    </row>
    <row r="139" spans="1:5">
      <c r="A139" s="29">
        <v>85</v>
      </c>
      <c r="B139" s="29" t="s">
        <v>140</v>
      </c>
      <c r="C139">
        <v>3</v>
      </c>
      <c r="D139" s="124">
        <v>8</v>
      </c>
      <c r="E139" s="16">
        <v>131220</v>
      </c>
    </row>
    <row r="140" spans="1:5">
      <c r="A140" s="29">
        <v>86</v>
      </c>
      <c r="B140" s="29" t="s">
        <v>141</v>
      </c>
      <c r="C140">
        <v>3</v>
      </c>
      <c r="D140" s="124">
        <v>8</v>
      </c>
      <c r="E140" s="16">
        <v>131220</v>
      </c>
    </row>
    <row r="141" spans="1:5">
      <c r="A141" s="29">
        <v>91</v>
      </c>
      <c r="B141" s="29" t="s">
        <v>142</v>
      </c>
      <c r="C141">
        <v>3</v>
      </c>
      <c r="D141" s="124">
        <v>9</v>
      </c>
      <c r="E141" s="16">
        <v>393660</v>
      </c>
    </row>
    <row r="142" spans="1:5">
      <c r="A142" s="29">
        <v>92</v>
      </c>
      <c r="B142" s="29" t="s">
        <v>143</v>
      </c>
      <c r="C142">
        <v>3</v>
      </c>
      <c r="D142" s="124">
        <v>9</v>
      </c>
      <c r="E142" s="16">
        <v>393660</v>
      </c>
    </row>
    <row r="143" spans="1:5">
      <c r="A143" s="29">
        <v>93</v>
      </c>
      <c r="B143" s="29" t="s">
        <v>144</v>
      </c>
      <c r="C143">
        <v>3</v>
      </c>
      <c r="D143" s="124">
        <v>9</v>
      </c>
      <c r="E143" s="16">
        <v>393660</v>
      </c>
    </row>
    <row r="144" spans="1:5">
      <c r="A144" s="29">
        <v>94</v>
      </c>
      <c r="B144" s="29" t="s">
        <v>145</v>
      </c>
      <c r="C144">
        <v>3</v>
      </c>
      <c r="D144" s="124">
        <v>9</v>
      </c>
      <c r="E144" s="16">
        <v>393660</v>
      </c>
    </row>
    <row r="145" spans="1:5">
      <c r="A145" s="29">
        <v>95</v>
      </c>
      <c r="B145" s="29" t="s">
        <v>146</v>
      </c>
      <c r="C145">
        <v>3</v>
      </c>
      <c r="D145" s="124">
        <v>9</v>
      </c>
      <c r="E145" s="16">
        <v>393660</v>
      </c>
    </row>
    <row r="146" spans="1:5">
      <c r="A146" s="29">
        <v>96</v>
      </c>
      <c r="B146" s="29" t="s">
        <v>147</v>
      </c>
      <c r="C146">
        <v>3</v>
      </c>
      <c r="D146" s="124">
        <v>9</v>
      </c>
      <c r="E146" s="16">
        <v>393660</v>
      </c>
    </row>
    <row r="147" spans="1:5">
      <c r="A147" s="29">
        <v>100</v>
      </c>
      <c r="B147" s="29" t="s">
        <v>148</v>
      </c>
      <c r="C147">
        <v>4</v>
      </c>
      <c r="D147">
        <v>1</v>
      </c>
      <c r="E147" s="16">
        <v>20</v>
      </c>
    </row>
    <row r="148" spans="1:5">
      <c r="A148" s="29">
        <v>101</v>
      </c>
      <c r="B148" s="29" t="s">
        <v>149</v>
      </c>
      <c r="C148">
        <v>4</v>
      </c>
      <c r="D148">
        <v>1</v>
      </c>
      <c r="E148" s="16">
        <v>50</v>
      </c>
    </row>
    <row r="149" spans="1:5">
      <c r="A149" s="29">
        <v>102</v>
      </c>
      <c r="B149" s="29" t="s">
        <v>150</v>
      </c>
      <c r="C149">
        <v>4</v>
      </c>
      <c r="D149">
        <v>1</v>
      </c>
      <c r="E149" s="16">
        <v>50</v>
      </c>
    </row>
    <row r="150" spans="1:5">
      <c r="A150" s="29">
        <v>200</v>
      </c>
      <c r="B150" s="29" t="s">
        <v>151</v>
      </c>
      <c r="C150">
        <v>4</v>
      </c>
      <c r="D150">
        <v>2</v>
      </c>
      <c r="E150" s="16">
        <v>40</v>
      </c>
    </row>
    <row r="151" spans="1:5">
      <c r="A151" s="29">
        <v>201</v>
      </c>
      <c r="B151" s="29" t="s">
        <v>152</v>
      </c>
      <c r="C151">
        <v>4</v>
      </c>
      <c r="D151">
        <v>2</v>
      </c>
      <c r="E151" s="16">
        <v>150</v>
      </c>
    </row>
    <row r="152" spans="1:5">
      <c r="A152" s="29">
        <v>202</v>
      </c>
      <c r="B152" s="29" t="s">
        <v>153</v>
      </c>
      <c r="C152">
        <v>4</v>
      </c>
      <c r="D152">
        <v>2</v>
      </c>
      <c r="E152" s="16">
        <v>150</v>
      </c>
    </row>
    <row r="153" spans="1:5">
      <c r="A153" s="29">
        <v>300</v>
      </c>
      <c r="B153" s="29" t="s">
        <v>154</v>
      </c>
      <c r="C153">
        <v>4</v>
      </c>
      <c r="D153">
        <v>3</v>
      </c>
      <c r="E153" s="16">
        <v>60</v>
      </c>
    </row>
    <row r="154" spans="1:5">
      <c r="A154" s="29">
        <v>301</v>
      </c>
      <c r="B154" s="29" t="s">
        <v>155</v>
      </c>
      <c r="C154">
        <v>4</v>
      </c>
      <c r="D154">
        <v>3</v>
      </c>
      <c r="E154" s="16">
        <v>525</v>
      </c>
    </row>
    <row r="155" spans="1:5">
      <c r="A155" s="29">
        <v>302</v>
      </c>
      <c r="B155" s="29" t="s">
        <v>156</v>
      </c>
      <c r="C155">
        <v>4</v>
      </c>
      <c r="D155">
        <v>3</v>
      </c>
      <c r="E155" s="16">
        <v>525</v>
      </c>
    </row>
    <row r="156" spans="1:5">
      <c r="A156" s="29">
        <v>303</v>
      </c>
      <c r="B156" s="29" t="s">
        <v>157</v>
      </c>
      <c r="C156">
        <v>4</v>
      </c>
      <c r="D156">
        <v>3</v>
      </c>
      <c r="E156" s="16">
        <v>525</v>
      </c>
    </row>
    <row r="157" spans="1:5">
      <c r="A157" s="29">
        <v>304</v>
      </c>
      <c r="B157" s="29" t="s">
        <v>158</v>
      </c>
      <c r="C157">
        <v>4</v>
      </c>
      <c r="D157">
        <v>3</v>
      </c>
      <c r="E157" s="16">
        <v>525</v>
      </c>
    </row>
    <row r="158" spans="1:5">
      <c r="A158" s="29">
        <v>400</v>
      </c>
      <c r="B158" s="29" t="s">
        <v>159</v>
      </c>
      <c r="C158">
        <v>4</v>
      </c>
      <c r="D158">
        <v>4</v>
      </c>
      <c r="E158" s="16">
        <v>100</v>
      </c>
    </row>
    <row r="159" spans="1:5">
      <c r="A159" s="29">
        <v>401</v>
      </c>
      <c r="B159" s="29" t="s">
        <v>160</v>
      </c>
      <c r="C159">
        <v>4</v>
      </c>
      <c r="D159">
        <v>4</v>
      </c>
      <c r="E159" s="16">
        <v>2701</v>
      </c>
    </row>
    <row r="160" spans="1:5">
      <c r="A160" s="29">
        <v>402</v>
      </c>
      <c r="B160" s="29" t="s">
        <v>161</v>
      </c>
      <c r="C160">
        <v>4</v>
      </c>
      <c r="D160">
        <v>4</v>
      </c>
      <c r="E160" s="16">
        <v>2701</v>
      </c>
    </row>
    <row r="161" spans="1:5">
      <c r="A161" s="29">
        <v>403</v>
      </c>
      <c r="B161" s="29" t="s">
        <v>162</v>
      </c>
      <c r="C161">
        <v>4</v>
      </c>
      <c r="D161">
        <v>4</v>
      </c>
      <c r="E161" s="16">
        <v>2701</v>
      </c>
    </row>
    <row r="162" spans="1:5">
      <c r="A162" s="29">
        <v>404</v>
      </c>
      <c r="B162" s="29" t="s">
        <v>163</v>
      </c>
      <c r="C162">
        <v>4</v>
      </c>
      <c r="D162">
        <v>4</v>
      </c>
      <c r="E162" s="16">
        <v>2701</v>
      </c>
    </row>
    <row r="163" spans="1:5">
      <c r="A163" s="29">
        <v>405</v>
      </c>
      <c r="B163" s="29" t="s">
        <v>164</v>
      </c>
      <c r="C163">
        <v>4</v>
      </c>
      <c r="D163">
        <v>4</v>
      </c>
      <c r="E163" s="16">
        <v>2701</v>
      </c>
    </row>
    <row r="164" spans="1:5">
      <c r="A164" s="29">
        <v>406</v>
      </c>
      <c r="B164" s="29" t="s">
        <v>165</v>
      </c>
      <c r="C164">
        <v>4</v>
      </c>
      <c r="D164">
        <v>4</v>
      </c>
      <c r="E164" s="16">
        <v>2701</v>
      </c>
    </row>
    <row r="165" spans="1:5">
      <c r="A165" s="29">
        <v>500</v>
      </c>
      <c r="B165" s="29" t="s">
        <v>166</v>
      </c>
      <c r="C165">
        <v>4</v>
      </c>
      <c r="D165">
        <v>5</v>
      </c>
      <c r="E165" s="16">
        <v>200</v>
      </c>
    </row>
    <row r="166" spans="1:5">
      <c r="A166" s="29">
        <v>501</v>
      </c>
      <c r="B166" s="29" t="s">
        <v>167</v>
      </c>
      <c r="C166">
        <v>4</v>
      </c>
      <c r="D166">
        <v>5</v>
      </c>
      <c r="E166" s="16">
        <v>19916</v>
      </c>
    </row>
    <row r="167" spans="1:5">
      <c r="A167" s="29">
        <v>502</v>
      </c>
      <c r="B167" s="29" t="s">
        <v>168</v>
      </c>
      <c r="C167">
        <v>4</v>
      </c>
      <c r="D167">
        <v>5</v>
      </c>
      <c r="E167" s="16">
        <v>19916</v>
      </c>
    </row>
    <row r="168" spans="1:5">
      <c r="A168" s="29">
        <v>503</v>
      </c>
      <c r="B168" s="29" t="s">
        <v>169</v>
      </c>
      <c r="C168">
        <v>4</v>
      </c>
      <c r="D168">
        <v>5</v>
      </c>
      <c r="E168" s="16">
        <v>19916</v>
      </c>
    </row>
    <row r="169" spans="1:5">
      <c r="A169" s="29">
        <v>504</v>
      </c>
      <c r="B169" s="29" t="s">
        <v>170</v>
      </c>
      <c r="C169">
        <v>4</v>
      </c>
      <c r="D169">
        <v>5</v>
      </c>
      <c r="E169" s="16">
        <v>19916</v>
      </c>
    </row>
    <row r="170" spans="1:5">
      <c r="A170" s="29">
        <v>505</v>
      </c>
      <c r="B170" s="29" t="s">
        <v>171</v>
      </c>
      <c r="C170">
        <v>4</v>
      </c>
      <c r="D170">
        <v>5</v>
      </c>
      <c r="E170" s="16">
        <v>19916</v>
      </c>
    </row>
    <row r="171" spans="1:5">
      <c r="A171" s="29">
        <v>600</v>
      </c>
      <c r="B171" s="29" t="s">
        <v>172</v>
      </c>
      <c r="C171">
        <v>4</v>
      </c>
      <c r="D171">
        <v>6</v>
      </c>
      <c r="E171" s="16">
        <v>500</v>
      </c>
    </row>
    <row r="172" spans="1:5">
      <c r="A172" s="29">
        <v>601</v>
      </c>
      <c r="B172" s="29" t="s">
        <v>173</v>
      </c>
      <c r="C172">
        <v>4</v>
      </c>
      <c r="D172">
        <v>6</v>
      </c>
      <c r="E172" s="16">
        <v>206553</v>
      </c>
    </row>
    <row r="173" spans="1:5">
      <c r="A173" s="29">
        <v>602</v>
      </c>
      <c r="B173" s="29" t="s">
        <v>174</v>
      </c>
      <c r="C173">
        <v>4</v>
      </c>
      <c r="D173">
        <v>6</v>
      </c>
      <c r="E173" s="16">
        <v>206553</v>
      </c>
    </row>
    <row r="174" spans="1:5">
      <c r="A174" s="29">
        <v>603</v>
      </c>
      <c r="B174" s="29" t="s">
        <v>175</v>
      </c>
      <c r="C174">
        <v>4</v>
      </c>
      <c r="D174">
        <v>6</v>
      </c>
      <c r="E174" s="16">
        <v>206553</v>
      </c>
    </row>
    <row r="175" spans="1:5">
      <c r="A175" s="29">
        <v>604</v>
      </c>
      <c r="B175" s="29" t="s">
        <v>176</v>
      </c>
      <c r="C175">
        <v>4</v>
      </c>
      <c r="D175">
        <v>6</v>
      </c>
      <c r="E175" s="16">
        <v>206553</v>
      </c>
    </row>
    <row r="176" spans="1:5">
      <c r="A176" s="29">
        <v>605</v>
      </c>
      <c r="B176" s="29" t="s">
        <v>177</v>
      </c>
      <c r="C176">
        <v>4</v>
      </c>
      <c r="D176">
        <v>6</v>
      </c>
      <c r="E176" s="16">
        <v>206553</v>
      </c>
    </row>
    <row r="177" spans="1:5">
      <c r="A177" s="29">
        <v>700</v>
      </c>
      <c r="B177" s="29" t="s">
        <v>178</v>
      </c>
      <c r="C177">
        <v>4</v>
      </c>
      <c r="D177">
        <v>7</v>
      </c>
      <c r="E177" s="16">
        <v>1500</v>
      </c>
    </row>
    <row r="178" spans="1:5">
      <c r="A178" s="29">
        <v>701</v>
      </c>
      <c r="B178" s="29" t="s">
        <v>179</v>
      </c>
      <c r="C178">
        <v>4</v>
      </c>
      <c r="D178">
        <v>7</v>
      </c>
      <c r="E178" s="16">
        <v>559971</v>
      </c>
    </row>
    <row r="179" spans="1:5">
      <c r="A179" s="29">
        <v>702</v>
      </c>
      <c r="B179" s="29" t="s">
        <v>180</v>
      </c>
      <c r="C179">
        <v>4</v>
      </c>
      <c r="D179">
        <v>7</v>
      </c>
      <c r="E179" s="16">
        <v>559971</v>
      </c>
    </row>
    <row r="180" spans="1:5">
      <c r="A180" s="29">
        <v>703</v>
      </c>
      <c r="B180" s="29" t="s">
        <v>181</v>
      </c>
      <c r="C180">
        <v>4</v>
      </c>
      <c r="D180">
        <v>7</v>
      </c>
      <c r="E180" s="16">
        <v>559971</v>
      </c>
    </row>
    <row r="181" spans="1:5">
      <c r="A181" s="29">
        <v>704</v>
      </c>
      <c r="B181" s="29" t="s">
        <v>182</v>
      </c>
      <c r="C181">
        <v>4</v>
      </c>
      <c r="D181">
        <v>7</v>
      </c>
      <c r="E181" s="16">
        <v>559971</v>
      </c>
    </row>
    <row r="182" spans="1:5">
      <c r="A182" s="29">
        <v>705</v>
      </c>
      <c r="B182" s="29" t="s">
        <v>183</v>
      </c>
      <c r="C182">
        <v>4</v>
      </c>
      <c r="D182">
        <v>7</v>
      </c>
      <c r="E182" s="16">
        <v>559971</v>
      </c>
    </row>
    <row r="183" spans="1:5">
      <c r="A183" s="29">
        <v>901</v>
      </c>
      <c r="B183" s="29" t="s">
        <v>184</v>
      </c>
      <c r="C183">
        <v>4</v>
      </c>
      <c r="D183">
        <v>9</v>
      </c>
      <c r="E183" s="16">
        <v>4546973</v>
      </c>
    </row>
    <row r="184" spans="1:5">
      <c r="A184" s="29">
        <v>902</v>
      </c>
      <c r="B184" s="29" t="s">
        <v>185</v>
      </c>
      <c r="C184">
        <v>4</v>
      </c>
      <c r="D184">
        <v>9</v>
      </c>
      <c r="E184" s="128">
        <v>4546973</v>
      </c>
    </row>
    <row r="185" spans="1:5">
      <c r="A185" s="29">
        <v>903</v>
      </c>
      <c r="B185" s="29" t="s">
        <v>186</v>
      </c>
      <c r="C185">
        <v>4</v>
      </c>
      <c r="D185">
        <v>9</v>
      </c>
      <c r="E185" s="128">
        <v>4546973</v>
      </c>
    </row>
    <row r="186" spans="1:5">
      <c r="A186" s="29">
        <v>904</v>
      </c>
      <c r="B186" s="29" t="s">
        <v>187</v>
      </c>
      <c r="C186">
        <v>4</v>
      </c>
      <c r="D186">
        <v>9</v>
      </c>
      <c r="E186" s="128">
        <v>4546973</v>
      </c>
    </row>
    <row r="187" spans="1:5">
      <c r="A187" s="29">
        <v>201</v>
      </c>
      <c r="B187" s="29" t="s">
        <v>188</v>
      </c>
      <c r="C187">
        <v>6</v>
      </c>
      <c r="D187">
        <v>5</v>
      </c>
      <c r="E187" s="16">
        <v>480</v>
      </c>
    </row>
    <row r="188" spans="1:5">
      <c r="A188" s="29">
        <v>202</v>
      </c>
      <c r="B188" s="29" t="s">
        <v>189</v>
      </c>
      <c r="C188">
        <v>6</v>
      </c>
      <c r="D188">
        <v>5</v>
      </c>
      <c r="E188" s="16">
        <v>480</v>
      </c>
    </row>
    <row r="189" spans="1:5">
      <c r="A189" s="29">
        <v>203</v>
      </c>
      <c r="B189" s="29" t="s">
        <v>190</v>
      </c>
      <c r="C189">
        <v>6</v>
      </c>
      <c r="D189">
        <v>5</v>
      </c>
      <c r="E189" s="16">
        <v>480</v>
      </c>
    </row>
    <row r="190" spans="1:5">
      <c r="A190" s="29">
        <v>204</v>
      </c>
      <c r="B190" s="29" t="s">
        <v>191</v>
      </c>
      <c r="C190">
        <v>6</v>
      </c>
      <c r="D190">
        <v>5</v>
      </c>
      <c r="E190" s="16">
        <v>480</v>
      </c>
    </row>
    <row r="191" spans="1:5">
      <c r="A191" s="29">
        <v>205</v>
      </c>
      <c r="B191" s="29" t="s">
        <v>192</v>
      </c>
      <c r="C191">
        <v>6</v>
      </c>
      <c r="D191">
        <v>5</v>
      </c>
      <c r="E191" s="16">
        <v>480</v>
      </c>
    </row>
    <row r="192" spans="1:5">
      <c r="A192" s="29">
        <v>206</v>
      </c>
      <c r="B192" s="29" t="s">
        <v>193</v>
      </c>
      <c r="C192">
        <v>6</v>
      </c>
      <c r="D192">
        <v>5</v>
      </c>
      <c r="E192" s="16">
        <v>480</v>
      </c>
    </row>
    <row r="193" spans="1:4">
      <c r="A193" s="29">
        <v>100</v>
      </c>
      <c r="B193" s="29" t="s">
        <v>194</v>
      </c>
      <c r="C193">
        <v>7</v>
      </c>
      <c r="D193">
        <v>7</v>
      </c>
    </row>
    <row r="194" spans="1:4">
      <c r="A194" s="29">
        <v>101</v>
      </c>
      <c r="B194" s="29" t="s">
        <v>195</v>
      </c>
      <c r="C194">
        <v>7</v>
      </c>
      <c r="D194">
        <v>9</v>
      </c>
    </row>
    <row r="195" spans="1:4">
      <c r="A195" s="29">
        <v>102</v>
      </c>
      <c r="B195" s="29" t="s">
        <v>196</v>
      </c>
      <c r="C195">
        <v>7</v>
      </c>
      <c r="D195">
        <v>7</v>
      </c>
    </row>
    <row r="196" spans="1:8">
      <c r="A196" s="29">
        <v>103</v>
      </c>
      <c r="B196" s="29" t="s">
        <v>197</v>
      </c>
      <c r="C196">
        <v>7</v>
      </c>
      <c r="D196">
        <v>9</v>
      </c>
      <c r="G196" s="119"/>
      <c r="H196" s="119"/>
    </row>
    <row r="197" spans="1:4">
      <c r="A197" s="29">
        <v>201</v>
      </c>
      <c r="B197" s="29" t="s">
        <v>198</v>
      </c>
      <c r="C197">
        <v>7</v>
      </c>
      <c r="D197">
        <v>9</v>
      </c>
    </row>
    <row r="198" spans="1:4">
      <c r="A198" s="29">
        <v>202</v>
      </c>
      <c r="B198" s="29" t="s">
        <v>199</v>
      </c>
      <c r="C198">
        <v>7</v>
      </c>
      <c r="D198">
        <v>9</v>
      </c>
    </row>
    <row r="199" spans="1:4">
      <c r="A199" s="29">
        <v>203</v>
      </c>
      <c r="B199" s="29" t="s">
        <v>200</v>
      </c>
      <c r="C199">
        <v>7</v>
      </c>
      <c r="D199">
        <v>9</v>
      </c>
    </row>
    <row r="200" spans="1:4">
      <c r="A200" s="29">
        <v>204</v>
      </c>
      <c r="B200" s="29" t="s">
        <v>201</v>
      </c>
      <c r="C200">
        <v>7</v>
      </c>
      <c r="D200">
        <v>9</v>
      </c>
    </row>
    <row r="201" spans="1:4">
      <c r="A201" s="29">
        <v>205</v>
      </c>
      <c r="B201" s="29" t="s">
        <v>202</v>
      </c>
      <c r="C201">
        <v>7</v>
      </c>
      <c r="D201">
        <v>9</v>
      </c>
    </row>
    <row r="202" spans="1:4">
      <c r="A202" s="29">
        <v>206</v>
      </c>
      <c r="B202" s="29" t="s">
        <v>203</v>
      </c>
      <c r="C202">
        <v>7</v>
      </c>
      <c r="D202">
        <v>9</v>
      </c>
    </row>
    <row r="203" spans="1:4">
      <c r="A203" s="29">
        <v>207</v>
      </c>
      <c r="B203" s="29" t="s">
        <v>204</v>
      </c>
      <c r="C203">
        <v>7</v>
      </c>
      <c r="D203">
        <v>6</v>
      </c>
    </row>
    <row r="204" spans="1:4">
      <c r="A204" s="29">
        <v>208</v>
      </c>
      <c r="B204" s="29" t="s">
        <v>205</v>
      </c>
      <c r="C204">
        <v>7</v>
      </c>
      <c r="D204">
        <v>7</v>
      </c>
    </row>
    <row r="205" spans="1:4">
      <c r="A205" s="29">
        <v>209</v>
      </c>
      <c r="B205" s="29" t="s">
        <v>206</v>
      </c>
      <c r="C205">
        <v>7</v>
      </c>
      <c r="D205">
        <v>9</v>
      </c>
    </row>
    <row r="206" spans="1:4">
      <c r="A206" s="29">
        <v>301</v>
      </c>
      <c r="B206" s="29" t="s">
        <v>207</v>
      </c>
      <c r="C206">
        <v>7</v>
      </c>
      <c r="D206">
        <v>9</v>
      </c>
    </row>
    <row r="207" spans="1:4">
      <c r="A207" s="29">
        <v>302</v>
      </c>
      <c r="B207" s="29" t="s">
        <v>207</v>
      </c>
      <c r="C207">
        <v>7</v>
      </c>
      <c r="D207">
        <v>9</v>
      </c>
    </row>
    <row r="208" spans="1:4">
      <c r="A208" s="29">
        <v>303</v>
      </c>
      <c r="B208" s="29" t="s">
        <v>208</v>
      </c>
      <c r="C208">
        <v>7</v>
      </c>
      <c r="D208">
        <v>9</v>
      </c>
    </row>
    <row r="209" spans="1:4">
      <c r="A209" s="29">
        <v>304</v>
      </c>
      <c r="B209" s="29" t="s">
        <v>209</v>
      </c>
      <c r="C209">
        <v>7</v>
      </c>
      <c r="D209">
        <v>9</v>
      </c>
    </row>
    <row r="210" spans="1:4">
      <c r="A210" s="29">
        <v>305</v>
      </c>
      <c r="B210" s="29" t="s">
        <v>210</v>
      </c>
      <c r="C210">
        <v>7</v>
      </c>
      <c r="D210">
        <v>9</v>
      </c>
    </row>
    <row r="211" spans="1:4">
      <c r="A211" s="29">
        <v>306</v>
      </c>
      <c r="B211" s="29" t="s">
        <v>211</v>
      </c>
      <c r="C211">
        <v>7</v>
      </c>
      <c r="D211">
        <v>9</v>
      </c>
    </row>
    <row r="212" spans="1:4">
      <c r="A212" s="29">
        <v>307</v>
      </c>
      <c r="B212" s="29" t="s">
        <v>212</v>
      </c>
      <c r="C212">
        <v>7</v>
      </c>
      <c r="D212">
        <v>9</v>
      </c>
    </row>
    <row r="213" spans="1:4">
      <c r="A213" s="29">
        <v>308</v>
      </c>
      <c r="B213" s="29" t="s">
        <v>213</v>
      </c>
      <c r="C213">
        <v>7</v>
      </c>
      <c r="D213">
        <v>9</v>
      </c>
    </row>
    <row r="214" spans="1:5">
      <c r="A214" s="29">
        <v>11</v>
      </c>
      <c r="B214" s="29" t="s">
        <v>214</v>
      </c>
      <c r="C214" s="80">
        <v>8</v>
      </c>
      <c r="D214" s="80">
        <v>3</v>
      </c>
      <c r="E214" s="80">
        <v>0</v>
      </c>
    </row>
    <row r="215" spans="1:5">
      <c r="A215" s="29">
        <v>21</v>
      </c>
      <c r="B215" s="29" t="s">
        <v>215</v>
      </c>
      <c r="C215" s="80">
        <v>8</v>
      </c>
      <c r="D215" s="80">
        <v>4</v>
      </c>
      <c r="E215" s="131">
        <v>200</v>
      </c>
    </row>
    <row r="216" spans="1:5">
      <c r="A216" s="29">
        <v>22</v>
      </c>
      <c r="B216" s="29" t="s">
        <v>216</v>
      </c>
      <c r="C216" s="80">
        <v>8</v>
      </c>
      <c r="D216" s="80">
        <v>4</v>
      </c>
      <c r="E216" s="131">
        <v>200</v>
      </c>
    </row>
    <row r="217" spans="1:5">
      <c r="A217" s="29">
        <v>23</v>
      </c>
      <c r="B217" s="29" t="s">
        <v>217</v>
      </c>
      <c r="C217" s="80">
        <v>8</v>
      </c>
      <c r="D217" s="80">
        <v>4</v>
      </c>
      <c r="E217" s="131">
        <v>200</v>
      </c>
    </row>
    <row r="218" spans="1:5">
      <c r="A218" s="29">
        <v>24</v>
      </c>
      <c r="B218" s="29" t="s">
        <v>218</v>
      </c>
      <c r="C218" s="80">
        <v>8</v>
      </c>
      <c r="D218" s="80">
        <v>4</v>
      </c>
      <c r="E218" s="131">
        <v>200</v>
      </c>
    </row>
    <row r="219" spans="1:5">
      <c r="A219" s="29">
        <v>25</v>
      </c>
      <c r="B219" s="29" t="s">
        <v>219</v>
      </c>
      <c r="C219" s="80">
        <v>8</v>
      </c>
      <c r="D219" s="80">
        <v>4</v>
      </c>
      <c r="E219" s="131">
        <v>200</v>
      </c>
    </row>
    <row r="220" spans="1:5">
      <c r="A220" s="29">
        <v>26</v>
      </c>
      <c r="B220" s="29" t="s">
        <v>220</v>
      </c>
      <c r="C220" s="80">
        <v>8</v>
      </c>
      <c r="D220" s="80">
        <v>4</v>
      </c>
      <c r="E220" s="131">
        <v>200</v>
      </c>
    </row>
    <row r="221" spans="1:5">
      <c r="A221" s="29">
        <v>31</v>
      </c>
      <c r="B221" s="29" t="s">
        <v>221</v>
      </c>
      <c r="C221" s="80">
        <v>8</v>
      </c>
      <c r="D221" s="80">
        <v>5</v>
      </c>
      <c r="E221" s="80">
        <v>300</v>
      </c>
    </row>
    <row r="222" spans="1:5">
      <c r="A222" s="29">
        <v>32</v>
      </c>
      <c r="B222" s="29" t="s">
        <v>222</v>
      </c>
      <c r="C222" s="80">
        <v>8</v>
      </c>
      <c r="D222" s="80">
        <v>5</v>
      </c>
      <c r="E222" s="80">
        <v>300</v>
      </c>
    </row>
    <row r="223" spans="1:5">
      <c r="A223" s="29">
        <v>33</v>
      </c>
      <c r="B223" s="29" t="s">
        <v>223</v>
      </c>
      <c r="C223" s="80">
        <v>8</v>
      </c>
      <c r="D223" s="80">
        <v>5</v>
      </c>
      <c r="E223" s="80">
        <v>300</v>
      </c>
    </row>
    <row r="224" spans="1:5">
      <c r="A224" s="29">
        <v>34</v>
      </c>
      <c r="B224" s="29" t="s">
        <v>224</v>
      </c>
      <c r="C224" s="80">
        <v>8</v>
      </c>
      <c r="D224" s="80">
        <v>5</v>
      </c>
      <c r="E224" s="80">
        <v>300</v>
      </c>
    </row>
    <row r="225" spans="1:5">
      <c r="A225" s="29">
        <v>35</v>
      </c>
      <c r="B225" s="29" t="s">
        <v>225</v>
      </c>
      <c r="C225" s="80">
        <v>8</v>
      </c>
      <c r="D225" s="80">
        <v>5</v>
      </c>
      <c r="E225" s="80">
        <v>300</v>
      </c>
    </row>
    <row r="226" spans="1:5">
      <c r="A226" s="29">
        <v>36</v>
      </c>
      <c r="B226" s="29" t="s">
        <v>226</v>
      </c>
      <c r="C226" s="80">
        <v>8</v>
      </c>
      <c r="D226" s="80">
        <v>5</v>
      </c>
      <c r="E226" s="80">
        <v>300</v>
      </c>
    </row>
    <row r="227" spans="1:5">
      <c r="A227" s="29">
        <v>37</v>
      </c>
      <c r="B227" s="29" t="s">
        <v>227</v>
      </c>
      <c r="C227" s="80">
        <v>8</v>
      </c>
      <c r="D227" s="80">
        <v>5</v>
      </c>
      <c r="E227" s="80">
        <v>300</v>
      </c>
    </row>
    <row r="228" spans="1:5">
      <c r="A228" s="29">
        <v>38</v>
      </c>
      <c r="B228" s="29" t="s">
        <v>228</v>
      </c>
      <c r="C228" s="80">
        <v>8</v>
      </c>
      <c r="D228" s="80">
        <v>5</v>
      </c>
      <c r="E228" s="80">
        <v>300</v>
      </c>
    </row>
    <row r="229" spans="1:5">
      <c r="A229" s="29">
        <v>39</v>
      </c>
      <c r="B229" s="29" t="s">
        <v>229</v>
      </c>
      <c r="C229" s="80">
        <v>8</v>
      </c>
      <c r="D229" s="80">
        <v>5</v>
      </c>
      <c r="E229" s="80">
        <v>300</v>
      </c>
    </row>
    <row r="230" spans="1:5">
      <c r="A230" s="29">
        <v>40</v>
      </c>
      <c r="B230" s="29" t="s">
        <v>230</v>
      </c>
      <c r="C230" s="80">
        <v>8</v>
      </c>
      <c r="D230" s="80">
        <v>5</v>
      </c>
      <c r="E230" s="80">
        <v>300</v>
      </c>
    </row>
    <row r="231" spans="1:6">
      <c r="A231" s="29">
        <v>41</v>
      </c>
      <c r="B231" s="29" t="s">
        <v>231</v>
      </c>
      <c r="C231" s="80">
        <v>8</v>
      </c>
      <c r="D231" s="132">
        <v>5</v>
      </c>
      <c r="E231" s="132">
        <v>300</v>
      </c>
      <c r="F231" s="119"/>
    </row>
    <row r="232" spans="1:5">
      <c r="A232" s="29">
        <v>42</v>
      </c>
      <c r="B232" s="29" t="s">
        <v>232</v>
      </c>
      <c r="C232" s="80">
        <v>8</v>
      </c>
      <c r="D232" s="80">
        <v>5</v>
      </c>
      <c r="E232" s="80">
        <v>300</v>
      </c>
    </row>
    <row r="233" spans="1:5">
      <c r="A233" s="29">
        <v>71</v>
      </c>
      <c r="B233" s="29" t="s">
        <v>233</v>
      </c>
      <c r="C233" s="80">
        <v>8</v>
      </c>
      <c r="D233" s="80">
        <v>7</v>
      </c>
      <c r="E233" s="80">
        <v>5000</v>
      </c>
    </row>
    <row r="234" spans="1:5">
      <c r="A234" s="29">
        <v>72</v>
      </c>
      <c r="B234" s="29" t="s">
        <v>234</v>
      </c>
      <c r="C234" s="80">
        <v>8</v>
      </c>
      <c r="D234" s="80">
        <v>7</v>
      </c>
      <c r="E234" s="80">
        <v>5000</v>
      </c>
    </row>
    <row r="235" spans="1:5">
      <c r="A235" s="29">
        <v>73</v>
      </c>
      <c r="B235" s="29" t="s">
        <v>235</v>
      </c>
      <c r="C235" s="80">
        <v>8</v>
      </c>
      <c r="D235" s="80">
        <v>7</v>
      </c>
      <c r="E235" s="80">
        <v>5000</v>
      </c>
    </row>
    <row r="236" spans="1:5">
      <c r="A236" s="29">
        <v>74</v>
      </c>
      <c r="B236" s="29" t="s">
        <v>236</v>
      </c>
      <c r="C236" s="80">
        <v>8</v>
      </c>
      <c r="D236" s="80">
        <v>7</v>
      </c>
      <c r="E236" s="80">
        <v>5000</v>
      </c>
    </row>
    <row r="237" spans="1:5">
      <c r="A237" s="29">
        <v>75</v>
      </c>
      <c r="B237" s="29" t="s">
        <v>237</v>
      </c>
      <c r="C237" s="80">
        <v>8</v>
      </c>
      <c r="D237" s="80">
        <v>7</v>
      </c>
      <c r="E237" s="80">
        <v>5000</v>
      </c>
    </row>
    <row r="238" spans="1:5">
      <c r="A238" s="29">
        <v>76</v>
      </c>
      <c r="B238" s="29" t="s">
        <v>238</v>
      </c>
      <c r="C238" s="80">
        <v>8</v>
      </c>
      <c r="D238" s="80">
        <v>7</v>
      </c>
      <c r="E238" s="80">
        <v>5000</v>
      </c>
    </row>
    <row r="239" spans="1:5">
      <c r="A239" s="29">
        <v>102</v>
      </c>
      <c r="B239" s="29" t="s">
        <v>239</v>
      </c>
      <c r="C239">
        <v>9</v>
      </c>
      <c r="D239">
        <v>2</v>
      </c>
      <c r="E239">
        <v>150</v>
      </c>
    </row>
    <row r="240" spans="1:8">
      <c r="A240" s="29">
        <v>103</v>
      </c>
      <c r="B240" s="29" t="s">
        <v>240</v>
      </c>
      <c r="C240">
        <v>9</v>
      </c>
      <c r="D240">
        <v>3</v>
      </c>
      <c r="E240">
        <v>525</v>
      </c>
      <c r="G240" s="119"/>
      <c r="H240" s="119"/>
    </row>
    <row r="241" spans="1:8">
      <c r="A241" s="29">
        <v>104</v>
      </c>
      <c r="B241" s="29" t="s">
        <v>241</v>
      </c>
      <c r="C241">
        <v>9</v>
      </c>
      <c r="D241">
        <v>4</v>
      </c>
      <c r="E241">
        <v>2701</v>
      </c>
      <c r="G241" s="119"/>
      <c r="H241" s="119"/>
    </row>
    <row r="242" spans="1:8">
      <c r="A242" s="29">
        <v>105</v>
      </c>
      <c r="B242" s="29" t="s">
        <v>242</v>
      </c>
      <c r="C242">
        <v>9</v>
      </c>
      <c r="D242">
        <v>5</v>
      </c>
      <c r="E242">
        <v>19916</v>
      </c>
      <c r="G242" s="119"/>
      <c r="H242" s="119"/>
    </row>
    <row r="243" spans="1:8">
      <c r="A243" s="29">
        <v>106</v>
      </c>
      <c r="B243" s="29" t="s">
        <v>243</v>
      </c>
      <c r="C243">
        <v>9</v>
      </c>
      <c r="D243">
        <v>6</v>
      </c>
      <c r="E243">
        <v>206553</v>
      </c>
      <c r="G243" s="119"/>
      <c r="H243" s="119"/>
    </row>
    <row r="244" spans="1:8">
      <c r="A244" s="29">
        <v>107</v>
      </c>
      <c r="B244" s="29" t="s">
        <v>244</v>
      </c>
      <c r="C244">
        <v>9</v>
      </c>
      <c r="D244">
        <v>7</v>
      </c>
      <c r="E244">
        <v>559971</v>
      </c>
      <c r="G244" s="119"/>
      <c r="H244" s="119"/>
    </row>
    <row r="245" spans="1:4">
      <c r="A245" s="29">
        <v>201</v>
      </c>
      <c r="B245" s="29" t="s">
        <v>245</v>
      </c>
      <c r="C245">
        <v>9</v>
      </c>
      <c r="D245">
        <v>2</v>
      </c>
    </row>
    <row r="246" spans="1:4">
      <c r="A246" s="29">
        <v>202</v>
      </c>
      <c r="B246" s="29" t="s">
        <v>245</v>
      </c>
      <c r="C246">
        <v>9</v>
      </c>
      <c r="D246">
        <v>3</v>
      </c>
    </row>
    <row r="247" spans="1:4">
      <c r="A247" s="29">
        <v>203</v>
      </c>
      <c r="B247" s="29" t="s">
        <v>245</v>
      </c>
      <c r="C247">
        <v>9</v>
      </c>
      <c r="D247">
        <v>4</v>
      </c>
    </row>
    <row r="248" spans="1:4">
      <c r="A248" s="29">
        <v>204</v>
      </c>
      <c r="B248" s="29" t="s">
        <v>245</v>
      </c>
      <c r="C248">
        <v>9</v>
      </c>
      <c r="D248">
        <v>5</v>
      </c>
    </row>
    <row r="249" spans="1:4">
      <c r="A249" s="29">
        <v>205</v>
      </c>
      <c r="B249" s="29" t="s">
        <v>245</v>
      </c>
      <c r="C249">
        <v>9</v>
      </c>
      <c r="D249">
        <v>6</v>
      </c>
    </row>
    <row r="250" spans="1:4">
      <c r="A250" s="29">
        <v>206</v>
      </c>
      <c r="B250" s="29" t="s">
        <v>245</v>
      </c>
      <c r="C250">
        <v>9</v>
      </c>
      <c r="D250">
        <v>7</v>
      </c>
    </row>
    <row r="251" spans="1:4">
      <c r="A251" s="29">
        <v>301</v>
      </c>
      <c r="B251" s="29" t="s">
        <v>246</v>
      </c>
      <c r="C251">
        <v>9</v>
      </c>
      <c r="D251">
        <v>2</v>
      </c>
    </row>
    <row r="252" spans="1:4">
      <c r="A252" s="29">
        <v>302</v>
      </c>
      <c r="B252" s="29" t="s">
        <v>247</v>
      </c>
      <c r="C252">
        <v>9</v>
      </c>
      <c r="D252">
        <v>3</v>
      </c>
    </row>
    <row r="253" spans="1:5">
      <c r="A253" s="29">
        <v>401</v>
      </c>
      <c r="B253" s="29" t="s">
        <v>248</v>
      </c>
      <c r="C253">
        <v>9</v>
      </c>
      <c r="D253">
        <v>7</v>
      </c>
      <c r="E253">
        <v>44625</v>
      </c>
    </row>
    <row r="254" spans="1:5">
      <c r="A254" s="29">
        <v>501</v>
      </c>
      <c r="B254" s="29" t="s">
        <v>249</v>
      </c>
      <c r="C254">
        <v>9</v>
      </c>
      <c r="D254">
        <v>7</v>
      </c>
      <c r="E254">
        <v>5000</v>
      </c>
    </row>
    <row r="255" spans="1:5">
      <c r="A255" s="29">
        <v>999</v>
      </c>
      <c r="B255" s="29" t="s">
        <v>250</v>
      </c>
      <c r="C255">
        <v>9</v>
      </c>
      <c r="D255">
        <v>1</v>
      </c>
      <c r="E255" s="119"/>
    </row>
    <row r="256" spans="1:5">
      <c r="A256" s="29">
        <v>1001</v>
      </c>
      <c r="B256" s="29" t="s">
        <v>251</v>
      </c>
      <c r="C256">
        <v>9</v>
      </c>
      <c r="D256">
        <v>1</v>
      </c>
      <c r="E256" s="119"/>
    </row>
    <row r="257" spans="1:4">
      <c r="A257" s="29">
        <v>1004</v>
      </c>
      <c r="B257" s="29" t="s">
        <v>252</v>
      </c>
      <c r="C257">
        <v>9</v>
      </c>
      <c r="D257">
        <v>4</v>
      </c>
    </row>
    <row r="258" spans="1:4">
      <c r="A258" s="29">
        <v>1011</v>
      </c>
      <c r="B258" s="29" t="s">
        <v>253</v>
      </c>
      <c r="C258">
        <v>9</v>
      </c>
      <c r="D258">
        <v>2</v>
      </c>
    </row>
    <row r="259" spans="1:4">
      <c r="A259" s="29">
        <v>1012</v>
      </c>
      <c r="B259" s="29" t="s">
        <v>254</v>
      </c>
      <c r="C259">
        <v>9</v>
      </c>
      <c r="D259">
        <v>5</v>
      </c>
    </row>
    <row r="260" spans="1:5">
      <c r="A260" s="29">
        <v>2001</v>
      </c>
      <c r="B260" s="29" t="s">
        <v>255</v>
      </c>
      <c r="C260">
        <v>10</v>
      </c>
      <c r="D260">
        <v>4</v>
      </c>
      <c r="E260">
        <v>200</v>
      </c>
    </row>
    <row r="261" spans="1:5">
      <c r="A261" s="29">
        <v>2002</v>
      </c>
      <c r="B261" s="29" t="s">
        <v>256</v>
      </c>
      <c r="C261">
        <v>10</v>
      </c>
      <c r="D261">
        <v>5</v>
      </c>
      <c r="E261">
        <v>700</v>
      </c>
    </row>
    <row r="262" spans="1:5">
      <c r="A262" s="29">
        <v>2003</v>
      </c>
      <c r="B262" s="29" t="s">
        <v>257</v>
      </c>
      <c r="C262">
        <v>10</v>
      </c>
      <c r="D262">
        <v>6</v>
      </c>
      <c r="E262">
        <v>1200</v>
      </c>
    </row>
    <row r="263" spans="1:5">
      <c r="A263" s="29">
        <v>2004</v>
      </c>
      <c r="B263" s="29" t="s">
        <v>258</v>
      </c>
      <c r="C263">
        <v>10</v>
      </c>
      <c r="D263">
        <v>6</v>
      </c>
      <c r="E263">
        <v>1200</v>
      </c>
    </row>
    <row r="264" spans="1:5">
      <c r="A264" s="29">
        <v>2005</v>
      </c>
      <c r="B264" s="29" t="s">
        <v>259</v>
      </c>
      <c r="C264">
        <v>10</v>
      </c>
      <c r="D264">
        <v>7</v>
      </c>
      <c r="E264">
        <v>3500</v>
      </c>
    </row>
    <row r="265" spans="1:5">
      <c r="A265" s="29">
        <v>2006</v>
      </c>
      <c r="B265" s="29" t="s">
        <v>260</v>
      </c>
      <c r="C265">
        <v>10</v>
      </c>
      <c r="D265">
        <v>6</v>
      </c>
      <c r="E265">
        <v>19916</v>
      </c>
    </row>
    <row r="266" spans="1:5">
      <c r="A266" s="29">
        <v>2007</v>
      </c>
      <c r="B266" s="29" t="s">
        <v>261</v>
      </c>
      <c r="C266">
        <v>10</v>
      </c>
      <c r="D266">
        <v>7</v>
      </c>
      <c r="E266">
        <v>5000</v>
      </c>
    </row>
    <row r="267" spans="1:5">
      <c r="A267" s="29">
        <v>2100</v>
      </c>
      <c r="B267" s="29" t="s">
        <v>262</v>
      </c>
      <c r="C267">
        <v>11</v>
      </c>
      <c r="E267">
        <v>25</v>
      </c>
    </row>
    <row r="268" spans="1:5">
      <c r="A268" s="29">
        <v>3100</v>
      </c>
      <c r="B268" s="29" t="s">
        <v>263</v>
      </c>
      <c r="C268">
        <v>11</v>
      </c>
      <c r="E268">
        <v>75</v>
      </c>
    </row>
    <row r="269" spans="1:5">
      <c r="A269" s="29">
        <v>3101</v>
      </c>
      <c r="B269" s="29" t="s">
        <v>264</v>
      </c>
      <c r="C269">
        <v>11</v>
      </c>
      <c r="E269">
        <v>225</v>
      </c>
    </row>
    <row r="270" spans="1:5">
      <c r="A270" s="29">
        <v>3200</v>
      </c>
      <c r="B270" s="29" t="s">
        <v>265</v>
      </c>
      <c r="C270">
        <v>11</v>
      </c>
      <c r="E270">
        <v>75</v>
      </c>
    </row>
    <row r="271" spans="1:5">
      <c r="A271" s="29">
        <v>3201</v>
      </c>
      <c r="B271" s="29" t="s">
        <v>266</v>
      </c>
      <c r="C271">
        <v>11</v>
      </c>
      <c r="E271">
        <v>225</v>
      </c>
    </row>
    <row r="272" spans="1:5">
      <c r="A272" s="29">
        <v>4100</v>
      </c>
      <c r="B272" s="29" t="s">
        <v>267</v>
      </c>
      <c r="C272">
        <v>11</v>
      </c>
      <c r="E272">
        <v>375</v>
      </c>
    </row>
    <row r="273" spans="1:5">
      <c r="A273" s="29">
        <v>4101</v>
      </c>
      <c r="B273" s="29" t="s">
        <v>268</v>
      </c>
      <c r="C273">
        <v>11</v>
      </c>
      <c r="E273">
        <v>1125</v>
      </c>
    </row>
    <row r="274" spans="1:5">
      <c r="A274" s="29">
        <v>4102</v>
      </c>
      <c r="B274" s="29" t="s">
        <v>269</v>
      </c>
      <c r="C274">
        <v>11</v>
      </c>
      <c r="E274">
        <v>1875</v>
      </c>
    </row>
    <row r="275" spans="1:5">
      <c r="A275" s="29">
        <v>4200</v>
      </c>
      <c r="B275" s="29" t="s">
        <v>270</v>
      </c>
      <c r="C275">
        <v>11</v>
      </c>
      <c r="E275">
        <v>375</v>
      </c>
    </row>
    <row r="276" spans="1:5">
      <c r="A276" s="29">
        <v>4201</v>
      </c>
      <c r="B276" s="29" t="s">
        <v>271</v>
      </c>
      <c r="C276">
        <v>11</v>
      </c>
      <c r="E276">
        <v>1125</v>
      </c>
    </row>
    <row r="277" spans="1:5">
      <c r="A277" s="29">
        <v>4202</v>
      </c>
      <c r="B277" s="29" t="s">
        <v>272</v>
      </c>
      <c r="C277">
        <v>11</v>
      </c>
      <c r="E277">
        <v>1875</v>
      </c>
    </row>
    <row r="278" spans="1:5">
      <c r="A278" s="29">
        <v>5100</v>
      </c>
      <c r="B278" s="29" t="s">
        <v>273</v>
      </c>
      <c r="C278">
        <v>11</v>
      </c>
      <c r="E278">
        <v>2625</v>
      </c>
    </row>
    <row r="279" spans="1:5">
      <c r="A279" s="29">
        <v>5101</v>
      </c>
      <c r="B279" s="29" t="s">
        <v>274</v>
      </c>
      <c r="C279">
        <v>11</v>
      </c>
      <c r="E279">
        <v>7875</v>
      </c>
    </row>
    <row r="280" spans="1:5">
      <c r="A280" s="29">
        <v>5102</v>
      </c>
      <c r="B280" s="29" t="s">
        <v>275</v>
      </c>
      <c r="C280">
        <v>11</v>
      </c>
      <c r="E280">
        <v>13125</v>
      </c>
    </row>
    <row r="281" spans="1:5">
      <c r="A281" s="29">
        <v>5103</v>
      </c>
      <c r="B281" s="29" t="s">
        <v>276</v>
      </c>
      <c r="C281">
        <v>11</v>
      </c>
      <c r="E281">
        <v>21000</v>
      </c>
    </row>
    <row r="282" spans="1:5">
      <c r="A282" s="29">
        <v>5104</v>
      </c>
      <c r="B282" s="29" t="s">
        <v>277</v>
      </c>
      <c r="C282">
        <v>11</v>
      </c>
      <c r="E282">
        <v>31500</v>
      </c>
    </row>
    <row r="283" spans="1:5">
      <c r="A283" s="29">
        <v>5200</v>
      </c>
      <c r="B283" s="29" t="s">
        <v>278</v>
      </c>
      <c r="C283">
        <v>11</v>
      </c>
      <c r="E283">
        <v>2625</v>
      </c>
    </row>
    <row r="284" spans="1:5">
      <c r="A284" s="29">
        <v>5201</v>
      </c>
      <c r="B284" s="29" t="s">
        <v>279</v>
      </c>
      <c r="C284">
        <v>11</v>
      </c>
      <c r="E284">
        <v>7875</v>
      </c>
    </row>
    <row r="285" spans="1:5">
      <c r="A285" s="29">
        <v>5202</v>
      </c>
      <c r="B285" s="29" t="s">
        <v>280</v>
      </c>
      <c r="C285">
        <v>11</v>
      </c>
      <c r="E285">
        <v>13125</v>
      </c>
    </row>
    <row r="286" spans="1:5">
      <c r="A286" s="29">
        <v>5203</v>
      </c>
      <c r="B286" s="29" t="s">
        <v>281</v>
      </c>
      <c r="C286">
        <v>11</v>
      </c>
      <c r="E286">
        <v>21000</v>
      </c>
    </row>
    <row r="287" spans="1:5">
      <c r="A287" s="29">
        <v>5204</v>
      </c>
      <c r="B287" s="29" t="s">
        <v>282</v>
      </c>
      <c r="C287">
        <v>11</v>
      </c>
      <c r="E287">
        <v>31500</v>
      </c>
    </row>
    <row r="288" spans="1:5">
      <c r="A288" s="29">
        <v>7100</v>
      </c>
      <c r="B288" s="29" t="s">
        <v>283</v>
      </c>
      <c r="C288">
        <v>11</v>
      </c>
      <c r="E288" s="126">
        <v>44625</v>
      </c>
    </row>
    <row r="289" spans="1:5">
      <c r="A289" s="29">
        <v>7200</v>
      </c>
      <c r="B289" s="29" t="s">
        <v>284</v>
      </c>
      <c r="C289">
        <v>11</v>
      </c>
      <c r="E289" s="126">
        <v>44625</v>
      </c>
    </row>
    <row r="290" spans="1:5">
      <c r="A290" s="29">
        <v>7300</v>
      </c>
      <c r="B290" s="29" t="s">
        <v>285</v>
      </c>
      <c r="C290">
        <v>11</v>
      </c>
      <c r="E290" s="126">
        <v>44625</v>
      </c>
    </row>
    <row r="291" spans="1:5">
      <c r="A291" s="29">
        <v>7400</v>
      </c>
      <c r="B291" s="29" t="s">
        <v>286</v>
      </c>
      <c r="C291">
        <v>11</v>
      </c>
      <c r="E291" s="126">
        <v>44625</v>
      </c>
    </row>
    <row r="292" spans="1:5">
      <c r="A292" s="29">
        <v>7500</v>
      </c>
      <c r="B292" s="29" t="s">
        <v>287</v>
      </c>
      <c r="C292">
        <v>11</v>
      </c>
      <c r="E292" s="126">
        <v>44625</v>
      </c>
    </row>
    <row r="293" spans="1:5">
      <c r="A293" s="29">
        <v>7600</v>
      </c>
      <c r="B293" s="29" t="s">
        <v>288</v>
      </c>
      <c r="C293">
        <v>11</v>
      </c>
      <c r="E293" s="126">
        <v>44625</v>
      </c>
    </row>
    <row r="294" spans="1:6">
      <c r="A294" s="29">
        <v>41</v>
      </c>
      <c r="B294" s="29" t="s">
        <v>289</v>
      </c>
      <c r="C294">
        <v>14</v>
      </c>
      <c r="D294" s="119"/>
      <c r="E294" s="119">
        <v>4500</v>
      </c>
      <c r="F294" s="119"/>
    </row>
    <row r="295" spans="1:5">
      <c r="A295" s="29">
        <v>42</v>
      </c>
      <c r="B295" s="29" t="s">
        <v>290</v>
      </c>
      <c r="C295">
        <v>14</v>
      </c>
      <c r="D295"/>
      <c r="E295">
        <v>4500</v>
      </c>
    </row>
    <row r="296" spans="1:5">
      <c r="A296" s="29">
        <v>51</v>
      </c>
      <c r="B296" s="29" t="s">
        <v>291</v>
      </c>
      <c r="C296">
        <v>14</v>
      </c>
      <c r="E296">
        <v>9000</v>
      </c>
    </row>
    <row r="297" spans="1:5">
      <c r="A297" s="29">
        <v>71</v>
      </c>
      <c r="B297" s="29" t="s">
        <v>292</v>
      </c>
      <c r="C297">
        <v>14</v>
      </c>
      <c r="E297">
        <v>15000</v>
      </c>
    </row>
    <row r="298" spans="1:3">
      <c r="A298" s="29">
        <v>101</v>
      </c>
      <c r="B298" s="29" t="s">
        <v>293</v>
      </c>
      <c r="C298">
        <v>16</v>
      </c>
    </row>
    <row r="299" spans="1:5">
      <c r="A299" s="29">
        <v>101</v>
      </c>
      <c r="B299" s="29" t="s">
        <v>294</v>
      </c>
      <c r="C299">
        <v>16</v>
      </c>
      <c r="D299">
        <v>6</v>
      </c>
      <c r="E299">
        <v>6500</v>
      </c>
    </row>
    <row r="300" spans="1:3">
      <c r="A300" s="29">
        <v>102</v>
      </c>
      <c r="B300" s="29" t="s">
        <v>295</v>
      </c>
      <c r="C300">
        <v>16</v>
      </c>
    </row>
    <row r="301" spans="1:5">
      <c r="A301" s="29">
        <v>102</v>
      </c>
      <c r="B301" s="29" t="s">
        <v>296</v>
      </c>
      <c r="C301">
        <v>16</v>
      </c>
      <c r="D301">
        <v>6</v>
      </c>
      <c r="E301">
        <v>2500</v>
      </c>
    </row>
    <row r="302" spans="1:8">
      <c r="A302" s="29">
        <v>103</v>
      </c>
      <c r="B302" s="29" t="s">
        <v>297</v>
      </c>
      <c r="C302">
        <v>16</v>
      </c>
      <c r="G302" s="119"/>
      <c r="H302" s="119"/>
    </row>
    <row r="303" spans="1:8">
      <c r="A303" s="29">
        <v>105</v>
      </c>
      <c r="B303" s="29" t="s">
        <v>298</v>
      </c>
      <c r="C303">
        <v>16</v>
      </c>
      <c r="G303" s="119"/>
      <c r="H303" s="119"/>
    </row>
    <row r="304" spans="1:8">
      <c r="A304" s="29">
        <v>109</v>
      </c>
      <c r="B304" s="29" t="s">
        <v>299</v>
      </c>
      <c r="C304">
        <v>16</v>
      </c>
      <c r="G304" s="119"/>
      <c r="H304" s="119"/>
    </row>
    <row r="305" spans="1:3">
      <c r="A305" s="29">
        <v>110</v>
      </c>
      <c r="B305" s="29" t="s">
        <v>300</v>
      </c>
      <c r="C305">
        <v>16</v>
      </c>
    </row>
    <row r="306" spans="1:3">
      <c r="A306" s="29">
        <v>111</v>
      </c>
      <c r="B306" s="29" t="s">
        <v>301</v>
      </c>
      <c r="C306">
        <v>16</v>
      </c>
    </row>
    <row r="307" spans="1:3">
      <c r="A307" s="29">
        <v>201</v>
      </c>
      <c r="B307" s="29" t="s">
        <v>302</v>
      </c>
      <c r="C307">
        <v>16</v>
      </c>
    </row>
    <row r="308" spans="1:5">
      <c r="A308" s="29">
        <v>201</v>
      </c>
      <c r="B308" s="29" t="s">
        <v>303</v>
      </c>
      <c r="C308">
        <v>16</v>
      </c>
      <c r="D308">
        <v>6</v>
      </c>
      <c r="E308">
        <v>6500</v>
      </c>
    </row>
    <row r="309" spans="1:3">
      <c r="A309" s="29">
        <v>202</v>
      </c>
      <c r="B309" s="29" t="s">
        <v>304</v>
      </c>
      <c r="C309">
        <v>16</v>
      </c>
    </row>
    <row r="310" spans="1:7">
      <c r="A310" s="29">
        <v>202</v>
      </c>
      <c r="B310" s="29" t="s">
        <v>305</v>
      </c>
      <c r="C310">
        <v>16</v>
      </c>
      <c r="D310">
        <v>6</v>
      </c>
      <c r="E310">
        <v>2500</v>
      </c>
      <c r="G310">
        <f>1.1^20</f>
        <v>6.72749994932561</v>
      </c>
    </row>
    <row r="311" spans="1:3">
      <c r="A311" s="29">
        <v>203</v>
      </c>
      <c r="B311" s="29" t="s">
        <v>306</v>
      </c>
      <c r="C311">
        <v>16</v>
      </c>
    </row>
    <row r="312" spans="1:3">
      <c r="A312" s="29">
        <v>205</v>
      </c>
      <c r="B312" s="29" t="s">
        <v>307</v>
      </c>
      <c r="C312">
        <v>16</v>
      </c>
    </row>
    <row r="313" spans="1:3">
      <c r="A313" s="29">
        <v>209</v>
      </c>
      <c r="B313" s="29" t="s">
        <v>308</v>
      </c>
      <c r="C313">
        <v>16</v>
      </c>
    </row>
    <row r="314" spans="1:3">
      <c r="A314" s="29">
        <v>210</v>
      </c>
      <c r="B314" s="29" t="s">
        <v>309</v>
      </c>
      <c r="C314">
        <v>16</v>
      </c>
    </row>
    <row r="315" spans="1:3">
      <c r="A315" s="29">
        <v>211</v>
      </c>
      <c r="B315" s="29" t="s">
        <v>310</v>
      </c>
      <c r="C315">
        <v>16</v>
      </c>
    </row>
    <row r="316" spans="1:5">
      <c r="A316" s="29">
        <v>301</v>
      </c>
      <c r="B316" s="29" t="s">
        <v>311</v>
      </c>
      <c r="C316">
        <v>16</v>
      </c>
      <c r="D316">
        <v>7</v>
      </c>
      <c r="E316">
        <v>15000</v>
      </c>
    </row>
    <row r="317" spans="1:3">
      <c r="A317" s="29">
        <v>302</v>
      </c>
      <c r="B317" s="29" t="s">
        <v>312</v>
      </c>
      <c r="C317">
        <v>16</v>
      </c>
    </row>
    <row r="318" spans="1:5">
      <c r="A318" s="29">
        <v>302</v>
      </c>
      <c r="B318" s="29" t="s">
        <v>313</v>
      </c>
      <c r="C318">
        <v>16</v>
      </c>
      <c r="D318">
        <v>7</v>
      </c>
      <c r="E318">
        <v>6000</v>
      </c>
    </row>
    <row r="319" spans="1:3">
      <c r="A319" s="29">
        <v>303</v>
      </c>
      <c r="B319" s="29" t="s">
        <v>314</v>
      </c>
      <c r="C319">
        <v>16</v>
      </c>
    </row>
    <row r="320" spans="1:3">
      <c r="A320" s="29">
        <v>305</v>
      </c>
      <c r="B320" s="29" t="s">
        <v>315</v>
      </c>
      <c r="C320">
        <v>16</v>
      </c>
    </row>
    <row r="321" spans="1:3">
      <c r="A321" s="29">
        <v>309</v>
      </c>
      <c r="B321" s="29" t="s">
        <v>316</v>
      </c>
      <c r="C321">
        <v>16</v>
      </c>
    </row>
    <row r="322" spans="1:3">
      <c r="A322" s="29">
        <v>310</v>
      </c>
      <c r="B322" s="29" t="s">
        <v>317</v>
      </c>
      <c r="C322">
        <v>16</v>
      </c>
    </row>
    <row r="323" spans="1:3">
      <c r="A323" s="29">
        <v>311</v>
      </c>
      <c r="B323" s="29" t="s">
        <v>318</v>
      </c>
      <c r="C323">
        <v>16</v>
      </c>
    </row>
    <row r="324" spans="1:5">
      <c r="A324" s="29">
        <v>401</v>
      </c>
      <c r="B324" s="29" t="s">
        <v>319</v>
      </c>
      <c r="C324">
        <v>16</v>
      </c>
      <c r="D324">
        <v>8</v>
      </c>
      <c r="E324">
        <v>25000</v>
      </c>
    </row>
    <row r="325" spans="1:5">
      <c r="A325" s="29">
        <v>402</v>
      </c>
      <c r="B325" s="29" t="s">
        <v>320</v>
      </c>
      <c r="C325">
        <v>16</v>
      </c>
      <c r="D325">
        <v>8</v>
      </c>
      <c r="E325">
        <v>10000</v>
      </c>
    </row>
    <row r="326" spans="1:5">
      <c r="A326" s="29">
        <v>10008</v>
      </c>
      <c r="B326" s="29" t="s">
        <v>321</v>
      </c>
      <c r="C326"/>
      <c r="D326"/>
      <c r="E326" s="16"/>
    </row>
  </sheetData>
  <autoFilter ref="A1:H326">
    <sortState ref="A2:H326">
      <sortCondition ref="C1"/>
    </sortState>
    <extLst/>
  </autoFilter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2:N20"/>
  <sheetViews>
    <sheetView workbookViewId="0">
      <selection activeCell="K24" sqref="K24"/>
    </sheetView>
  </sheetViews>
  <sheetFormatPr defaultColWidth="8.88888888888889" defaultRowHeight="15.6"/>
  <cols>
    <col min="1" max="12" width="8.88888888888889" style="73"/>
    <col min="13" max="13" width="9.55555555555556" style="73"/>
    <col min="14" max="14" width="9.11111111111111" style="73"/>
    <col min="15" max="16384" width="8.88888888888889" style="73"/>
  </cols>
  <sheetData>
    <row r="2" spans="7:14">
      <c r="G2" s="6" t="s">
        <v>894</v>
      </c>
      <c r="H2" s="6" t="s">
        <v>354</v>
      </c>
      <c r="I2" s="6" t="s">
        <v>322</v>
      </c>
      <c r="J2" s="6" t="s">
        <v>323</v>
      </c>
      <c r="K2" s="6" t="s">
        <v>377</v>
      </c>
      <c r="L2" s="6" t="s">
        <v>341</v>
      </c>
      <c r="M2" s="6" t="s">
        <v>895</v>
      </c>
      <c r="N2" s="6" t="s">
        <v>342</v>
      </c>
    </row>
    <row r="3" spans="7:14">
      <c r="G3" s="74">
        <v>6</v>
      </c>
      <c r="H3" s="74">
        <v>1</v>
      </c>
      <c r="I3" s="6" t="s">
        <v>42</v>
      </c>
      <c r="J3" s="74">
        <v>5</v>
      </c>
      <c r="K3" s="6">
        <f>_xlfn.XLOOKUP(I3,道具表!$B:$B,道具表!$E:$E)</f>
        <v>40</v>
      </c>
      <c r="L3" s="74">
        <f>K3*J3</f>
        <v>200</v>
      </c>
      <c r="M3" s="11">
        <f t="shared" ref="M3:M9" si="0">L3/(G3*10)</f>
        <v>3.33333333333333</v>
      </c>
      <c r="N3" s="59">
        <f>10/M3</f>
        <v>3</v>
      </c>
    </row>
    <row r="4" spans="7:14">
      <c r="G4" s="74">
        <v>6</v>
      </c>
      <c r="H4" s="74">
        <v>2</v>
      </c>
      <c r="I4" s="6" t="s">
        <v>34</v>
      </c>
      <c r="J4" s="74">
        <v>2</v>
      </c>
      <c r="K4" s="6">
        <f>_xlfn.XLOOKUP(I4,道具表!$B:$B,道具表!$E:$E)</f>
        <v>100</v>
      </c>
      <c r="L4" s="74">
        <f t="shared" ref="L4:L9" si="1">K4*J4</f>
        <v>200</v>
      </c>
      <c r="M4" s="11">
        <f t="shared" si="0"/>
        <v>3.33333333333333</v>
      </c>
      <c r="N4" s="59">
        <f t="shared" ref="N4:N9" si="2">10/M4</f>
        <v>3</v>
      </c>
    </row>
    <row r="5" spans="7:14">
      <c r="G5" s="74">
        <v>6</v>
      </c>
      <c r="H5" s="74">
        <v>3</v>
      </c>
      <c r="I5" s="6" t="s">
        <v>9</v>
      </c>
      <c r="J5" s="74">
        <v>300</v>
      </c>
      <c r="K5" s="6">
        <f>_xlfn.XLOOKUP(I5,道具表!$B:$B,道具表!$E:$E)</f>
        <v>1</v>
      </c>
      <c r="L5" s="74">
        <f t="shared" si="1"/>
        <v>300</v>
      </c>
      <c r="M5" s="11">
        <f t="shared" si="0"/>
        <v>5</v>
      </c>
      <c r="N5" s="59">
        <f t="shared" si="2"/>
        <v>2</v>
      </c>
    </row>
    <row r="6" spans="7:14">
      <c r="G6" s="74">
        <v>6</v>
      </c>
      <c r="H6" s="74">
        <v>4</v>
      </c>
      <c r="I6" s="6" t="s">
        <v>67</v>
      </c>
      <c r="J6" s="74">
        <v>4</v>
      </c>
      <c r="K6" s="6">
        <f>_xlfn.XLOOKUP(I6,道具表!$B:$B,道具表!$E:$E)</f>
        <v>50</v>
      </c>
      <c r="L6" s="74">
        <f t="shared" si="1"/>
        <v>200</v>
      </c>
      <c r="M6" s="11">
        <f t="shared" si="0"/>
        <v>3.33333333333333</v>
      </c>
      <c r="N6" s="59">
        <f t="shared" si="2"/>
        <v>3</v>
      </c>
    </row>
    <row r="7" spans="7:14">
      <c r="G7" s="74">
        <v>6</v>
      </c>
      <c r="H7" s="74">
        <v>5</v>
      </c>
      <c r="I7" s="6" t="s">
        <v>48</v>
      </c>
      <c r="J7" s="74">
        <v>2</v>
      </c>
      <c r="K7" s="6">
        <f>_xlfn.XLOOKUP(I7,道具表!$B:$B,道具表!$E:$E)</f>
        <v>102</v>
      </c>
      <c r="L7" s="74">
        <f t="shared" si="1"/>
        <v>204</v>
      </c>
      <c r="M7" s="11">
        <f t="shared" si="0"/>
        <v>3.4</v>
      </c>
      <c r="N7" s="59">
        <f t="shared" si="2"/>
        <v>2.94117647058824</v>
      </c>
    </row>
    <row r="8" spans="7:14">
      <c r="G8" s="74">
        <v>6</v>
      </c>
      <c r="H8" s="74">
        <v>6</v>
      </c>
      <c r="I8" s="6" t="s">
        <v>41</v>
      </c>
      <c r="J8" s="74">
        <v>3</v>
      </c>
      <c r="K8" s="6">
        <f>_xlfn.XLOOKUP(I8,道具表!$B:$B,道具表!$E:$E)</f>
        <v>100</v>
      </c>
      <c r="L8" s="74">
        <f t="shared" si="1"/>
        <v>300</v>
      </c>
      <c r="M8" s="11">
        <f t="shared" si="0"/>
        <v>5</v>
      </c>
      <c r="N8" s="59">
        <f t="shared" si="2"/>
        <v>2</v>
      </c>
    </row>
    <row r="9" spans="7:14">
      <c r="G9" s="74">
        <v>6</v>
      </c>
      <c r="H9" s="74">
        <v>7</v>
      </c>
      <c r="I9" s="29" t="s">
        <v>289</v>
      </c>
      <c r="J9" s="74">
        <v>1</v>
      </c>
      <c r="K9" s="6">
        <f>_xlfn.XLOOKUP(I9,道具表!$B:$B,道具表!$E:$E)</f>
        <v>4500</v>
      </c>
      <c r="L9" s="74">
        <f t="shared" si="1"/>
        <v>4500</v>
      </c>
      <c r="M9" s="11">
        <f t="shared" si="0"/>
        <v>75</v>
      </c>
      <c r="N9" s="59">
        <f t="shared" si="2"/>
        <v>0.133333333333333</v>
      </c>
    </row>
    <row r="13" spans="8:12">
      <c r="H13" s="6" t="str">
        <f>H2</f>
        <v>天数</v>
      </c>
      <c r="I13" s="6" t="s">
        <v>322</v>
      </c>
      <c r="J13" s="6" t="str">
        <f>IF(J2="","",J2&amp;",")</f>
        <v>数量,</v>
      </c>
      <c r="K13" s="6" t="s">
        <v>327</v>
      </c>
      <c r="L13" s="75" t="s">
        <v>328</v>
      </c>
    </row>
    <row r="14" spans="8:12">
      <c r="H14" s="74">
        <f t="shared" ref="H14:H20" si="3">H3</f>
        <v>1</v>
      </c>
      <c r="I14" s="6" t="str">
        <f>IF(I3="","",(_xlfn.XLOOKUP(I3,道具表!$B:$B,道具表!$C:$C)&amp;"|"&amp;_xlfn.XLOOKUP(I3,道具表!$B:$B,道具表!$A:$A)&amp;"|"))</f>
        <v>1|10002|</v>
      </c>
      <c r="J14" s="6" t="str">
        <f t="shared" ref="J14:J20" si="4">IF(J3="","",J3&amp;",")</f>
        <v>5,</v>
      </c>
      <c r="K14" s="6" t="str">
        <f>I14&amp;J14</f>
        <v>1|10002|5,</v>
      </c>
      <c r="L14" s="54" t="str">
        <f>LEFT(K14&amp;K15&amp;K16&amp;K17&amp;K18&amp;K19&amp;K20,LEN(K14&amp;K15&amp;K16&amp;K17&amp;K18&amp;K19&amp;K20)-1)</f>
        <v>1|10002|5,1|1011|2,1|5|300,1|10030|4,1|10009|2,1|10001|3,14|41|1</v>
      </c>
    </row>
    <row r="15" spans="8:12">
      <c r="H15" s="74">
        <f t="shared" si="3"/>
        <v>2</v>
      </c>
      <c r="I15" s="6" t="str">
        <f>IF(I4="","",(_xlfn.XLOOKUP(I4,道具表!$B:$B,道具表!$C:$C)&amp;"|"&amp;_xlfn.XLOOKUP(I4,道具表!$B:$B,道具表!$A:$A)&amp;"|"))</f>
        <v>1|1011|</v>
      </c>
      <c r="J15" s="6" t="str">
        <f t="shared" si="4"/>
        <v>2,</v>
      </c>
      <c r="K15" s="6" t="str">
        <f t="shared" ref="K15:K20" si="5">I15&amp;J15</f>
        <v>1|1011|2,</v>
      </c>
      <c r="L15" s="76"/>
    </row>
    <row r="16" spans="8:12">
      <c r="H16" s="74">
        <f t="shared" si="3"/>
        <v>3</v>
      </c>
      <c r="I16" s="6" t="str">
        <f>IF(I5="","",(_xlfn.XLOOKUP(I5,道具表!$B:$B,道具表!$C:$C)&amp;"|"&amp;_xlfn.XLOOKUP(I5,道具表!$B:$B,道具表!$A:$A)&amp;"|"))</f>
        <v>1|5|</v>
      </c>
      <c r="J16" s="6" t="str">
        <f t="shared" si="4"/>
        <v>300,</v>
      </c>
      <c r="K16" s="6" t="str">
        <f t="shared" si="5"/>
        <v>1|5|300,</v>
      </c>
      <c r="L16" s="76"/>
    </row>
    <row r="17" spans="8:12">
      <c r="H17" s="74">
        <f t="shared" si="3"/>
        <v>4</v>
      </c>
      <c r="I17" s="6" t="str">
        <f>IF(I6="","",(_xlfn.XLOOKUP(I6,道具表!$B:$B,道具表!$C:$C)&amp;"|"&amp;_xlfn.XLOOKUP(I6,道具表!$B:$B,道具表!$A:$A)&amp;"|"))</f>
        <v>1|10030|</v>
      </c>
      <c r="J17" s="6" t="str">
        <f t="shared" si="4"/>
        <v>4,</v>
      </c>
      <c r="K17" s="6" t="str">
        <f t="shared" si="5"/>
        <v>1|10030|4,</v>
      </c>
      <c r="L17" s="76"/>
    </row>
    <row r="18" spans="8:12">
      <c r="H18" s="74">
        <f t="shared" si="3"/>
        <v>5</v>
      </c>
      <c r="I18" s="6" t="str">
        <f>IF(I7="","",(_xlfn.XLOOKUP(I7,道具表!$B:$B,道具表!$C:$C)&amp;"|"&amp;_xlfn.XLOOKUP(I7,道具表!$B:$B,道具表!$A:$A)&amp;"|"))</f>
        <v>1|10009|</v>
      </c>
      <c r="J18" s="6" t="str">
        <f t="shared" si="4"/>
        <v>2,</v>
      </c>
      <c r="K18" s="6" t="str">
        <f t="shared" si="5"/>
        <v>1|10009|2,</v>
      </c>
      <c r="L18" s="76"/>
    </row>
    <row r="19" spans="8:12">
      <c r="H19" s="74">
        <f t="shared" si="3"/>
        <v>6</v>
      </c>
      <c r="I19" s="6" t="str">
        <f>IF(I8="","",(_xlfn.XLOOKUP(I8,道具表!$B:$B,道具表!$C:$C)&amp;"|"&amp;_xlfn.XLOOKUP(I8,道具表!$B:$B,道具表!$A:$A)&amp;"|"))</f>
        <v>1|10001|</v>
      </c>
      <c r="J19" s="6" t="str">
        <f t="shared" si="4"/>
        <v>3,</v>
      </c>
      <c r="K19" s="6" t="str">
        <f t="shared" si="5"/>
        <v>1|10001|3,</v>
      </c>
      <c r="L19" s="76"/>
    </row>
    <row r="20" spans="8:12">
      <c r="H20" s="74">
        <f t="shared" si="3"/>
        <v>7</v>
      </c>
      <c r="I20" s="6" t="str">
        <f>IF(I9="","",(_xlfn.XLOOKUP(I9,道具表!$B:$B,道具表!$C:$C)&amp;"|"&amp;_xlfn.XLOOKUP(I9,道具表!$B:$B,道具表!$A:$A)&amp;"|"))</f>
        <v>14|41|</v>
      </c>
      <c r="J20" s="6" t="str">
        <f t="shared" si="4"/>
        <v>1,</v>
      </c>
      <c r="K20" s="6" t="str">
        <f t="shared" si="5"/>
        <v>14|41|1,</v>
      </c>
      <c r="L20" s="76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E21"/>
  <sheetViews>
    <sheetView topLeftCell="H1" workbookViewId="0">
      <selection activeCell="S11" sqref="S11"/>
    </sheetView>
  </sheetViews>
  <sheetFormatPr defaultColWidth="8.88888888888889" defaultRowHeight="14.4"/>
  <cols>
    <col min="9" max="12" width="12.8888888888889"/>
    <col min="23" max="23" width="9"/>
    <col min="31" max="31" width="9.11111111111111"/>
  </cols>
  <sheetData>
    <row r="3" spans="2:7">
      <c r="B3" s="4" t="s">
        <v>896</v>
      </c>
      <c r="C3" s="4" t="s">
        <v>897</v>
      </c>
      <c r="D3" s="5" t="s">
        <v>898</v>
      </c>
      <c r="E3" s="5" t="s">
        <v>899</v>
      </c>
      <c r="F3" s="5" t="s">
        <v>900</v>
      </c>
      <c r="G3" s="5" t="s">
        <v>378</v>
      </c>
    </row>
    <row r="4" ht="15.6" spans="2:31">
      <c r="B4" s="4" t="s">
        <v>901</v>
      </c>
      <c r="C4" s="4" t="s">
        <v>901</v>
      </c>
      <c r="D4" s="5" t="s">
        <v>901</v>
      </c>
      <c r="E4" s="5" t="s">
        <v>901</v>
      </c>
      <c r="F4" s="5" t="s">
        <v>901</v>
      </c>
      <c r="G4" s="5" t="s">
        <v>902</v>
      </c>
      <c r="K4" s="6" t="s">
        <v>378</v>
      </c>
      <c r="L4" s="6" t="s">
        <v>338</v>
      </c>
      <c r="M4" s="6" t="s">
        <v>815</v>
      </c>
      <c r="N4" s="6" t="s">
        <v>323</v>
      </c>
      <c r="O4" s="6" t="s">
        <v>816</v>
      </c>
      <c r="P4" s="6" t="s">
        <v>323</v>
      </c>
      <c r="Q4" s="6" t="s">
        <v>817</v>
      </c>
      <c r="R4" s="6" t="s">
        <v>323</v>
      </c>
      <c r="S4" s="6" t="s">
        <v>903</v>
      </c>
      <c r="T4" s="6" t="s">
        <v>323</v>
      </c>
      <c r="U4" s="6" t="s">
        <v>374</v>
      </c>
      <c r="V4" s="6" t="s">
        <v>870</v>
      </c>
      <c r="W4" s="6" t="s">
        <v>871</v>
      </c>
      <c r="X4" s="6" t="s">
        <v>904</v>
      </c>
      <c r="Y4" s="6" t="s">
        <v>905</v>
      </c>
      <c r="Z4" s="6" t="s">
        <v>906</v>
      </c>
      <c r="AA4" s="6" t="s">
        <v>907</v>
      </c>
      <c r="AB4" s="6" t="s">
        <v>908</v>
      </c>
      <c r="AC4" s="6" t="s">
        <v>341</v>
      </c>
      <c r="AD4" s="6" t="s">
        <v>895</v>
      </c>
      <c r="AE4" s="6" t="s">
        <v>342</v>
      </c>
    </row>
    <row r="5" ht="15.6" spans="2:31">
      <c r="B5" s="4" t="s">
        <v>909</v>
      </c>
      <c r="C5" s="4" t="s">
        <v>910</v>
      </c>
      <c r="D5" s="5" t="s">
        <v>911</v>
      </c>
      <c r="E5" s="5" t="s">
        <v>912</v>
      </c>
      <c r="F5" s="5" t="s">
        <v>913</v>
      </c>
      <c r="G5" s="5" t="s">
        <v>914</v>
      </c>
      <c r="K5" s="6">
        <v>80</v>
      </c>
      <c r="L5" s="6">
        <v>50</v>
      </c>
      <c r="M5" s="6" t="s">
        <v>6</v>
      </c>
      <c r="N5" s="6">
        <v>300</v>
      </c>
      <c r="O5" s="6" t="s">
        <v>42</v>
      </c>
      <c r="P5" s="6">
        <v>10</v>
      </c>
      <c r="Q5" s="6" t="s">
        <v>9</v>
      </c>
      <c r="R5" s="6">
        <v>300</v>
      </c>
      <c r="S5" s="6"/>
      <c r="T5" s="6"/>
      <c r="U5" s="6">
        <f>_xlfn.XLOOKUP(M5,道具表!$B:$B,道具表!$E:$E)</f>
        <v>1</v>
      </c>
      <c r="V5" s="6">
        <f>_xlfn.XLOOKUP(O5,道具表!$B:$B,道具表!$E:$E)</f>
        <v>40</v>
      </c>
      <c r="W5" s="6">
        <f>_xlfn.XLOOKUP(Q5,道具表!$B:$B,道具表!$E:$E)</f>
        <v>1</v>
      </c>
      <c r="X5" s="6">
        <f>_xlfn.XLOOKUP(S5,道具表!$B:$B,道具表!$E:$E)</f>
        <v>0</v>
      </c>
      <c r="Y5" s="6">
        <f>U5*N5</f>
        <v>300</v>
      </c>
      <c r="Z5" s="6">
        <f>V5*P5</f>
        <v>400</v>
      </c>
      <c r="AA5" s="6">
        <f>W5*R5</f>
        <v>300</v>
      </c>
      <c r="AB5" s="6">
        <f>X5*T5</f>
        <v>0</v>
      </c>
      <c r="AC5" s="6">
        <f>Y5+Z5+AA5+AB5</f>
        <v>1000</v>
      </c>
      <c r="AD5" s="11">
        <f>AC5/(L5*10)</f>
        <v>2</v>
      </c>
      <c r="AE5" s="59">
        <f>10/AD5</f>
        <v>5</v>
      </c>
    </row>
    <row r="6" ht="15.6" spans="2:31">
      <c r="B6" s="5">
        <v>6</v>
      </c>
      <c r="C6" s="5">
        <v>99</v>
      </c>
      <c r="D6" s="5">
        <v>33</v>
      </c>
      <c r="E6" s="5">
        <v>1200</v>
      </c>
      <c r="F6" s="5">
        <v>120</v>
      </c>
      <c r="G6" s="5" t="s">
        <v>915</v>
      </c>
      <c r="H6">
        <v>10</v>
      </c>
      <c r="I6">
        <f>H6/B6</f>
        <v>1.66666666666667</v>
      </c>
      <c r="K6" s="6">
        <v>160</v>
      </c>
      <c r="L6" s="6">
        <v>100</v>
      </c>
      <c r="M6" s="29" t="s">
        <v>43</v>
      </c>
      <c r="N6" s="6">
        <v>2</v>
      </c>
      <c r="O6" s="6" t="s">
        <v>9</v>
      </c>
      <c r="P6" s="6">
        <v>500</v>
      </c>
      <c r="Q6" s="6" t="s">
        <v>47</v>
      </c>
      <c r="R6" s="6">
        <v>30</v>
      </c>
      <c r="S6" s="6"/>
      <c r="T6" s="6"/>
      <c r="U6" s="6">
        <f>_xlfn.XLOOKUP(M6,道具表!$B:$B,道具表!$E:$E)</f>
        <v>500</v>
      </c>
      <c r="V6" s="6">
        <f>_xlfn.XLOOKUP(O6,道具表!$B:$B,道具表!$E:$E)</f>
        <v>1</v>
      </c>
      <c r="W6" s="6">
        <f>_xlfn.XLOOKUP(Q6,道具表!$B:$B,道具表!$E:$E)</f>
        <v>15</v>
      </c>
      <c r="X6" s="6">
        <f>_xlfn.XLOOKUP(S6,道具表!$B:$B,道具表!$E:$E)</f>
        <v>0</v>
      </c>
      <c r="Y6" s="6">
        <f t="shared" ref="Y6:Y11" si="0">U6*N6</f>
        <v>1000</v>
      </c>
      <c r="Z6" s="6">
        <f t="shared" ref="Z6:Z11" si="1">V6*P6</f>
        <v>500</v>
      </c>
      <c r="AA6" s="6">
        <f t="shared" ref="AA6:AA11" si="2">W6*R6</f>
        <v>450</v>
      </c>
      <c r="AB6" s="6">
        <f t="shared" ref="AB6:AB11" si="3">X6*T6</f>
        <v>0</v>
      </c>
      <c r="AC6" s="6">
        <f t="shared" ref="AC6:AC11" si="4">Y6+Z6+AA6+AB6</f>
        <v>1950</v>
      </c>
      <c r="AD6" s="11">
        <f t="shared" ref="AD6:AD11" si="5">AC6/(L6*10)</f>
        <v>1.95</v>
      </c>
      <c r="AE6" s="59">
        <f t="shared" ref="AE6:AE11" si="6">10/AD6</f>
        <v>5.12820512820513</v>
      </c>
    </row>
    <row r="7" ht="15.6" spans="2:31">
      <c r="B7" s="5">
        <v>12</v>
      </c>
      <c r="C7" s="5">
        <v>199</v>
      </c>
      <c r="D7" s="5">
        <v>70</v>
      </c>
      <c r="E7" s="5">
        <v>2500</v>
      </c>
      <c r="F7" s="5">
        <v>250</v>
      </c>
      <c r="G7" s="5" t="s">
        <v>916</v>
      </c>
      <c r="H7">
        <v>20</v>
      </c>
      <c r="I7">
        <f t="shared" ref="I7:I18" si="7">H7/B7</f>
        <v>1.66666666666667</v>
      </c>
      <c r="K7" s="6">
        <v>350</v>
      </c>
      <c r="L7" s="6">
        <v>200</v>
      </c>
      <c r="M7" s="6" t="s">
        <v>6</v>
      </c>
      <c r="N7" s="6">
        <v>1000</v>
      </c>
      <c r="O7" s="6" t="s">
        <v>67</v>
      </c>
      <c r="P7" s="6">
        <v>40</v>
      </c>
      <c r="Q7" s="6" t="s">
        <v>68</v>
      </c>
      <c r="R7" s="6">
        <v>100</v>
      </c>
      <c r="S7" s="6"/>
      <c r="T7" s="6"/>
      <c r="U7" s="6">
        <f>_xlfn.XLOOKUP(M7,道具表!$B:$B,道具表!$E:$E)</f>
        <v>1</v>
      </c>
      <c r="V7" s="6">
        <f>_xlfn.XLOOKUP(O7,道具表!$B:$B,道具表!$E:$E)</f>
        <v>50</v>
      </c>
      <c r="W7" s="6">
        <f>_xlfn.XLOOKUP(Q7,道具表!$B:$B,道具表!$E:$E)</f>
        <v>10</v>
      </c>
      <c r="X7" s="6">
        <f>_xlfn.XLOOKUP(S7,道具表!$B:$B,道具表!$E:$E)</f>
        <v>0</v>
      </c>
      <c r="Y7" s="6">
        <f t="shared" si="0"/>
        <v>1000</v>
      </c>
      <c r="Z7" s="6">
        <f t="shared" si="1"/>
        <v>2000</v>
      </c>
      <c r="AA7" s="6">
        <f t="shared" si="2"/>
        <v>1000</v>
      </c>
      <c r="AB7" s="6">
        <f t="shared" si="3"/>
        <v>0</v>
      </c>
      <c r="AC7" s="6">
        <f t="shared" si="4"/>
        <v>4000</v>
      </c>
      <c r="AD7" s="11">
        <f t="shared" si="5"/>
        <v>2</v>
      </c>
      <c r="AE7" s="59">
        <f t="shared" si="6"/>
        <v>5</v>
      </c>
    </row>
    <row r="8" ht="15.6" spans="2:31">
      <c r="B8" s="5">
        <v>18</v>
      </c>
      <c r="C8" s="5">
        <v>299</v>
      </c>
      <c r="D8" s="5">
        <v>100</v>
      </c>
      <c r="E8" s="5">
        <v>3900</v>
      </c>
      <c r="F8" s="5">
        <v>370</v>
      </c>
      <c r="G8" s="5" t="s">
        <v>917</v>
      </c>
      <c r="H8">
        <v>30</v>
      </c>
      <c r="I8">
        <f t="shared" si="7"/>
        <v>1.66666666666667</v>
      </c>
      <c r="K8" s="6">
        <v>850</v>
      </c>
      <c r="L8" s="6">
        <v>500</v>
      </c>
      <c r="M8" s="6" t="s">
        <v>41</v>
      </c>
      <c r="N8" s="6">
        <v>30</v>
      </c>
      <c r="O8" s="6" t="s">
        <v>42</v>
      </c>
      <c r="P8" s="6">
        <v>110</v>
      </c>
      <c r="Q8" s="6" t="s">
        <v>43</v>
      </c>
      <c r="R8" s="6">
        <v>5</v>
      </c>
      <c r="S8" s="6"/>
      <c r="T8" s="6"/>
      <c r="U8" s="6">
        <f>_xlfn.XLOOKUP(M8,道具表!$B:$B,道具表!$E:$E)</f>
        <v>100</v>
      </c>
      <c r="V8" s="6">
        <f>_xlfn.XLOOKUP(O8,道具表!$B:$B,道具表!$E:$E)</f>
        <v>40</v>
      </c>
      <c r="W8" s="6">
        <f>_xlfn.XLOOKUP(Q8,道具表!$B:$B,道具表!$E:$E)</f>
        <v>500</v>
      </c>
      <c r="X8" s="6">
        <f>_xlfn.XLOOKUP(S8,道具表!$B:$B,道具表!$E:$E)</f>
        <v>0</v>
      </c>
      <c r="Y8" s="6">
        <f t="shared" si="0"/>
        <v>3000</v>
      </c>
      <c r="Z8" s="6">
        <f t="shared" si="1"/>
        <v>4400</v>
      </c>
      <c r="AA8" s="6">
        <f t="shared" si="2"/>
        <v>2500</v>
      </c>
      <c r="AB8" s="6">
        <f t="shared" si="3"/>
        <v>0</v>
      </c>
      <c r="AC8" s="6">
        <f t="shared" si="4"/>
        <v>9900</v>
      </c>
      <c r="AD8" s="11">
        <f t="shared" si="5"/>
        <v>1.98</v>
      </c>
      <c r="AE8" s="59">
        <f t="shared" si="6"/>
        <v>5.05050505050505</v>
      </c>
    </row>
    <row r="9" ht="15.6" spans="2:31">
      <c r="B9" s="5">
        <v>30</v>
      </c>
      <c r="C9" s="5">
        <v>499</v>
      </c>
      <c r="D9" s="5">
        <v>170</v>
      </c>
      <c r="E9" s="5">
        <v>5900</v>
      </c>
      <c r="F9" s="5">
        <v>610</v>
      </c>
      <c r="G9" s="5" t="s">
        <v>918</v>
      </c>
      <c r="H9">
        <v>50</v>
      </c>
      <c r="I9">
        <f t="shared" si="7"/>
        <v>1.66666666666667</v>
      </c>
      <c r="K9" s="6">
        <v>1500</v>
      </c>
      <c r="L9" s="6">
        <v>1000</v>
      </c>
      <c r="M9" s="6" t="s">
        <v>6</v>
      </c>
      <c r="N9" s="6">
        <v>2000</v>
      </c>
      <c r="O9" s="6" t="s">
        <v>23</v>
      </c>
      <c r="P9" s="6">
        <v>150</v>
      </c>
      <c r="Q9" s="6" t="s">
        <v>22</v>
      </c>
      <c r="R9" s="6">
        <v>300</v>
      </c>
      <c r="S9" s="6"/>
      <c r="T9" s="6"/>
      <c r="U9" s="6">
        <f>_xlfn.XLOOKUP(M9,道具表!$B:$B,道具表!$E:$E)</f>
        <v>1</v>
      </c>
      <c r="V9" s="6">
        <f>_xlfn.XLOOKUP(O9,道具表!$B:$B,道具表!$E:$E)</f>
        <v>50</v>
      </c>
      <c r="W9" s="6">
        <f>_xlfn.XLOOKUP(Q9,道具表!$B:$B,道具表!$E:$E)</f>
        <v>20</v>
      </c>
      <c r="X9" s="6">
        <f>_xlfn.XLOOKUP(S9,道具表!$B:$B,道具表!$E:$E)</f>
        <v>0</v>
      </c>
      <c r="Y9" s="6">
        <f t="shared" si="0"/>
        <v>2000</v>
      </c>
      <c r="Z9" s="6">
        <f t="shared" si="1"/>
        <v>7500</v>
      </c>
      <c r="AA9" s="6">
        <f t="shared" si="2"/>
        <v>6000</v>
      </c>
      <c r="AB9" s="6">
        <f t="shared" si="3"/>
        <v>0</v>
      </c>
      <c r="AC9" s="6">
        <f t="shared" si="4"/>
        <v>15500</v>
      </c>
      <c r="AD9" s="11">
        <f t="shared" si="5"/>
        <v>1.55</v>
      </c>
      <c r="AE9" s="59">
        <f t="shared" si="6"/>
        <v>6.45161290322581</v>
      </c>
    </row>
    <row r="10" ht="15.6" spans="2:31">
      <c r="B10" s="5">
        <v>68</v>
      </c>
      <c r="C10" s="5">
        <v>999</v>
      </c>
      <c r="D10" s="5">
        <v>330</v>
      </c>
      <c r="E10" s="5">
        <v>12000</v>
      </c>
      <c r="F10" s="5">
        <v>1220</v>
      </c>
      <c r="G10" s="5" t="s">
        <v>919</v>
      </c>
      <c r="H10">
        <v>100</v>
      </c>
      <c r="I10">
        <f t="shared" si="7"/>
        <v>1.47058823529412</v>
      </c>
      <c r="K10" s="6">
        <v>4000</v>
      </c>
      <c r="L10" s="6">
        <v>2500</v>
      </c>
      <c r="M10" s="29" t="s">
        <v>320</v>
      </c>
      <c r="N10" s="6">
        <v>1</v>
      </c>
      <c r="O10" s="6" t="s">
        <v>261</v>
      </c>
      <c r="P10" s="6">
        <v>2</v>
      </c>
      <c r="Q10" s="6" t="s">
        <v>67</v>
      </c>
      <c r="R10" s="6">
        <v>200</v>
      </c>
      <c r="S10" s="6" t="s">
        <v>68</v>
      </c>
      <c r="T10" s="6">
        <v>300</v>
      </c>
      <c r="U10" s="6">
        <f>_xlfn.XLOOKUP(M10,道具表!$B:$B,道具表!$E:$E)</f>
        <v>10000</v>
      </c>
      <c r="V10" s="6">
        <f>_xlfn.XLOOKUP(O10,道具表!$B:$B,道具表!$E:$E)</f>
        <v>5000</v>
      </c>
      <c r="W10" s="6">
        <f>_xlfn.XLOOKUP(Q10,道具表!$B:$B,道具表!$E:$E)</f>
        <v>50</v>
      </c>
      <c r="X10" s="6">
        <f>_xlfn.XLOOKUP(S10,道具表!$B:$B,道具表!$E:$E)</f>
        <v>10</v>
      </c>
      <c r="Y10" s="6">
        <f t="shared" si="0"/>
        <v>10000</v>
      </c>
      <c r="Z10" s="6">
        <f t="shared" si="1"/>
        <v>10000</v>
      </c>
      <c r="AA10" s="6">
        <f t="shared" si="2"/>
        <v>10000</v>
      </c>
      <c r="AB10" s="6">
        <f t="shared" si="3"/>
        <v>3000</v>
      </c>
      <c r="AC10" s="6">
        <f t="shared" si="4"/>
        <v>33000</v>
      </c>
      <c r="AD10" s="11">
        <f t="shared" si="5"/>
        <v>1.32</v>
      </c>
      <c r="AE10" s="59">
        <f t="shared" si="6"/>
        <v>7.57575757575758</v>
      </c>
    </row>
    <row r="11" ht="15.6" spans="2:31">
      <c r="B11" s="5">
        <v>98</v>
      </c>
      <c r="C11" s="5">
        <v>1499</v>
      </c>
      <c r="D11" s="5">
        <v>490</v>
      </c>
      <c r="E11" s="5">
        <v>19000</v>
      </c>
      <c r="F11" s="5">
        <v>1840</v>
      </c>
      <c r="G11" s="5" t="s">
        <v>920</v>
      </c>
      <c r="H11">
        <v>150</v>
      </c>
      <c r="I11">
        <f t="shared" si="7"/>
        <v>1.53061224489796</v>
      </c>
      <c r="K11" s="6">
        <v>8000</v>
      </c>
      <c r="L11" s="6">
        <v>5000</v>
      </c>
      <c r="M11" s="6" t="s">
        <v>6</v>
      </c>
      <c r="N11" s="6">
        <v>8000</v>
      </c>
      <c r="O11" s="6" t="s">
        <v>319</v>
      </c>
      <c r="P11" s="6">
        <v>1</v>
      </c>
      <c r="Q11" s="29" t="s">
        <v>292</v>
      </c>
      <c r="R11" s="6">
        <v>1</v>
      </c>
      <c r="S11" s="29" t="s">
        <v>54</v>
      </c>
      <c r="T11" s="6">
        <v>250</v>
      </c>
      <c r="U11" s="6">
        <f>_xlfn.XLOOKUP(M11,道具表!$B:$B,道具表!$E:$E)</f>
        <v>1</v>
      </c>
      <c r="V11" s="6">
        <f>_xlfn.XLOOKUP(O11,道具表!$B:$B,道具表!$E:$E)</f>
        <v>25000</v>
      </c>
      <c r="W11" s="6">
        <f>_xlfn.XLOOKUP(Q11,道具表!$B:$B,道具表!$E:$E)</f>
        <v>15000</v>
      </c>
      <c r="X11" s="6">
        <f>_xlfn.XLOOKUP(S11,道具表!$B:$B,道具表!$E:$E)</f>
        <v>50</v>
      </c>
      <c r="Y11" s="6">
        <f t="shared" si="0"/>
        <v>8000</v>
      </c>
      <c r="Z11" s="6">
        <f t="shared" si="1"/>
        <v>25000</v>
      </c>
      <c r="AA11" s="6">
        <f t="shared" si="2"/>
        <v>15000</v>
      </c>
      <c r="AB11" s="6">
        <f t="shared" si="3"/>
        <v>12500</v>
      </c>
      <c r="AC11" s="6">
        <f t="shared" si="4"/>
        <v>60500</v>
      </c>
      <c r="AD11" s="11">
        <f t="shared" si="5"/>
        <v>1.21</v>
      </c>
      <c r="AE11" s="59">
        <f t="shared" si="6"/>
        <v>8.26446280991736</v>
      </c>
    </row>
    <row r="12" spans="2:9">
      <c r="B12" s="5">
        <v>128</v>
      </c>
      <c r="C12" s="5">
        <v>1999</v>
      </c>
      <c r="D12" s="5">
        <v>670</v>
      </c>
      <c r="E12" s="5">
        <v>25000</v>
      </c>
      <c r="F12" s="5">
        <v>2440</v>
      </c>
      <c r="G12" s="5" t="s">
        <v>921</v>
      </c>
      <c r="H12">
        <v>200</v>
      </c>
      <c r="I12">
        <f t="shared" si="7"/>
        <v>1.5625</v>
      </c>
    </row>
    <row r="13" spans="2:9">
      <c r="B13" s="5">
        <v>198</v>
      </c>
      <c r="C13" s="5">
        <v>2999</v>
      </c>
      <c r="D13" s="5">
        <v>990</v>
      </c>
      <c r="E13" s="5">
        <v>37000</v>
      </c>
      <c r="F13" s="5">
        <v>3680</v>
      </c>
      <c r="G13" s="5" t="s">
        <v>922</v>
      </c>
      <c r="H13">
        <v>305</v>
      </c>
      <c r="I13">
        <f t="shared" si="7"/>
        <v>1.54040404040404</v>
      </c>
    </row>
    <row r="14" ht="15.6" spans="2:21">
      <c r="B14" s="5">
        <v>298</v>
      </c>
      <c r="C14" s="5">
        <v>4699</v>
      </c>
      <c r="D14" s="5">
        <v>1560</v>
      </c>
      <c r="E14" s="5">
        <v>58000</v>
      </c>
      <c r="F14" s="5">
        <v>5740</v>
      </c>
      <c r="G14" s="5" t="s">
        <v>923</v>
      </c>
      <c r="H14">
        <v>480</v>
      </c>
      <c r="I14">
        <f t="shared" si="7"/>
        <v>1.61073825503356</v>
      </c>
      <c r="K14" s="7" t="str">
        <f t="shared" ref="K14:K21" si="8">K4</f>
        <v>积分</v>
      </c>
      <c r="L14" s="7" t="str">
        <f>L4</f>
        <v>价格</v>
      </c>
      <c r="M14" s="7" t="s">
        <v>815</v>
      </c>
      <c r="N14" s="6" t="str">
        <f t="shared" ref="N14:R14" si="9">IF(N4="","",N4&amp;",")</f>
        <v>数量,</v>
      </c>
      <c r="O14" s="7" t="s">
        <v>816</v>
      </c>
      <c r="P14" s="6" t="str">
        <f t="shared" si="9"/>
        <v>数量,</v>
      </c>
      <c r="Q14" s="7" t="s">
        <v>817</v>
      </c>
      <c r="R14" s="6" t="str">
        <f t="shared" si="9"/>
        <v>数量,</v>
      </c>
      <c r="S14" s="7" t="s">
        <v>903</v>
      </c>
      <c r="T14" s="6" t="str">
        <f t="shared" ref="T14:T21" si="10">IF(T4="","",T4&amp;",")</f>
        <v>数量,</v>
      </c>
      <c r="U14" t="s">
        <v>327</v>
      </c>
    </row>
    <row r="15" ht="15.6" spans="2:21">
      <c r="B15" s="5">
        <v>328</v>
      </c>
      <c r="C15" s="5">
        <v>4999</v>
      </c>
      <c r="D15" s="5">
        <v>1690</v>
      </c>
      <c r="E15" s="5">
        <v>65000</v>
      </c>
      <c r="F15" s="5">
        <v>6100</v>
      </c>
      <c r="G15" s="5" t="s">
        <v>924</v>
      </c>
      <c r="H15">
        <v>510</v>
      </c>
      <c r="I15">
        <f t="shared" si="7"/>
        <v>1.55487804878049</v>
      </c>
      <c r="K15" s="7">
        <f t="shared" si="8"/>
        <v>80</v>
      </c>
      <c r="L15" s="7">
        <f t="shared" ref="L15:L21" si="11">L5</f>
        <v>50</v>
      </c>
      <c r="M15" s="6" t="str">
        <f>IF(M5="","",(_xlfn.XLOOKUP(M5,道具表!$B:$B,道具表!$C:$C)&amp;"|"&amp;_xlfn.XLOOKUP(M5,道具表!$B:$B,道具表!$A:$A)&amp;"|"))</f>
        <v>1|2|</v>
      </c>
      <c r="N15" s="6" t="str">
        <f t="shared" ref="N15:R15" si="12">IF(N5="","",N5&amp;",")</f>
        <v>300,</v>
      </c>
      <c r="O15" s="6" t="str">
        <f>IF(O5="","",(_xlfn.XLOOKUP(O5,道具表!$B:$B,道具表!$C:$C)&amp;"|"&amp;_xlfn.XLOOKUP(O5,道具表!$B:$B,道具表!$A:$A)&amp;"|"))</f>
        <v>1|10002|</v>
      </c>
      <c r="P15" s="6" t="str">
        <f t="shared" si="12"/>
        <v>10,</v>
      </c>
      <c r="Q15" s="6" t="str">
        <f>IF(Q5="","",(_xlfn.XLOOKUP(Q5,道具表!$B:$B,道具表!$C:$C)&amp;"|"&amp;_xlfn.XLOOKUP(Q5,道具表!$B:$B,道具表!$A:$A)&amp;"|"))</f>
        <v>1|5|</v>
      </c>
      <c r="R15" s="6" t="str">
        <f t="shared" si="12"/>
        <v>300,</v>
      </c>
      <c r="S15" s="6" t="str">
        <f>IF(S5="","",(_xlfn.XLOOKUP(S5,道具表!$B:$B,道具表!$C:$C)&amp;"|"&amp;_xlfn.XLOOKUP(S5,道具表!$B:$B,道具表!$A:$A)&amp;"|"))</f>
        <v/>
      </c>
      <c r="T15" s="6" t="str">
        <f t="shared" si="10"/>
        <v/>
      </c>
      <c r="U15" s="54" t="str">
        <f t="shared" ref="U15:U21" si="13">LEFT(M15&amp;N15&amp;O15&amp;P15&amp;Q15&amp;R15&amp;S15&amp;T15,LEN(M15&amp;N15&amp;O15&amp;P15&amp;Q15&amp;R15&amp;S15&amp;T15)-1)</f>
        <v>1|2|300,1|10002|10,1|5|300</v>
      </c>
    </row>
    <row r="16" ht="15.6" spans="2:21">
      <c r="B16" s="5">
        <v>648</v>
      </c>
      <c r="C16" s="5">
        <v>9999</v>
      </c>
      <c r="D16" s="5">
        <v>3290</v>
      </c>
      <c r="E16" s="5">
        <v>119000</v>
      </c>
      <c r="F16" s="5">
        <v>12000</v>
      </c>
      <c r="G16" s="5" t="s">
        <v>925</v>
      </c>
      <c r="H16">
        <v>1010</v>
      </c>
      <c r="I16">
        <f t="shared" si="7"/>
        <v>1.55864197530864</v>
      </c>
      <c r="K16" s="7">
        <f t="shared" si="8"/>
        <v>160</v>
      </c>
      <c r="L16" s="7">
        <f t="shared" si="11"/>
        <v>100</v>
      </c>
      <c r="M16" s="6" t="str">
        <f>IF(M6="","",(_xlfn.XLOOKUP(M6,道具表!$B:$B,道具表!$C:$C)&amp;"|"&amp;_xlfn.XLOOKUP(M6,道具表!$B:$B,道具表!$A:$A)&amp;"|"))</f>
        <v>1|10003|</v>
      </c>
      <c r="N16" s="6" t="str">
        <f t="shared" ref="N16:R16" si="14">IF(N6="","",N6&amp;",")</f>
        <v>2,</v>
      </c>
      <c r="O16" s="6" t="str">
        <f>IF(O6="","",(_xlfn.XLOOKUP(O6,道具表!$B:$B,道具表!$C:$C)&amp;"|"&amp;_xlfn.XLOOKUP(O6,道具表!$B:$B,道具表!$A:$A)&amp;"|"))</f>
        <v>1|5|</v>
      </c>
      <c r="P16" s="6" t="str">
        <f t="shared" si="14"/>
        <v>500,</v>
      </c>
      <c r="Q16" s="6" t="str">
        <f>IF(Q6="","",(_xlfn.XLOOKUP(Q6,道具表!$B:$B,道具表!$C:$C)&amp;"|"&amp;_xlfn.XLOOKUP(Q6,道具表!$B:$B,道具表!$A:$A)&amp;"|"))</f>
        <v>1|10007|</v>
      </c>
      <c r="R16" s="6" t="str">
        <f t="shared" si="14"/>
        <v>30,</v>
      </c>
      <c r="S16" s="6" t="str">
        <f>IF(S6="","",(_xlfn.XLOOKUP(S6,道具表!$B:$B,道具表!$C:$C)&amp;"|"&amp;_xlfn.XLOOKUP(S6,道具表!$B:$B,道具表!$A:$A)&amp;"|"))</f>
        <v/>
      </c>
      <c r="T16" s="6" t="str">
        <f t="shared" si="10"/>
        <v/>
      </c>
      <c r="U16" s="54" t="str">
        <f t="shared" si="13"/>
        <v>1|10003|2,1|5|500,1|10007|30</v>
      </c>
    </row>
    <row r="17" ht="15.6" spans="2:21">
      <c r="B17" s="5">
        <v>1000</v>
      </c>
      <c r="C17" s="5">
        <v>14999</v>
      </c>
      <c r="D17" s="5">
        <v>4990</v>
      </c>
      <c r="E17" s="5">
        <v>179000</v>
      </c>
      <c r="F17" s="5">
        <v>18000</v>
      </c>
      <c r="G17" s="5" t="s">
        <v>926</v>
      </c>
      <c r="H17">
        <v>1510</v>
      </c>
      <c r="I17">
        <f t="shared" si="7"/>
        <v>1.51</v>
      </c>
      <c r="K17" s="7">
        <f t="shared" si="8"/>
        <v>350</v>
      </c>
      <c r="L17" s="7">
        <f t="shared" si="11"/>
        <v>200</v>
      </c>
      <c r="M17" s="6" t="str">
        <f>IF(M7="","",(_xlfn.XLOOKUP(M7,道具表!$B:$B,道具表!$C:$C)&amp;"|"&amp;_xlfn.XLOOKUP(M7,道具表!$B:$B,道具表!$A:$A)&amp;"|"))</f>
        <v>1|2|</v>
      </c>
      <c r="N17" s="6" t="str">
        <f t="shared" ref="N17:R17" si="15">IF(N7="","",N7&amp;",")</f>
        <v>1000,</v>
      </c>
      <c r="O17" s="6" t="str">
        <f>IF(O7="","",(_xlfn.XLOOKUP(O7,道具表!$B:$B,道具表!$C:$C)&amp;"|"&amp;_xlfn.XLOOKUP(O7,道具表!$B:$B,道具表!$A:$A)&amp;"|"))</f>
        <v>1|10030|</v>
      </c>
      <c r="P17" s="6" t="str">
        <f t="shared" si="15"/>
        <v>40,</v>
      </c>
      <c r="Q17" s="6" t="str">
        <f>IF(Q7="","",(_xlfn.XLOOKUP(Q7,道具表!$B:$B,道具表!$C:$C)&amp;"|"&amp;_xlfn.XLOOKUP(Q7,道具表!$B:$B,道具表!$A:$A)&amp;"|"))</f>
        <v>1|10031|</v>
      </c>
      <c r="R17" s="6" t="str">
        <f t="shared" si="15"/>
        <v>100,</v>
      </c>
      <c r="S17" s="6" t="str">
        <f>IF(S7="","",(_xlfn.XLOOKUP(S7,道具表!$B:$B,道具表!$C:$C)&amp;"|"&amp;_xlfn.XLOOKUP(S7,道具表!$B:$B,道具表!$A:$A)&amp;"|"))</f>
        <v/>
      </c>
      <c r="T17" s="6" t="str">
        <f t="shared" si="10"/>
        <v/>
      </c>
      <c r="U17" s="54" t="str">
        <f t="shared" si="13"/>
        <v>1|2|1000,1|10030|40,1|10031|100</v>
      </c>
    </row>
    <row r="18" ht="15.6" spans="2:21">
      <c r="B18" s="5">
        <v>2000</v>
      </c>
      <c r="C18" s="5">
        <v>29999</v>
      </c>
      <c r="D18" s="5">
        <v>9990</v>
      </c>
      <c r="E18" s="5">
        <v>369000</v>
      </c>
      <c r="F18" s="5">
        <v>36800</v>
      </c>
      <c r="G18" s="5" t="s">
        <v>927</v>
      </c>
      <c r="H18">
        <v>3030</v>
      </c>
      <c r="I18">
        <f t="shared" si="7"/>
        <v>1.515</v>
      </c>
      <c r="K18" s="7">
        <f t="shared" si="8"/>
        <v>850</v>
      </c>
      <c r="L18" s="7">
        <f t="shared" si="11"/>
        <v>500</v>
      </c>
      <c r="M18" s="6" t="str">
        <f>IF(M8="","",(_xlfn.XLOOKUP(M8,道具表!$B:$B,道具表!$C:$C)&amp;"|"&amp;_xlfn.XLOOKUP(M8,道具表!$B:$B,道具表!$A:$A)&amp;"|"))</f>
        <v>1|10001|</v>
      </c>
      <c r="N18" s="6" t="str">
        <f t="shared" ref="N18:R18" si="16">IF(N8="","",N8&amp;",")</f>
        <v>30,</v>
      </c>
      <c r="O18" s="6" t="str">
        <f>IF(O8="","",(_xlfn.XLOOKUP(O8,道具表!$B:$B,道具表!$C:$C)&amp;"|"&amp;_xlfn.XLOOKUP(O8,道具表!$B:$B,道具表!$A:$A)&amp;"|"))</f>
        <v>1|10002|</v>
      </c>
      <c r="P18" s="6" t="str">
        <f t="shared" si="16"/>
        <v>110,</v>
      </c>
      <c r="Q18" s="6" t="str">
        <f>IF(Q8="","",(_xlfn.XLOOKUP(Q8,道具表!$B:$B,道具表!$C:$C)&amp;"|"&amp;_xlfn.XLOOKUP(Q8,道具表!$B:$B,道具表!$A:$A)&amp;"|"))</f>
        <v>1|10003|</v>
      </c>
      <c r="R18" s="6" t="str">
        <f t="shared" si="16"/>
        <v>5,</v>
      </c>
      <c r="S18" s="6" t="str">
        <f>IF(S8="","",(_xlfn.XLOOKUP(S8,道具表!$B:$B,道具表!$C:$C)&amp;"|"&amp;_xlfn.XLOOKUP(S8,道具表!$B:$B,道具表!$A:$A)&amp;"|"))</f>
        <v/>
      </c>
      <c r="T18" s="6" t="str">
        <f t="shared" si="10"/>
        <v/>
      </c>
      <c r="U18" s="54" t="str">
        <f t="shared" si="13"/>
        <v>1|10001|30,1|10002|110,1|10003|5</v>
      </c>
    </row>
    <row r="19" ht="15.6" spans="11:21">
      <c r="K19" s="7">
        <f t="shared" si="8"/>
        <v>1500</v>
      </c>
      <c r="L19" s="7">
        <f t="shared" si="11"/>
        <v>1000</v>
      </c>
      <c r="M19" s="6" t="str">
        <f>IF(M9="","",(_xlfn.XLOOKUP(M9,道具表!$B:$B,道具表!$C:$C)&amp;"|"&amp;_xlfn.XLOOKUP(M9,道具表!$B:$B,道具表!$A:$A)&amp;"|"))</f>
        <v>1|2|</v>
      </c>
      <c r="N19" s="6" t="str">
        <f t="shared" ref="N19:R19" si="17">IF(N9="","",N9&amp;",")</f>
        <v>2000,</v>
      </c>
      <c r="O19" s="6" t="str">
        <f>IF(O9="","",(_xlfn.XLOOKUP(O9,道具表!$B:$B,道具表!$C:$C)&amp;"|"&amp;_xlfn.XLOOKUP(O9,道具表!$B:$B,道具表!$A:$A)&amp;"|"))</f>
        <v>1|19|</v>
      </c>
      <c r="P19" s="6" t="str">
        <f t="shared" si="17"/>
        <v>150,</v>
      </c>
      <c r="Q19" s="6" t="str">
        <f>IF(Q9="","",(_xlfn.XLOOKUP(Q9,道具表!$B:$B,道具表!$C:$C)&amp;"|"&amp;_xlfn.XLOOKUP(Q9,道具表!$B:$B,道具表!$A:$A)&amp;"|"))</f>
        <v>1|18|</v>
      </c>
      <c r="R19" s="6" t="str">
        <f t="shared" si="17"/>
        <v>300,</v>
      </c>
      <c r="S19" s="6" t="str">
        <f>IF(S9="","",(_xlfn.XLOOKUP(S9,道具表!$B:$B,道具表!$C:$C)&amp;"|"&amp;_xlfn.XLOOKUP(S9,道具表!$B:$B,道具表!$A:$A)&amp;"|"))</f>
        <v/>
      </c>
      <c r="T19" s="6" t="str">
        <f t="shared" si="10"/>
        <v/>
      </c>
      <c r="U19" s="54" t="str">
        <f t="shared" si="13"/>
        <v>1|2|2000,1|19|150,1|18|300</v>
      </c>
    </row>
    <row r="20" ht="15.6" spans="11:21">
      <c r="K20" s="7">
        <f t="shared" si="8"/>
        <v>4000</v>
      </c>
      <c r="L20" s="7">
        <f t="shared" si="11"/>
        <v>2500</v>
      </c>
      <c r="M20" s="6" t="str">
        <f>IF(M10="","",(_xlfn.XLOOKUP(M10,道具表!$B:$B,道具表!$C:$C)&amp;"|"&amp;_xlfn.XLOOKUP(M10,道具表!$B:$B,道具表!$A:$A)&amp;"|"))</f>
        <v>16|402|</v>
      </c>
      <c r="N20" s="6" t="str">
        <f t="shared" ref="N20:R20" si="18">IF(N10="","",N10&amp;",")</f>
        <v>1,</v>
      </c>
      <c r="O20" s="6" t="str">
        <f>IF(O10="","",(_xlfn.XLOOKUP(O10,道具表!$B:$B,道具表!$C:$C)&amp;"|"&amp;_xlfn.XLOOKUP(O10,道具表!$B:$B,道具表!$A:$A)&amp;"|"))</f>
        <v>10|2007|</v>
      </c>
      <c r="P20" s="6" t="str">
        <f t="shared" si="18"/>
        <v>2,</v>
      </c>
      <c r="Q20" s="6" t="str">
        <f>IF(Q10="","",(_xlfn.XLOOKUP(Q10,道具表!$B:$B,道具表!$C:$C)&amp;"|"&amp;_xlfn.XLOOKUP(Q10,道具表!$B:$B,道具表!$A:$A)&amp;"|"))</f>
        <v>1|10030|</v>
      </c>
      <c r="R20" s="6" t="str">
        <f t="shared" si="18"/>
        <v>200,</v>
      </c>
      <c r="S20" s="6" t="str">
        <f>IF(S10="","",(_xlfn.XLOOKUP(S10,道具表!$B:$B,道具表!$C:$C)&amp;"|"&amp;_xlfn.XLOOKUP(S10,道具表!$B:$B,道具表!$A:$A)&amp;"|"))</f>
        <v>1|10031|</v>
      </c>
      <c r="T20" s="6" t="str">
        <f t="shared" si="10"/>
        <v>300,</v>
      </c>
      <c r="U20" s="54" t="str">
        <f t="shared" si="13"/>
        <v>16|402|1,10|2007|2,1|10030|200,1|10031|300</v>
      </c>
    </row>
    <row r="21" ht="15.6" spans="11:21">
      <c r="K21" s="7">
        <f t="shared" si="8"/>
        <v>8000</v>
      </c>
      <c r="L21" s="7">
        <f t="shared" si="11"/>
        <v>5000</v>
      </c>
      <c r="M21" s="6" t="str">
        <f>IF(M11="","",(_xlfn.XLOOKUP(M11,道具表!$B:$B,道具表!$C:$C)&amp;"|"&amp;_xlfn.XLOOKUP(M11,道具表!$B:$B,道具表!$A:$A)&amp;"|"))</f>
        <v>1|2|</v>
      </c>
      <c r="N21" s="6" t="str">
        <f t="shared" ref="N21:R21" si="19">IF(N11="","",N11&amp;",")</f>
        <v>8000,</v>
      </c>
      <c r="O21" s="6" t="str">
        <f>IF(O11="","",(_xlfn.XLOOKUP(O11,道具表!$B:$B,道具表!$C:$C)&amp;"|"&amp;_xlfn.XLOOKUP(O11,道具表!$B:$B,道具表!$A:$A)&amp;"|"))</f>
        <v>16|401|</v>
      </c>
      <c r="P21" s="6" t="str">
        <f t="shared" si="19"/>
        <v>1,</v>
      </c>
      <c r="Q21" s="6" t="str">
        <f>IF(Q11="","",(_xlfn.XLOOKUP(Q11,道具表!$B:$B,道具表!$C:$C)&amp;"|"&amp;_xlfn.XLOOKUP(Q11,道具表!$B:$B,道具表!$A:$A)&amp;"|"))</f>
        <v>14|71|</v>
      </c>
      <c r="R21" s="6" t="str">
        <f t="shared" si="19"/>
        <v>1,</v>
      </c>
      <c r="S21" s="6" t="str">
        <f>IF(S11="","",(_xlfn.XLOOKUP(S11,道具表!$B:$B,道具表!$C:$C)&amp;"|"&amp;_xlfn.XLOOKUP(S11,道具表!$B:$B,道具表!$A:$A)&amp;"|"))</f>
        <v>1|10015|</v>
      </c>
      <c r="T21" s="6" t="str">
        <f t="shared" si="10"/>
        <v>250,</v>
      </c>
      <c r="U21" s="54" t="str">
        <f t="shared" si="13"/>
        <v>1|2|8000,16|401|1,14|71|1,1|10015|250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85"/>
  <sheetViews>
    <sheetView zoomScale="85" zoomScaleNormal="85" topLeftCell="A4" workbookViewId="0">
      <selection activeCell="H32" sqref="H32"/>
    </sheetView>
  </sheetViews>
  <sheetFormatPr defaultColWidth="8.88888888888889" defaultRowHeight="15.6"/>
  <cols>
    <col min="1" max="3" width="8.88888888888889" style="55"/>
    <col min="4" max="4" width="26.1111111111111" style="55" customWidth="1"/>
    <col min="5" max="5" width="15.1111111111111" style="55" customWidth="1"/>
    <col min="6" max="6" width="10.1111111111111" style="55"/>
    <col min="7" max="7" width="14.6388888888889" style="55" customWidth="1"/>
    <col min="8" max="8" width="16.3333333333333" style="55" customWidth="1"/>
    <col min="9" max="9" width="18.3333333333333" style="8" customWidth="1"/>
    <col min="10" max="10" width="8.88888888888889" style="55"/>
    <col min="11" max="11" width="9" style="55"/>
    <col min="12" max="12" width="18.6944444444444" style="55" customWidth="1"/>
    <col min="13" max="13" width="15.6666666666667" style="55"/>
    <col min="14" max="14" width="19.6666666666667" style="55"/>
    <col min="15" max="15" width="15.6666666666667" style="55"/>
    <col min="16" max="18" width="8.88888888888889" style="55"/>
  </cols>
  <sheetData>
    <row r="1" spans="3:19">
      <c r="C1" s="6" t="s">
        <v>928</v>
      </c>
      <c r="D1" s="6" t="s">
        <v>929</v>
      </c>
      <c r="E1" s="6" t="s">
        <v>378</v>
      </c>
      <c r="L1" s="19"/>
      <c r="M1" s="19" t="s">
        <v>930</v>
      </c>
      <c r="N1" s="19" t="s">
        <v>931</v>
      </c>
      <c r="O1" s="19" t="s">
        <v>932</v>
      </c>
      <c r="P1" s="19" t="s">
        <v>933</v>
      </c>
      <c r="Q1" s="19" t="s">
        <v>6</v>
      </c>
      <c r="R1" s="19" t="s">
        <v>934</v>
      </c>
      <c r="S1" t="s">
        <v>935</v>
      </c>
    </row>
    <row r="2" spans="3:19">
      <c r="C2" s="6"/>
      <c r="D2" s="6" t="s">
        <v>936</v>
      </c>
      <c r="E2" s="6">
        <v>10</v>
      </c>
      <c r="L2" s="19" t="s">
        <v>937</v>
      </c>
      <c r="M2" s="19">
        <v>27</v>
      </c>
      <c r="N2" s="19">
        <v>30</v>
      </c>
      <c r="O2" s="19">
        <v>9</v>
      </c>
      <c r="P2" s="19">
        <v>36</v>
      </c>
      <c r="Q2" s="19">
        <v>40</v>
      </c>
      <c r="R2" s="19">
        <v>5</v>
      </c>
      <c r="S2">
        <v>2</v>
      </c>
    </row>
    <row r="3" spans="3:18">
      <c r="C3" s="6"/>
      <c r="D3" s="6"/>
      <c r="E3" s="6"/>
      <c r="L3" s="19" t="s">
        <v>938</v>
      </c>
      <c r="M3" s="19">
        <v>9</v>
      </c>
      <c r="N3" s="19">
        <v>10</v>
      </c>
      <c r="O3" s="19">
        <v>3</v>
      </c>
      <c r="P3" s="19">
        <v>11</v>
      </c>
      <c r="Q3" s="19">
        <v>25</v>
      </c>
      <c r="R3" s="19"/>
    </row>
    <row r="4" spans="3:18">
      <c r="C4" s="8"/>
      <c r="D4" s="6"/>
      <c r="E4" s="8"/>
      <c r="L4" s="19" t="s">
        <v>939</v>
      </c>
      <c r="M4" s="19">
        <v>9</v>
      </c>
      <c r="N4" s="19">
        <v>10</v>
      </c>
      <c r="O4" s="19">
        <v>3</v>
      </c>
      <c r="P4" s="19">
        <v>20</v>
      </c>
      <c r="Q4" s="19">
        <v>10</v>
      </c>
      <c r="R4" s="19"/>
    </row>
    <row r="5" spans="12:13">
      <c r="L5" s="55" t="s">
        <v>940</v>
      </c>
      <c r="M5" s="55">
        <f>SUM(M2:S2)*10</f>
        <v>1490</v>
      </c>
    </row>
    <row r="6" spans="3:15">
      <c r="C6" s="6" t="s">
        <v>941</v>
      </c>
      <c r="D6" s="6" t="s">
        <v>378</v>
      </c>
      <c r="E6" s="6" t="s">
        <v>815</v>
      </c>
      <c r="F6" s="6" t="s">
        <v>942</v>
      </c>
      <c r="G6" s="6" t="s">
        <v>816</v>
      </c>
      <c r="H6" s="6" t="s">
        <v>943</v>
      </c>
      <c r="I6" s="6" t="s">
        <v>339</v>
      </c>
      <c r="J6" s="6" t="s">
        <v>340</v>
      </c>
      <c r="K6" s="6" t="s">
        <v>341</v>
      </c>
      <c r="L6" s="19" t="s">
        <v>944</v>
      </c>
      <c r="M6" s="19">
        <f>SUM(M7:M11)</f>
        <v>1900</v>
      </c>
      <c r="N6" s="55">
        <f>M6+M12+M19+M26</f>
        <v>11500</v>
      </c>
      <c r="O6" s="55"/>
    </row>
    <row r="7" spans="3:13">
      <c r="C7" s="6"/>
      <c r="D7" s="6">
        <v>150</v>
      </c>
      <c r="E7" s="6" t="s">
        <v>34</v>
      </c>
      <c r="F7" s="6">
        <v>5</v>
      </c>
      <c r="G7" s="6"/>
      <c r="H7" s="6"/>
      <c r="I7" s="6">
        <f>_xlfn.XLOOKUP(E7,道具表!$B:$B,道具表!$E:$E)</f>
        <v>100</v>
      </c>
      <c r="J7" s="6">
        <f>_xlfn.XLOOKUP(G7,道具表!$B:$B,道具表!$E:$E)</f>
        <v>0</v>
      </c>
      <c r="K7" s="6">
        <f>I7*F7+J7*H7</f>
        <v>500</v>
      </c>
      <c r="L7" s="19"/>
      <c r="M7" s="19">
        <f>D7</f>
        <v>150</v>
      </c>
    </row>
    <row r="8" spans="3:18">
      <c r="C8" s="6"/>
      <c r="D8" s="6">
        <v>400</v>
      </c>
      <c r="E8" s="6" t="s">
        <v>34</v>
      </c>
      <c r="F8" s="6">
        <v>10</v>
      </c>
      <c r="G8" s="6"/>
      <c r="H8" s="6"/>
      <c r="I8" s="6">
        <f>_xlfn.XLOOKUP(E8,道具表!$B:$B,道具表!$E:$E)</f>
        <v>100</v>
      </c>
      <c r="J8" s="6">
        <f>_xlfn.XLOOKUP(G8,道具表!$B:$B,道具表!$E:$E)</f>
        <v>0</v>
      </c>
      <c r="K8" s="6">
        <f>I8*F8+J8*H8</f>
        <v>1000</v>
      </c>
      <c r="L8" s="19"/>
      <c r="M8" s="19">
        <f>D8-(F7*10)-D7</f>
        <v>200</v>
      </c>
      <c r="N8" s="55">
        <v>18</v>
      </c>
      <c r="O8" s="55">
        <v>20</v>
      </c>
      <c r="P8" s="55">
        <v>6</v>
      </c>
      <c r="Q8" s="55">
        <v>11</v>
      </c>
      <c r="R8" s="55">
        <v>30</v>
      </c>
    </row>
    <row r="9" spans="3:13">
      <c r="C9" s="6"/>
      <c r="D9" s="6">
        <v>800</v>
      </c>
      <c r="E9" s="6" t="s">
        <v>34</v>
      </c>
      <c r="F9" s="6">
        <v>15</v>
      </c>
      <c r="G9" s="6"/>
      <c r="H9" s="6"/>
      <c r="I9" s="6">
        <f>_xlfn.XLOOKUP(E9,道具表!$B:$B,道具表!$E:$E)</f>
        <v>100</v>
      </c>
      <c r="J9" s="6">
        <f>_xlfn.XLOOKUP(G9,道具表!$B:$B,道具表!$E:$E)</f>
        <v>0</v>
      </c>
      <c r="K9" s="6">
        <f>I9*F9+J9*H9</f>
        <v>1500</v>
      </c>
      <c r="L9" s="19"/>
      <c r="M9" s="19">
        <f>D9-(F8*10)-D8</f>
        <v>300</v>
      </c>
    </row>
    <row r="10" spans="3:13">
      <c r="C10" s="6"/>
      <c r="D10" s="6">
        <v>1400</v>
      </c>
      <c r="E10" s="6" t="s">
        <v>34</v>
      </c>
      <c r="F10" s="6">
        <v>30</v>
      </c>
      <c r="G10" s="6"/>
      <c r="H10" s="6"/>
      <c r="I10" s="6">
        <f>_xlfn.XLOOKUP(E10,道具表!$B:$B,道具表!$E:$E)</f>
        <v>100</v>
      </c>
      <c r="J10" s="6">
        <f>_xlfn.XLOOKUP(G10,道具表!$B:$B,道具表!$E:$E)</f>
        <v>0</v>
      </c>
      <c r="K10" s="6">
        <f>I10*F10+J10*H10</f>
        <v>3000</v>
      </c>
      <c r="L10" s="19"/>
      <c r="M10" s="19">
        <f>D10-(F9*10)-D9</f>
        <v>450</v>
      </c>
    </row>
    <row r="11" spans="3:13">
      <c r="C11" s="6"/>
      <c r="D11" s="6">
        <v>2500</v>
      </c>
      <c r="E11" s="6" t="s">
        <v>320</v>
      </c>
      <c r="F11" s="6">
        <v>1</v>
      </c>
      <c r="G11" s="6" t="s">
        <v>34</v>
      </c>
      <c r="H11" s="6">
        <v>15</v>
      </c>
      <c r="I11" s="6">
        <f>_xlfn.XLOOKUP(E11,道具表!$B:$B,道具表!$E:$E)</f>
        <v>10000</v>
      </c>
      <c r="J11" s="6">
        <f>_xlfn.XLOOKUP(G11,道具表!$B:$B,道具表!$E:$E)</f>
        <v>100</v>
      </c>
      <c r="K11" s="6">
        <f>I11*F11+J11*H11</f>
        <v>11500</v>
      </c>
      <c r="L11" s="19"/>
      <c r="M11" s="19">
        <f>D11-(F10*10)-D10</f>
        <v>800</v>
      </c>
    </row>
    <row r="12" spans="3:13">
      <c r="C12" s="71" t="s">
        <v>945</v>
      </c>
      <c r="D12" s="6" t="s">
        <v>378</v>
      </c>
      <c r="E12" s="6" t="s">
        <v>815</v>
      </c>
      <c r="F12" s="6" t="s">
        <v>942</v>
      </c>
      <c r="G12" s="6" t="s">
        <v>816</v>
      </c>
      <c r="H12" s="6" t="s">
        <v>943</v>
      </c>
      <c r="I12" s="6" t="s">
        <v>339</v>
      </c>
      <c r="J12" s="6" t="s">
        <v>340</v>
      </c>
      <c r="K12" s="6" t="s">
        <v>341</v>
      </c>
      <c r="L12" s="19" t="s">
        <v>946</v>
      </c>
      <c r="M12" s="19">
        <f>SUM(M13:M18)</f>
        <v>3100</v>
      </c>
    </row>
    <row r="13" spans="3:18">
      <c r="C13" s="72"/>
      <c r="D13" s="6">
        <v>150</v>
      </c>
      <c r="E13" s="6" t="s">
        <v>34</v>
      </c>
      <c r="F13" s="6">
        <v>5</v>
      </c>
      <c r="G13" s="6"/>
      <c r="H13" s="6"/>
      <c r="I13" s="6">
        <f>_xlfn.XLOOKUP(E13,道具表!$B:$B,道具表!$E:$E)</f>
        <v>100</v>
      </c>
      <c r="J13" s="6">
        <f>_xlfn.XLOOKUP(G13,道具表!$B:$B,道具表!$E:$E)</f>
        <v>0</v>
      </c>
      <c r="K13" s="6">
        <f t="shared" ref="K13:K18" si="0">I13*F13+J13*H13</f>
        <v>500</v>
      </c>
      <c r="L13" s="19"/>
      <c r="M13" s="19">
        <f>D13-(H11*10)</f>
        <v>0</v>
      </c>
      <c r="R13" s="55">
        <v>480</v>
      </c>
    </row>
    <row r="14" spans="3:18">
      <c r="C14" s="72"/>
      <c r="D14" s="6">
        <v>400</v>
      </c>
      <c r="E14" s="6" t="s">
        <v>34</v>
      </c>
      <c r="F14" s="6">
        <v>10</v>
      </c>
      <c r="G14" s="6"/>
      <c r="H14" s="6"/>
      <c r="I14" s="6">
        <f>_xlfn.XLOOKUP(E14,道具表!$B:$B,道具表!$E:$E)</f>
        <v>100</v>
      </c>
      <c r="J14" s="6">
        <f>_xlfn.XLOOKUP(G14,道具表!$B:$B,道具表!$E:$E)</f>
        <v>0</v>
      </c>
      <c r="K14" s="6">
        <f t="shared" si="0"/>
        <v>1000</v>
      </c>
      <c r="L14" s="19"/>
      <c r="M14" s="19">
        <f t="shared" ref="M14:M18" si="1">D14-(F13*10)-D13</f>
        <v>200</v>
      </c>
      <c r="R14" s="55">
        <v>90</v>
      </c>
    </row>
    <row r="15" spans="3:18">
      <c r="C15" s="72"/>
      <c r="D15" s="6">
        <v>800</v>
      </c>
      <c r="E15" s="6" t="s">
        <v>34</v>
      </c>
      <c r="F15" s="6">
        <v>15</v>
      </c>
      <c r="G15" s="6"/>
      <c r="H15" s="6"/>
      <c r="I15" s="6">
        <f>_xlfn.XLOOKUP(E15,道具表!$B:$B,道具表!$E:$E)</f>
        <v>100</v>
      </c>
      <c r="J15" s="6">
        <f>_xlfn.XLOOKUP(G15,道具表!$B:$B,道具表!$E:$E)</f>
        <v>0</v>
      </c>
      <c r="K15" s="6">
        <f t="shared" si="0"/>
        <v>1500</v>
      </c>
      <c r="L15" s="19"/>
      <c r="M15" s="19">
        <f t="shared" si="1"/>
        <v>300</v>
      </c>
      <c r="R15" s="55">
        <v>140</v>
      </c>
    </row>
    <row r="16" spans="3:18">
      <c r="C16" s="72"/>
      <c r="D16" s="6">
        <v>1400</v>
      </c>
      <c r="E16" s="6" t="s">
        <v>34</v>
      </c>
      <c r="F16" s="6">
        <v>30</v>
      </c>
      <c r="G16" s="6"/>
      <c r="H16" s="6"/>
      <c r="I16" s="6">
        <f>_xlfn.XLOOKUP(E16,道具表!$B:$B,道具表!$E:$E)</f>
        <v>100</v>
      </c>
      <c r="J16" s="6">
        <f>_xlfn.XLOOKUP(G16,道具表!$B:$B,道具表!$E:$E)</f>
        <v>0</v>
      </c>
      <c r="K16" s="6">
        <f t="shared" si="0"/>
        <v>3000</v>
      </c>
      <c r="L16" s="19"/>
      <c r="M16" s="19">
        <f t="shared" si="1"/>
        <v>450</v>
      </c>
      <c r="R16" s="55">
        <v>140</v>
      </c>
    </row>
    <row r="17" spans="3:18">
      <c r="C17" s="72"/>
      <c r="D17" s="6">
        <v>2500</v>
      </c>
      <c r="E17" s="6" t="s">
        <v>320</v>
      </c>
      <c r="F17" s="6">
        <v>1</v>
      </c>
      <c r="G17" s="6" t="s">
        <v>34</v>
      </c>
      <c r="H17" s="6">
        <v>15</v>
      </c>
      <c r="I17" s="6">
        <f>_xlfn.XLOOKUP(E17,道具表!$B:$B,道具表!$E:$E)</f>
        <v>10000</v>
      </c>
      <c r="J17" s="6">
        <f>_xlfn.XLOOKUP(G17,道具表!$B:$B,道具表!$E:$E)</f>
        <v>100</v>
      </c>
      <c r="K17" s="6">
        <f t="shared" si="0"/>
        <v>11500</v>
      </c>
      <c r="L17" s="19"/>
      <c r="M17" s="19">
        <f>D17-(F16*10)-D16</f>
        <v>800</v>
      </c>
      <c r="R17" s="55">
        <v>140</v>
      </c>
    </row>
    <row r="18" spans="3:13">
      <c r="C18" s="72"/>
      <c r="D18" s="6">
        <v>4000</v>
      </c>
      <c r="E18" s="6" t="s">
        <v>319</v>
      </c>
      <c r="F18" s="6">
        <v>1</v>
      </c>
      <c r="G18" s="6" t="s">
        <v>260</v>
      </c>
      <c r="H18" s="6">
        <v>1</v>
      </c>
      <c r="I18" s="6">
        <f>_xlfn.XLOOKUP(E18,道具表!$B:$B,道具表!$E:$E)</f>
        <v>25000</v>
      </c>
      <c r="J18" s="6">
        <f>_xlfn.XLOOKUP(G18,道具表!$B:$B,道具表!$E:$E)</f>
        <v>19916</v>
      </c>
      <c r="K18" s="6">
        <f t="shared" si="0"/>
        <v>44916</v>
      </c>
      <c r="L18" s="19"/>
      <c r="M18" s="19">
        <f>D18-(H17*10)-D17</f>
        <v>1350</v>
      </c>
    </row>
    <row r="19" spans="3:13">
      <c r="C19" s="56" t="s">
        <v>947</v>
      </c>
      <c r="D19" s="6" t="s">
        <v>378</v>
      </c>
      <c r="E19" s="6" t="s">
        <v>815</v>
      </c>
      <c r="F19" s="6" t="s">
        <v>942</v>
      </c>
      <c r="G19" s="6" t="s">
        <v>816</v>
      </c>
      <c r="H19" s="6" t="s">
        <v>943</v>
      </c>
      <c r="I19" s="6" t="s">
        <v>339</v>
      </c>
      <c r="J19" s="6" t="s">
        <v>340</v>
      </c>
      <c r="K19" s="6" t="s">
        <v>341</v>
      </c>
      <c r="L19" s="19" t="s">
        <v>948</v>
      </c>
      <c r="M19" s="19">
        <f>SUM(M20:M25)</f>
        <v>3250</v>
      </c>
    </row>
    <row r="20" spans="3:13">
      <c r="C20" s="57"/>
      <c r="D20" s="6">
        <v>150</v>
      </c>
      <c r="E20" s="6" t="s">
        <v>34</v>
      </c>
      <c r="F20" s="6">
        <v>5</v>
      </c>
      <c r="G20" s="6"/>
      <c r="H20" s="6"/>
      <c r="I20" s="6">
        <f>_xlfn.XLOOKUP(E20,道具表!$B:$B,道具表!$E:$E)</f>
        <v>100</v>
      </c>
      <c r="J20" s="6">
        <f>_xlfn.XLOOKUP(G20,道具表!$B:$B,道具表!$E:$E)</f>
        <v>0</v>
      </c>
      <c r="K20" s="6">
        <f t="shared" ref="K20:K25" si="2">I20*F20+J20*H20</f>
        <v>500</v>
      </c>
      <c r="L20" s="19"/>
      <c r="M20" s="19">
        <f>D20</f>
        <v>150</v>
      </c>
    </row>
    <row r="21" spans="3:18">
      <c r="C21" s="57"/>
      <c r="D21" s="6">
        <v>400</v>
      </c>
      <c r="E21" s="6" t="s">
        <v>34</v>
      </c>
      <c r="F21" s="6">
        <v>10</v>
      </c>
      <c r="G21" s="6"/>
      <c r="H21" s="6"/>
      <c r="I21" s="6">
        <f>_xlfn.XLOOKUP(E21,道具表!$B:$B,道具表!$E:$E)</f>
        <v>100</v>
      </c>
      <c r="J21" s="6">
        <f>_xlfn.XLOOKUP(G21,道具表!$B:$B,道具表!$E:$E)</f>
        <v>0</v>
      </c>
      <c r="K21" s="6">
        <f t="shared" si="2"/>
        <v>1000</v>
      </c>
      <c r="L21" s="19"/>
      <c r="M21" s="19">
        <f>D21-(F20*10)-D20</f>
        <v>200</v>
      </c>
      <c r="R21" s="55">
        <v>90</v>
      </c>
    </row>
    <row r="22" spans="3:18">
      <c r="C22" s="57"/>
      <c r="D22" s="6">
        <v>800</v>
      </c>
      <c r="E22" s="6" t="s">
        <v>34</v>
      </c>
      <c r="F22" s="6">
        <v>15</v>
      </c>
      <c r="G22" s="6"/>
      <c r="H22" s="6"/>
      <c r="I22" s="6">
        <f>_xlfn.XLOOKUP(E22,道具表!$B:$B,道具表!$E:$E)</f>
        <v>100</v>
      </c>
      <c r="J22" s="6">
        <f>_xlfn.XLOOKUP(G22,道具表!$B:$B,道具表!$E:$E)</f>
        <v>0</v>
      </c>
      <c r="K22" s="6">
        <f t="shared" si="2"/>
        <v>1500</v>
      </c>
      <c r="L22" s="19"/>
      <c r="M22" s="19">
        <f>D22-(F21*10)-D21</f>
        <v>300</v>
      </c>
      <c r="R22" s="55">
        <v>280</v>
      </c>
    </row>
    <row r="23" spans="3:18">
      <c r="C23" s="57"/>
      <c r="D23" s="6">
        <v>1400</v>
      </c>
      <c r="E23" s="6" t="s">
        <v>34</v>
      </c>
      <c r="F23" s="6">
        <v>30</v>
      </c>
      <c r="G23" s="6"/>
      <c r="H23" s="6"/>
      <c r="I23" s="6">
        <f>_xlfn.XLOOKUP(E23,道具表!$B:$B,道具表!$E:$E)</f>
        <v>100</v>
      </c>
      <c r="J23" s="6">
        <f>_xlfn.XLOOKUP(G23,道具表!$B:$B,道具表!$E:$E)</f>
        <v>0</v>
      </c>
      <c r="K23" s="6">
        <f t="shared" si="2"/>
        <v>3000</v>
      </c>
      <c r="L23" s="19"/>
      <c r="M23" s="19">
        <f>D23-(F22*10)-D22</f>
        <v>450</v>
      </c>
      <c r="R23" s="55">
        <v>280</v>
      </c>
    </row>
    <row r="24" spans="3:18">
      <c r="C24" s="57"/>
      <c r="D24" s="6">
        <v>2500</v>
      </c>
      <c r="E24" s="6" t="s">
        <v>320</v>
      </c>
      <c r="F24" s="6">
        <v>1</v>
      </c>
      <c r="G24" s="6" t="s">
        <v>34</v>
      </c>
      <c r="H24" s="6">
        <v>15</v>
      </c>
      <c r="I24" s="6">
        <f>_xlfn.XLOOKUP(E24,道具表!$B:$B,道具表!$E:$E)</f>
        <v>10000</v>
      </c>
      <c r="J24" s="6">
        <f>_xlfn.XLOOKUP(G24,道具表!$B:$B,道具表!$E:$E)</f>
        <v>100</v>
      </c>
      <c r="K24" s="6">
        <f t="shared" si="2"/>
        <v>11500</v>
      </c>
      <c r="L24" s="19"/>
      <c r="M24" s="19">
        <f>D24-(F23*10)-D23</f>
        <v>800</v>
      </c>
      <c r="R24" s="55">
        <v>280</v>
      </c>
    </row>
    <row r="25" spans="3:13">
      <c r="C25" s="57"/>
      <c r="D25" s="6">
        <v>4000</v>
      </c>
      <c r="E25" s="6" t="s">
        <v>319</v>
      </c>
      <c r="F25" s="6">
        <v>1</v>
      </c>
      <c r="G25" s="6" t="s">
        <v>260</v>
      </c>
      <c r="H25" s="6">
        <v>1</v>
      </c>
      <c r="I25" s="6">
        <f>_xlfn.XLOOKUP(E25,道具表!$B:$B,道具表!$E:$E)</f>
        <v>25000</v>
      </c>
      <c r="J25" s="6">
        <f>_xlfn.XLOOKUP(G25,道具表!$B:$B,道具表!$E:$E)</f>
        <v>19916</v>
      </c>
      <c r="K25" s="6">
        <f t="shared" si="2"/>
        <v>44916</v>
      </c>
      <c r="L25" s="19"/>
      <c r="M25" s="19">
        <f>D25-(H24*10)-D24</f>
        <v>1350</v>
      </c>
    </row>
    <row r="26" spans="3:13">
      <c r="C26" s="56" t="s">
        <v>949</v>
      </c>
      <c r="D26" s="6" t="s">
        <v>378</v>
      </c>
      <c r="E26" s="6" t="s">
        <v>815</v>
      </c>
      <c r="F26" s="6" t="s">
        <v>942</v>
      </c>
      <c r="G26" s="6" t="s">
        <v>816</v>
      </c>
      <c r="H26" s="6" t="s">
        <v>943</v>
      </c>
      <c r="I26" s="6" t="s">
        <v>339</v>
      </c>
      <c r="J26" s="6" t="s">
        <v>340</v>
      </c>
      <c r="K26" s="6" t="s">
        <v>341</v>
      </c>
      <c r="L26" s="19" t="s">
        <v>950</v>
      </c>
      <c r="M26" s="19">
        <f>SUM(M27:M32)</f>
        <v>3250</v>
      </c>
    </row>
    <row r="27" spans="3:15">
      <c r="C27" s="57"/>
      <c r="D27" s="6">
        <v>150</v>
      </c>
      <c r="E27" s="6" t="s">
        <v>34</v>
      </c>
      <c r="F27" s="6">
        <v>5</v>
      </c>
      <c r="G27" s="6"/>
      <c r="H27" s="6"/>
      <c r="I27" s="6">
        <f>_xlfn.XLOOKUP(E27,道具表!$B:$B,道具表!$E:$E)</f>
        <v>100</v>
      </c>
      <c r="J27" s="6">
        <f>_xlfn.XLOOKUP(G27,道具表!$B:$B,道具表!$E:$E)</f>
        <v>0</v>
      </c>
      <c r="K27" s="6">
        <f t="shared" ref="K26:K32" si="3">I27*F27+J27*H27</f>
        <v>500</v>
      </c>
      <c r="L27" s="19"/>
      <c r="M27" s="19">
        <f>D27</f>
        <v>150</v>
      </c>
      <c r="O27" s="55">
        <f>12960+200*300</f>
        <v>72960</v>
      </c>
    </row>
    <row r="28" spans="3:15">
      <c r="C28" s="57"/>
      <c r="D28" s="6">
        <v>400</v>
      </c>
      <c r="E28" s="6" t="s">
        <v>34</v>
      </c>
      <c r="F28" s="6">
        <v>10</v>
      </c>
      <c r="G28" s="6"/>
      <c r="H28" s="6"/>
      <c r="I28" s="6">
        <f>_xlfn.XLOOKUP(E28,道具表!$B:$B,道具表!$E:$E)</f>
        <v>100</v>
      </c>
      <c r="J28" s="6">
        <f>_xlfn.XLOOKUP(G28,道具表!$B:$B,道具表!$E:$E)</f>
        <v>0</v>
      </c>
      <c r="K28" s="6">
        <f t="shared" si="3"/>
        <v>1000</v>
      </c>
      <c r="L28" s="19"/>
      <c r="M28" s="19">
        <f t="shared" ref="M28:M31" si="4">D28-(F27*10)-D27</f>
        <v>200</v>
      </c>
      <c r="O28" s="55">
        <f>O27/6480</f>
        <v>11.2592592592593</v>
      </c>
    </row>
    <row r="29" spans="3:13">
      <c r="C29" s="57"/>
      <c r="D29" s="6">
        <v>800</v>
      </c>
      <c r="E29" s="6" t="s">
        <v>34</v>
      </c>
      <c r="F29" s="6">
        <v>15</v>
      </c>
      <c r="G29" s="6"/>
      <c r="H29" s="6"/>
      <c r="I29" s="6">
        <f>_xlfn.XLOOKUP(E29,道具表!$B:$B,道具表!$E:$E)</f>
        <v>100</v>
      </c>
      <c r="J29" s="6">
        <f>_xlfn.XLOOKUP(G29,道具表!$B:$B,道具表!$E:$E)</f>
        <v>0</v>
      </c>
      <c r="K29" s="6">
        <f t="shared" si="3"/>
        <v>1500</v>
      </c>
      <c r="L29" s="19"/>
      <c r="M29" s="19">
        <f t="shared" si="4"/>
        <v>300</v>
      </c>
    </row>
    <row r="30" spans="3:13">
      <c r="C30" s="57"/>
      <c r="D30" s="6">
        <v>1400</v>
      </c>
      <c r="E30" s="6" t="s">
        <v>34</v>
      </c>
      <c r="F30" s="6">
        <v>30</v>
      </c>
      <c r="G30" s="6"/>
      <c r="H30" s="6"/>
      <c r="I30" s="6">
        <f>_xlfn.XLOOKUP(E30,道具表!$B:$B,道具表!$E:$E)</f>
        <v>100</v>
      </c>
      <c r="J30" s="6">
        <f>_xlfn.XLOOKUP(G30,道具表!$B:$B,道具表!$E:$E)</f>
        <v>0</v>
      </c>
      <c r="K30" s="6">
        <f t="shared" si="3"/>
        <v>3000</v>
      </c>
      <c r="L30" s="19"/>
      <c r="M30" s="19">
        <f t="shared" si="4"/>
        <v>450</v>
      </c>
    </row>
    <row r="31" spans="3:13">
      <c r="C31" s="57"/>
      <c r="D31" s="6">
        <v>2500</v>
      </c>
      <c r="E31" s="6" t="s">
        <v>320</v>
      </c>
      <c r="F31" s="6">
        <v>1</v>
      </c>
      <c r="G31" s="6" t="s">
        <v>34</v>
      </c>
      <c r="H31" s="6">
        <v>15</v>
      </c>
      <c r="I31" s="6">
        <f>_xlfn.XLOOKUP(E31,道具表!$B:$B,道具表!$E:$E)</f>
        <v>10000</v>
      </c>
      <c r="J31" s="6">
        <f>_xlfn.XLOOKUP(G31,道具表!$B:$B,道具表!$E:$E)</f>
        <v>100</v>
      </c>
      <c r="K31" s="6">
        <f t="shared" si="3"/>
        <v>11500</v>
      </c>
      <c r="L31" s="19"/>
      <c r="M31" s="19">
        <f t="shared" si="4"/>
        <v>800</v>
      </c>
    </row>
    <row r="32" spans="3:13">
      <c r="C32" s="58"/>
      <c r="D32" s="6">
        <v>4000</v>
      </c>
      <c r="E32" s="6" t="s">
        <v>319</v>
      </c>
      <c r="F32" s="6">
        <v>1</v>
      </c>
      <c r="G32" s="6" t="s">
        <v>260</v>
      </c>
      <c r="H32" s="6">
        <v>1</v>
      </c>
      <c r="I32" s="6">
        <f>_xlfn.XLOOKUP(E32,道具表!$B:$B,道具表!$E:$E)</f>
        <v>25000</v>
      </c>
      <c r="J32" s="6">
        <f>_xlfn.XLOOKUP(G32,道具表!$B:$B,道具表!$E:$E)</f>
        <v>19916</v>
      </c>
      <c r="K32" s="6">
        <f t="shared" si="3"/>
        <v>44916</v>
      </c>
      <c r="L32" s="19"/>
      <c r="M32" s="19">
        <f>D32-(H31*10)-D31</f>
        <v>1350</v>
      </c>
    </row>
    <row r="35" spans="3:14">
      <c r="C35" s="6" t="s">
        <v>951</v>
      </c>
      <c r="D35" s="6" t="s">
        <v>338</v>
      </c>
      <c r="E35" s="6" t="s">
        <v>952</v>
      </c>
      <c r="F35" s="6" t="s">
        <v>815</v>
      </c>
      <c r="G35" s="6" t="s">
        <v>942</v>
      </c>
      <c r="H35" s="6" t="s">
        <v>816</v>
      </c>
      <c r="I35" s="6" t="s">
        <v>943</v>
      </c>
      <c r="J35" s="6" t="s">
        <v>339</v>
      </c>
      <c r="K35" s="6" t="s">
        <v>340</v>
      </c>
      <c r="L35" s="6" t="s">
        <v>341</v>
      </c>
      <c r="M35" s="6" t="s">
        <v>895</v>
      </c>
      <c r="N35" s="6" t="s">
        <v>342</v>
      </c>
    </row>
    <row r="36" spans="3:14">
      <c r="C36" s="6"/>
      <c r="D36" s="6" t="s">
        <v>953</v>
      </c>
      <c r="E36" s="7">
        <v>1</v>
      </c>
      <c r="F36" s="6" t="s">
        <v>15</v>
      </c>
      <c r="G36" s="6">
        <v>1</v>
      </c>
      <c r="H36" s="6"/>
      <c r="I36" s="6"/>
      <c r="J36" s="6">
        <f>_xlfn.XLOOKUP(F36,道具表!$B:$B,道具表!$E:$E)</f>
        <v>0</v>
      </c>
      <c r="K36" s="6"/>
      <c r="L36" s="6">
        <f>K36*I36+J36*G36</f>
        <v>0</v>
      </c>
      <c r="M36" s="11"/>
      <c r="N36" s="6"/>
    </row>
    <row r="37" spans="3:14">
      <c r="C37" s="6"/>
      <c r="D37" s="6">
        <v>30</v>
      </c>
      <c r="E37" s="7">
        <v>1</v>
      </c>
      <c r="F37" s="6" t="s">
        <v>34</v>
      </c>
      <c r="G37" s="6">
        <v>12</v>
      </c>
      <c r="H37" s="6"/>
      <c r="I37" s="6"/>
      <c r="J37" s="6">
        <f>_xlfn.XLOOKUP(F37,道具表!$B:$B,道具表!$E:$E)</f>
        <v>100</v>
      </c>
      <c r="K37" s="6">
        <f>_xlfn.XLOOKUP(H37,道具表!$B:$B,道具表!$E:$E)</f>
        <v>0</v>
      </c>
      <c r="L37" s="6">
        <f t="shared" ref="L37:L42" si="5">K37*I37+J37*G37</f>
        <v>1200</v>
      </c>
      <c r="M37" s="11">
        <f t="shared" ref="M37:M42" si="6">L37/(D37*10)</f>
        <v>4</v>
      </c>
      <c r="N37" s="59">
        <f t="shared" ref="N37:N42" si="7">10/M37</f>
        <v>2.5</v>
      </c>
    </row>
    <row r="38" spans="3:14">
      <c r="C38" s="6"/>
      <c r="D38" s="6">
        <v>68</v>
      </c>
      <c r="E38" s="7">
        <v>1</v>
      </c>
      <c r="F38" s="6" t="s">
        <v>34</v>
      </c>
      <c r="G38" s="6">
        <v>25</v>
      </c>
      <c r="H38" s="6"/>
      <c r="I38" s="6"/>
      <c r="J38" s="6">
        <f>_xlfn.XLOOKUP(F38,道具表!$B:$B,道具表!$E:$E)</f>
        <v>100</v>
      </c>
      <c r="K38" s="6">
        <f>_xlfn.XLOOKUP(H38,道具表!$B:$B,道具表!$E:$E)</f>
        <v>0</v>
      </c>
      <c r="L38" s="6">
        <f t="shared" si="5"/>
        <v>2500</v>
      </c>
      <c r="M38" s="11">
        <f t="shared" si="6"/>
        <v>3.67647058823529</v>
      </c>
      <c r="N38" s="59">
        <f t="shared" si="7"/>
        <v>2.72</v>
      </c>
    </row>
    <row r="39" spans="3:14">
      <c r="C39" s="6"/>
      <c r="D39" s="6">
        <v>128</v>
      </c>
      <c r="E39" s="7">
        <v>2</v>
      </c>
      <c r="F39" s="6" t="s">
        <v>34</v>
      </c>
      <c r="G39" s="6">
        <v>50</v>
      </c>
      <c r="H39" s="6"/>
      <c r="I39" s="6"/>
      <c r="J39" s="6">
        <f>_xlfn.XLOOKUP(F39,道具表!$B:$B,道具表!$E:$E)</f>
        <v>100</v>
      </c>
      <c r="K39" s="6">
        <f>_xlfn.XLOOKUP(H39,道具表!$B:$B,道具表!$E:$E)</f>
        <v>0</v>
      </c>
      <c r="L39" s="6">
        <f t="shared" si="5"/>
        <v>5000</v>
      </c>
      <c r="M39" s="11">
        <f t="shared" si="6"/>
        <v>3.90625</v>
      </c>
      <c r="N39" s="59">
        <f t="shared" si="7"/>
        <v>2.56</v>
      </c>
    </row>
    <row r="40" spans="3:14">
      <c r="C40" s="6"/>
      <c r="D40" s="6">
        <v>198</v>
      </c>
      <c r="E40" s="7">
        <v>2</v>
      </c>
      <c r="F40" s="6" t="s">
        <v>34</v>
      </c>
      <c r="G40" s="6">
        <v>80</v>
      </c>
      <c r="H40" s="6"/>
      <c r="I40" s="6"/>
      <c r="J40" s="6">
        <f>_xlfn.XLOOKUP(F40,道具表!$B:$B,道具表!$E:$E)</f>
        <v>100</v>
      </c>
      <c r="K40" s="6">
        <f>_xlfn.XLOOKUP(H40,道具表!$B:$B,道具表!$E:$E)</f>
        <v>0</v>
      </c>
      <c r="L40" s="6">
        <f t="shared" si="5"/>
        <v>8000</v>
      </c>
      <c r="M40" s="11">
        <f t="shared" si="6"/>
        <v>4.04040404040404</v>
      </c>
      <c r="N40" s="59">
        <f t="shared" si="7"/>
        <v>2.475</v>
      </c>
    </row>
    <row r="41" spans="3:14">
      <c r="C41" s="6"/>
      <c r="D41" s="6">
        <v>328</v>
      </c>
      <c r="E41" s="7">
        <v>5</v>
      </c>
      <c r="F41" s="6" t="s">
        <v>34</v>
      </c>
      <c r="G41" s="6">
        <v>140</v>
      </c>
      <c r="H41" s="6"/>
      <c r="I41" s="6"/>
      <c r="J41" s="6">
        <f>_xlfn.XLOOKUP(F41,道具表!$B:$B,道具表!$E:$E)</f>
        <v>100</v>
      </c>
      <c r="K41" s="6">
        <f>_xlfn.XLOOKUP(H41,道具表!$B:$B,道具表!$E:$E)</f>
        <v>0</v>
      </c>
      <c r="L41" s="6">
        <f t="shared" si="5"/>
        <v>14000</v>
      </c>
      <c r="M41" s="11">
        <f t="shared" si="6"/>
        <v>4.26829268292683</v>
      </c>
      <c r="N41" s="59">
        <f t="shared" si="7"/>
        <v>2.34285714285714</v>
      </c>
    </row>
    <row r="42" spans="3:14">
      <c r="C42" s="6"/>
      <c r="D42" s="6">
        <v>648</v>
      </c>
      <c r="E42" s="7">
        <v>5</v>
      </c>
      <c r="F42" s="6" t="s">
        <v>34</v>
      </c>
      <c r="G42" s="6">
        <v>280</v>
      </c>
      <c r="H42" s="6"/>
      <c r="I42" s="6"/>
      <c r="J42" s="6">
        <f>_xlfn.XLOOKUP(F42,道具表!$B:$B,道具表!$E:$E)</f>
        <v>100</v>
      </c>
      <c r="K42" s="6">
        <f>_xlfn.XLOOKUP(H42,道具表!$B:$B,道具表!$E:$E)</f>
        <v>0</v>
      </c>
      <c r="L42" s="6">
        <f t="shared" si="5"/>
        <v>28000</v>
      </c>
      <c r="M42" s="11">
        <f t="shared" si="6"/>
        <v>4.32098765432099</v>
      </c>
      <c r="N42" s="59">
        <f t="shared" si="7"/>
        <v>2.31428571428571</v>
      </c>
    </row>
    <row r="45" spans="11:11">
      <c r="K45" s="55" t="s">
        <v>954</v>
      </c>
    </row>
    <row r="47" spans="13:13">
      <c r="M47" s="55">
        <f>12*10*5</f>
        <v>600</v>
      </c>
    </row>
    <row r="48" spans="13:18">
      <c r="M48" s="55">
        <v>300</v>
      </c>
      <c r="R48"/>
    </row>
    <row r="49" spans="3:18">
      <c r="C49" s="6" t="s">
        <v>941</v>
      </c>
      <c r="D49" s="6" t="s">
        <v>378</v>
      </c>
      <c r="E49" s="6" t="s">
        <v>815</v>
      </c>
      <c r="F49" s="6" t="str">
        <f t="shared" ref="F49:F51" si="8">IF(F6="","",F6&amp;",")</f>
        <v>数量1,</v>
      </c>
      <c r="G49" s="6" t="s">
        <v>816</v>
      </c>
      <c r="H49" s="6" t="str">
        <f t="shared" ref="H49:H75" si="9">IF(H6="","",H6&amp;",")</f>
        <v>数量2,</v>
      </c>
      <c r="I49" s="6" t="s">
        <v>327</v>
      </c>
      <c r="J49" s="6"/>
      <c r="K49" s="6"/>
      <c r="R49"/>
    </row>
    <row r="50" spans="3:18">
      <c r="C50" s="6"/>
      <c r="D50" s="6">
        <f>D7</f>
        <v>150</v>
      </c>
      <c r="E50" s="6" t="str">
        <f>IF(E7="","",(_xlfn.XLOOKUP(E7,道具表!$B:$B,道具表!$C:$C)&amp;"|"&amp;_xlfn.XLOOKUP(E7,道具表!$B:$B,道具表!$A:$A)&amp;"|"))</f>
        <v>1|1011|</v>
      </c>
      <c r="F50" s="6" t="str">
        <f t="shared" ref="F50:F75" si="10">IF(F7="","",F7&amp;",")</f>
        <v>5,</v>
      </c>
      <c r="G50" s="6" t="str">
        <f>IF(G7="","",(_xlfn.XLOOKUP(G7,道具表!$B:$B,道具表!$C:$C)&amp;"|"&amp;_xlfn.XLOOKUP(G7,道具表!$B:$B,道具表!$A:$A)&amp;"|"))</f>
        <v/>
      </c>
      <c r="H50" s="6" t="str">
        <f t="shared" si="9"/>
        <v/>
      </c>
      <c r="I50" s="54" t="str">
        <f>LEFT(A50&amp;B50&amp;C50&amp;D50&amp;E50&amp;F50&amp;G50&amp;H50,LEN(A50&amp;B50&amp;C50&amp;D50&amp;E50&amp;F50&amp;G50&amp;H50)-1)</f>
        <v>1501|1011|5</v>
      </c>
      <c r="J50" s="6"/>
      <c r="K50" s="6"/>
      <c r="M50" s="55">
        <f>200/20</f>
        <v>10</v>
      </c>
      <c r="R50"/>
    </row>
    <row r="51" spans="3:18">
      <c r="C51" s="6"/>
      <c r="D51" s="6">
        <f>D8</f>
        <v>400</v>
      </c>
      <c r="E51" s="6" t="str">
        <f>IF(E8="","",(_xlfn.XLOOKUP(E8,道具表!$B:$B,道具表!$C:$C)&amp;"|"&amp;_xlfn.XLOOKUP(E8,道具表!$B:$B,道具表!$A:$A)&amp;"|"))</f>
        <v>1|1011|</v>
      </c>
      <c r="F51" s="6" t="str">
        <f t="shared" si="10"/>
        <v>10,</v>
      </c>
      <c r="G51" s="6" t="str">
        <f>IF(G8="","",(_xlfn.XLOOKUP(G8,道具表!$B:$B,道具表!$C:$C)&amp;"|"&amp;_xlfn.XLOOKUP(G8,道具表!$B:$B,道具表!$A:$A)&amp;"|"))</f>
        <v/>
      </c>
      <c r="H51" s="6" t="str">
        <f t="shared" si="9"/>
        <v/>
      </c>
      <c r="I51" s="54" t="str">
        <f t="shared" ref="I51:I61" si="11">LEFT(A51&amp;B51&amp;C51&amp;D51&amp;E51&amp;F51&amp;G51&amp;H51,LEN(A51&amp;B51&amp;C51&amp;D51&amp;E51&amp;F51&amp;G51&amp;H51)-1)</f>
        <v>4001|1011|10</v>
      </c>
      <c r="J51" s="6"/>
      <c r="K51" s="6"/>
      <c r="M51" s="55">
        <f>300/20</f>
        <v>15</v>
      </c>
      <c r="R51"/>
    </row>
    <row r="52" spans="3:18">
      <c r="C52" s="6"/>
      <c r="D52" s="6">
        <f>D9</f>
        <v>800</v>
      </c>
      <c r="E52" s="6" t="str">
        <f>IF(E9="","",(_xlfn.XLOOKUP(E9,道具表!$B:$B,道具表!$C:$C)&amp;"|"&amp;_xlfn.XLOOKUP(E9,道具表!$B:$B,道具表!$A:$A)&amp;"|"))</f>
        <v>1|1011|</v>
      </c>
      <c r="F52" s="6" t="str">
        <f t="shared" si="10"/>
        <v>15,</v>
      </c>
      <c r="G52" s="6" t="str">
        <f>IF(G9="","",(_xlfn.XLOOKUP(G9,道具表!$B:$B,道具表!$C:$C)&amp;"|"&amp;_xlfn.XLOOKUP(G9,道具表!$B:$B,道具表!$A:$A)&amp;"|"))</f>
        <v/>
      </c>
      <c r="H52" s="6" t="str">
        <f t="shared" si="9"/>
        <v/>
      </c>
      <c r="I52" s="54" t="str">
        <f t="shared" si="11"/>
        <v>8001|1011|15</v>
      </c>
      <c r="J52" s="6"/>
      <c r="K52" s="6"/>
      <c r="R52"/>
    </row>
    <row r="53" spans="3:18">
      <c r="C53" s="6"/>
      <c r="D53" s="6">
        <f>D10</f>
        <v>1400</v>
      </c>
      <c r="E53" s="6" t="str">
        <f>IF(E10="","",(_xlfn.XLOOKUP(E10,道具表!$B:$B,道具表!$C:$C)&amp;"|"&amp;_xlfn.XLOOKUP(E10,道具表!$B:$B,道具表!$A:$A)&amp;"|"))</f>
        <v>1|1011|</v>
      </c>
      <c r="F53" s="6" t="str">
        <f t="shared" si="10"/>
        <v>30,</v>
      </c>
      <c r="G53" s="6" t="str">
        <f>IF(G10="","",(_xlfn.XLOOKUP(G10,道具表!$B:$B,道具表!$C:$C)&amp;"|"&amp;_xlfn.XLOOKUP(G10,道具表!$B:$B,道具表!$A:$A)&amp;"|"))</f>
        <v/>
      </c>
      <c r="H53" s="6" t="str">
        <f t="shared" si="9"/>
        <v/>
      </c>
      <c r="I53" s="54" t="str">
        <f t="shared" si="11"/>
        <v>14001|1011|30</v>
      </c>
      <c r="J53" s="6"/>
      <c r="K53" s="6"/>
      <c r="R53"/>
    </row>
    <row r="54" spans="3:11">
      <c r="C54" s="6"/>
      <c r="D54" s="6">
        <f>D11</f>
        <v>2500</v>
      </c>
      <c r="E54" s="6" t="str">
        <f>IF(E11="","",(_xlfn.XLOOKUP(E11,道具表!$B:$B,道具表!$C:$C)&amp;"|"&amp;_xlfn.XLOOKUP(E11,道具表!$B:$B,道具表!$A:$A)&amp;"|"))</f>
        <v>16|402|</v>
      </c>
      <c r="F54" s="6" t="str">
        <f t="shared" si="10"/>
        <v>1,</v>
      </c>
      <c r="G54" s="6" t="str">
        <f>IF(G11="","",(_xlfn.XLOOKUP(G11,道具表!$B:$B,道具表!$C:$C)&amp;"|"&amp;_xlfn.XLOOKUP(G11,道具表!$B:$B,道具表!$A:$A)&amp;"|"))</f>
        <v>1|1011|</v>
      </c>
      <c r="H54" s="6" t="str">
        <f t="shared" si="9"/>
        <v>15,</v>
      </c>
      <c r="I54" s="54" t="str">
        <f t="shared" si="11"/>
        <v>250016|402|1,1|1011|15</v>
      </c>
      <c r="J54" s="6"/>
      <c r="K54" s="6"/>
    </row>
    <row r="55" spans="3:11">
      <c r="C55" s="62" t="s">
        <v>945</v>
      </c>
      <c r="D55" s="6" t="str">
        <f>D12</f>
        <v>积分</v>
      </c>
      <c r="E55" s="6" t="s">
        <v>815</v>
      </c>
      <c r="F55" s="6" t="str">
        <f t="shared" si="10"/>
        <v>数量1,</v>
      </c>
      <c r="G55" s="6" t="s">
        <v>816</v>
      </c>
      <c r="H55" s="6" t="str">
        <f t="shared" si="9"/>
        <v>数量2,</v>
      </c>
      <c r="I55" s="6" t="s">
        <v>327</v>
      </c>
      <c r="J55" s="6"/>
      <c r="K55" s="6"/>
    </row>
    <row r="56" spans="3:11">
      <c r="C56" s="63"/>
      <c r="D56" s="6">
        <f>D13</f>
        <v>150</v>
      </c>
      <c r="E56" s="6" t="str">
        <f>IF(E13="","",(_xlfn.XLOOKUP(E13,道具表!$B:$B,道具表!$C:$C)&amp;"|"&amp;_xlfn.XLOOKUP(E13,道具表!$B:$B,道具表!$A:$A)&amp;"|"))</f>
        <v>1|1011|</v>
      </c>
      <c r="F56" s="6" t="str">
        <f t="shared" si="10"/>
        <v>5,</v>
      </c>
      <c r="G56" s="6" t="str">
        <f>IF(G13="","",(_xlfn.XLOOKUP(G13,道具表!$B:$B,道具表!$C:$C)&amp;"|"&amp;_xlfn.XLOOKUP(G13,道具表!$B:$B,道具表!$A:$A)&amp;"|"))</f>
        <v/>
      </c>
      <c r="H56" s="6" t="str">
        <f t="shared" si="9"/>
        <v/>
      </c>
      <c r="I56" s="54" t="str">
        <f t="shared" si="11"/>
        <v>1501|1011|5</v>
      </c>
      <c r="J56" s="6"/>
      <c r="K56" s="6"/>
    </row>
    <row r="57" spans="3:11">
      <c r="C57" s="63"/>
      <c r="D57" s="6">
        <f>D14</f>
        <v>400</v>
      </c>
      <c r="E57" s="6" t="str">
        <f>IF(E14="","",(_xlfn.XLOOKUP(E14,道具表!$B:$B,道具表!$C:$C)&amp;"|"&amp;_xlfn.XLOOKUP(E14,道具表!$B:$B,道具表!$A:$A)&amp;"|"))</f>
        <v>1|1011|</v>
      </c>
      <c r="F57" s="6" t="str">
        <f t="shared" si="10"/>
        <v>10,</v>
      </c>
      <c r="G57" s="6" t="str">
        <f>IF(G14="","",(_xlfn.XLOOKUP(G14,道具表!$B:$B,道具表!$C:$C)&amp;"|"&amp;_xlfn.XLOOKUP(G14,道具表!$B:$B,道具表!$A:$A)&amp;"|"))</f>
        <v/>
      </c>
      <c r="H57" s="6" t="str">
        <f t="shared" si="9"/>
        <v/>
      </c>
      <c r="I57" s="54" t="str">
        <f t="shared" si="11"/>
        <v>4001|1011|10</v>
      </c>
      <c r="J57" s="6"/>
      <c r="K57" s="6"/>
    </row>
    <row r="58" spans="3:11">
      <c r="C58" s="63"/>
      <c r="D58" s="6">
        <f>D15</f>
        <v>800</v>
      </c>
      <c r="E58" s="6" t="str">
        <f>IF(E15="","",(_xlfn.XLOOKUP(E15,道具表!$B:$B,道具表!$C:$C)&amp;"|"&amp;_xlfn.XLOOKUP(E15,道具表!$B:$B,道具表!$A:$A)&amp;"|"))</f>
        <v>1|1011|</v>
      </c>
      <c r="F58" s="6" t="str">
        <f t="shared" si="10"/>
        <v>15,</v>
      </c>
      <c r="G58" s="6" t="str">
        <f>IF(G15="","",(_xlfn.XLOOKUP(G15,道具表!$B:$B,道具表!$C:$C)&amp;"|"&amp;_xlfn.XLOOKUP(G15,道具表!$B:$B,道具表!$A:$A)&amp;"|"))</f>
        <v/>
      </c>
      <c r="H58" s="6" t="str">
        <f t="shared" si="9"/>
        <v/>
      </c>
      <c r="I58" s="54" t="str">
        <f t="shared" si="11"/>
        <v>8001|1011|15</v>
      </c>
      <c r="J58" s="6"/>
      <c r="K58" s="6"/>
    </row>
    <row r="59" spans="3:11">
      <c r="C59" s="63"/>
      <c r="D59" s="6">
        <f>D16</f>
        <v>1400</v>
      </c>
      <c r="E59" s="6" t="str">
        <f>IF(E16="","",(_xlfn.XLOOKUP(E16,道具表!$B:$B,道具表!$C:$C)&amp;"|"&amp;_xlfn.XLOOKUP(E16,道具表!$B:$B,道具表!$A:$A)&amp;"|"))</f>
        <v>1|1011|</v>
      </c>
      <c r="F59" s="6" t="str">
        <f t="shared" si="10"/>
        <v>30,</v>
      </c>
      <c r="G59" s="6" t="str">
        <f>IF(G16="","",(_xlfn.XLOOKUP(G16,道具表!$B:$B,道具表!$C:$C)&amp;"|"&amp;_xlfn.XLOOKUP(G16,道具表!$B:$B,道具表!$A:$A)&amp;"|"))</f>
        <v/>
      </c>
      <c r="H59" s="6" t="str">
        <f t="shared" si="9"/>
        <v/>
      </c>
      <c r="I59" s="54" t="str">
        <f t="shared" si="11"/>
        <v>14001|1011|30</v>
      </c>
      <c r="J59" s="6"/>
      <c r="K59" s="6"/>
    </row>
    <row r="60" spans="3:11">
      <c r="C60" s="63"/>
      <c r="D60" s="6">
        <f>D17</f>
        <v>2500</v>
      </c>
      <c r="E60" s="6" t="str">
        <f>IF(E17="","",(_xlfn.XLOOKUP(E17,道具表!$B:$B,道具表!$C:$C)&amp;"|"&amp;_xlfn.XLOOKUP(E17,道具表!$B:$B,道具表!$A:$A)&amp;"|"))</f>
        <v>16|402|</v>
      </c>
      <c r="F60" s="6" t="str">
        <f t="shared" si="10"/>
        <v>1,</v>
      </c>
      <c r="G60" s="6" t="str">
        <f>IF(G17="","",(_xlfn.XLOOKUP(G17,道具表!$B:$B,道具表!$C:$C)&amp;"|"&amp;_xlfn.XLOOKUP(G17,道具表!$B:$B,道具表!$A:$A)&amp;"|"))</f>
        <v>1|1011|</v>
      </c>
      <c r="H60" s="6" t="str">
        <f t="shared" si="9"/>
        <v>15,</v>
      </c>
      <c r="I60" s="54" t="str">
        <f t="shared" si="11"/>
        <v>250016|402|1,1|1011|15</v>
      </c>
      <c r="J60" s="6"/>
      <c r="K60" s="6"/>
    </row>
    <row r="61" spans="3:11">
      <c r="C61" s="64"/>
      <c r="D61" s="6">
        <f>D18</f>
        <v>4000</v>
      </c>
      <c r="E61" s="6" t="str">
        <f>IF(E18="","",(_xlfn.XLOOKUP(E18,道具表!$B:$B,道具表!$C:$C)&amp;"|"&amp;_xlfn.XLOOKUP(E18,道具表!$B:$B,道具表!$A:$A)&amp;"|"))</f>
        <v>16|401|</v>
      </c>
      <c r="F61" s="6" t="str">
        <f t="shared" si="10"/>
        <v>1,</v>
      </c>
      <c r="G61" s="6" t="str">
        <f>IF(G18="","",(_xlfn.XLOOKUP(G18,道具表!$B:$B,道具表!$C:$C)&amp;"|"&amp;_xlfn.XLOOKUP(G18,道具表!$B:$B,道具表!$A:$A)&amp;"|"))</f>
        <v>10|2006|</v>
      </c>
      <c r="H61" s="6" t="str">
        <f t="shared" si="9"/>
        <v>1,</v>
      </c>
      <c r="I61" s="54" t="str">
        <f t="shared" si="11"/>
        <v>400016|401|1,10|2006|1</v>
      </c>
      <c r="J61" s="6"/>
      <c r="K61" s="6"/>
    </row>
    <row r="62" spans="3:11">
      <c r="C62" s="56" t="s">
        <v>947</v>
      </c>
      <c r="D62" s="6" t="str">
        <f t="shared" ref="D51:D75" si="12">D19</f>
        <v>积分</v>
      </c>
      <c r="E62" s="6" t="s">
        <v>815</v>
      </c>
      <c r="F62" s="6" t="str">
        <f t="shared" si="10"/>
        <v>数量1,</v>
      </c>
      <c r="G62" s="6" t="s">
        <v>816</v>
      </c>
      <c r="H62" s="6" t="str">
        <f t="shared" si="9"/>
        <v>数量2,</v>
      </c>
      <c r="I62" s="6" t="s">
        <v>327</v>
      </c>
      <c r="J62" s="6"/>
      <c r="K62" s="6"/>
    </row>
    <row r="63" spans="3:11">
      <c r="C63" s="57"/>
      <c r="D63" s="6">
        <f t="shared" si="12"/>
        <v>150</v>
      </c>
      <c r="E63" s="6" t="str">
        <f>IF(E20="","",(_xlfn.XLOOKUP(E20,道具表!$B:$B,道具表!$C:$C)&amp;"|"&amp;_xlfn.XLOOKUP(E20,道具表!$B:$B,道具表!$A:$A)&amp;"|"))</f>
        <v>1|1011|</v>
      </c>
      <c r="F63" s="6" t="str">
        <f t="shared" si="10"/>
        <v>5,</v>
      </c>
      <c r="G63" s="6" t="str">
        <f>IF(G20="","",(_xlfn.XLOOKUP(G20,道具表!$B:$B,道具表!$C:$C)&amp;"|"&amp;_xlfn.XLOOKUP(G20,道具表!$B:$B,道具表!$A:$A)&amp;"|"))</f>
        <v/>
      </c>
      <c r="H63" s="6" t="str">
        <f t="shared" si="9"/>
        <v/>
      </c>
      <c r="I63" s="54" t="str">
        <f t="shared" ref="I63:I68" si="13">LEFT(A63&amp;B63&amp;C63&amp;D63&amp;E63&amp;F63&amp;G63&amp;H63,LEN(A63&amp;B63&amp;C63&amp;D63&amp;E63&amp;F63&amp;G63&amp;H63)-1)</f>
        <v>1501|1011|5</v>
      </c>
      <c r="J63" s="6"/>
      <c r="K63" s="6"/>
    </row>
    <row r="64" spans="3:11">
      <c r="C64" s="57"/>
      <c r="D64" s="6">
        <f t="shared" si="12"/>
        <v>400</v>
      </c>
      <c r="E64" s="6" t="str">
        <f>IF(E21="","",(_xlfn.XLOOKUP(E21,道具表!$B:$B,道具表!$C:$C)&amp;"|"&amp;_xlfn.XLOOKUP(E21,道具表!$B:$B,道具表!$A:$A)&amp;"|"))</f>
        <v>1|1011|</v>
      </c>
      <c r="F64" s="6" t="str">
        <f t="shared" si="10"/>
        <v>10,</v>
      </c>
      <c r="G64" s="6" t="str">
        <f>IF(G21="","",(_xlfn.XLOOKUP(G21,道具表!$B:$B,道具表!$C:$C)&amp;"|"&amp;_xlfn.XLOOKUP(G21,道具表!$B:$B,道具表!$A:$A)&amp;"|"))</f>
        <v/>
      </c>
      <c r="H64" s="6" t="str">
        <f t="shared" si="9"/>
        <v/>
      </c>
      <c r="I64" s="54" t="str">
        <f t="shared" si="13"/>
        <v>4001|1011|10</v>
      </c>
      <c r="J64" s="6"/>
      <c r="K64" s="6"/>
    </row>
    <row r="65" spans="3:11">
      <c r="C65" s="57"/>
      <c r="D65" s="6">
        <f t="shared" si="12"/>
        <v>800</v>
      </c>
      <c r="E65" s="6" t="str">
        <f>IF(E22="","",(_xlfn.XLOOKUP(E22,道具表!$B:$B,道具表!$C:$C)&amp;"|"&amp;_xlfn.XLOOKUP(E22,道具表!$B:$B,道具表!$A:$A)&amp;"|"))</f>
        <v>1|1011|</v>
      </c>
      <c r="F65" s="6" t="str">
        <f t="shared" si="10"/>
        <v>15,</v>
      </c>
      <c r="G65" s="6" t="str">
        <f>IF(G22="","",(_xlfn.XLOOKUP(G22,道具表!$B:$B,道具表!$C:$C)&amp;"|"&amp;_xlfn.XLOOKUP(G22,道具表!$B:$B,道具表!$A:$A)&amp;"|"))</f>
        <v/>
      </c>
      <c r="H65" s="6" t="str">
        <f t="shared" si="9"/>
        <v/>
      </c>
      <c r="I65" s="54" t="str">
        <f t="shared" si="13"/>
        <v>8001|1011|15</v>
      </c>
      <c r="J65" s="6"/>
      <c r="K65" s="6"/>
    </row>
    <row r="66" spans="3:11">
      <c r="C66" s="57"/>
      <c r="D66" s="6">
        <f t="shared" si="12"/>
        <v>1400</v>
      </c>
      <c r="E66" s="6" t="str">
        <f>IF(E23="","",(_xlfn.XLOOKUP(E23,道具表!$B:$B,道具表!$C:$C)&amp;"|"&amp;_xlfn.XLOOKUP(E23,道具表!$B:$B,道具表!$A:$A)&amp;"|"))</f>
        <v>1|1011|</v>
      </c>
      <c r="F66" s="6" t="str">
        <f t="shared" si="10"/>
        <v>30,</v>
      </c>
      <c r="G66" s="6" t="str">
        <f>IF(G23="","",(_xlfn.XLOOKUP(G23,道具表!$B:$B,道具表!$C:$C)&amp;"|"&amp;_xlfn.XLOOKUP(G23,道具表!$B:$B,道具表!$A:$A)&amp;"|"))</f>
        <v/>
      </c>
      <c r="H66" s="6" t="str">
        <f t="shared" si="9"/>
        <v/>
      </c>
      <c r="I66" s="54" t="str">
        <f t="shared" si="13"/>
        <v>14001|1011|30</v>
      </c>
      <c r="J66" s="6"/>
      <c r="K66" s="6"/>
    </row>
    <row r="67" spans="3:11">
      <c r="C67" s="57"/>
      <c r="D67" s="6">
        <f t="shared" si="12"/>
        <v>2500</v>
      </c>
      <c r="E67" s="6" t="str">
        <f>IF(E24="","",(_xlfn.XLOOKUP(E24,道具表!$B:$B,道具表!$C:$C)&amp;"|"&amp;_xlfn.XLOOKUP(E24,道具表!$B:$B,道具表!$A:$A)&amp;"|"))</f>
        <v>16|402|</v>
      </c>
      <c r="F67" s="6" t="str">
        <f t="shared" si="10"/>
        <v>1,</v>
      </c>
      <c r="G67" s="6" t="str">
        <f>IF(G24="","",(_xlfn.XLOOKUP(G24,道具表!$B:$B,道具表!$C:$C)&amp;"|"&amp;_xlfn.XLOOKUP(G24,道具表!$B:$B,道具表!$A:$A)&amp;"|"))</f>
        <v>1|1011|</v>
      </c>
      <c r="H67" s="6" t="str">
        <f t="shared" si="9"/>
        <v>15,</v>
      </c>
      <c r="I67" s="54" t="str">
        <f t="shared" si="13"/>
        <v>250016|402|1,1|1011|15</v>
      </c>
      <c r="J67" s="6"/>
      <c r="K67" s="6"/>
    </row>
    <row r="68" spans="3:11">
      <c r="C68" s="57"/>
      <c r="D68" s="6">
        <f t="shared" si="12"/>
        <v>4000</v>
      </c>
      <c r="E68" s="6" t="str">
        <f>IF(E25="","",(_xlfn.XLOOKUP(E25,道具表!$B:$B,道具表!$C:$C)&amp;"|"&amp;_xlfn.XLOOKUP(E25,道具表!$B:$B,道具表!$A:$A)&amp;"|"))</f>
        <v>16|401|</v>
      </c>
      <c r="F68" s="6" t="str">
        <f t="shared" si="10"/>
        <v>1,</v>
      </c>
      <c r="G68" s="6" t="str">
        <f>IF(G25="","",(_xlfn.XLOOKUP(G25,道具表!$B:$B,道具表!$C:$C)&amp;"|"&amp;_xlfn.XLOOKUP(G25,道具表!$B:$B,道具表!$A:$A)&amp;"|"))</f>
        <v>10|2006|</v>
      </c>
      <c r="H68" s="6" t="str">
        <f t="shared" si="9"/>
        <v>1,</v>
      </c>
      <c r="I68" s="54" t="str">
        <f t="shared" si="13"/>
        <v>400016|401|1,10|2006|1</v>
      </c>
      <c r="J68" s="6"/>
      <c r="K68" s="6"/>
    </row>
    <row r="69" spans="3:11">
      <c r="C69" s="56" t="s">
        <v>949</v>
      </c>
      <c r="D69" s="6" t="str">
        <f t="shared" si="12"/>
        <v>积分</v>
      </c>
      <c r="E69" s="6" t="s">
        <v>815</v>
      </c>
      <c r="F69" s="6" t="str">
        <f t="shared" si="10"/>
        <v>数量1,</v>
      </c>
      <c r="G69" s="6" t="s">
        <v>816</v>
      </c>
      <c r="H69" s="6" t="str">
        <f t="shared" si="9"/>
        <v>数量2,</v>
      </c>
      <c r="I69" s="6" t="s">
        <v>327</v>
      </c>
      <c r="J69" s="6"/>
      <c r="K69" s="6"/>
    </row>
    <row r="70" spans="3:11">
      <c r="C70" s="57"/>
      <c r="D70" s="6">
        <f t="shared" si="12"/>
        <v>150</v>
      </c>
      <c r="E70" s="6" t="str">
        <f>IF(E27="","",(_xlfn.XLOOKUP(E27,道具表!$B:$B,道具表!$C:$C)&amp;"|"&amp;_xlfn.XLOOKUP(E27,道具表!$B:$B,道具表!$A:$A)&amp;"|"))</f>
        <v>1|1011|</v>
      </c>
      <c r="F70" s="6" t="str">
        <f t="shared" si="10"/>
        <v>5,</v>
      </c>
      <c r="G70" s="6" t="str">
        <f>IF(G27="","",(_xlfn.XLOOKUP(G27,道具表!$B:$B,道具表!$C:$C)&amp;"|"&amp;_xlfn.XLOOKUP(G27,道具表!$B:$B,道具表!$A:$A)&amp;"|"))</f>
        <v/>
      </c>
      <c r="H70" s="6" t="str">
        <f t="shared" si="9"/>
        <v/>
      </c>
      <c r="I70" s="54" t="str">
        <f t="shared" ref="I70:I75" si="14">LEFT(A70&amp;B70&amp;C70&amp;D70&amp;E70&amp;F70&amp;G70&amp;H70,LEN(A70&amp;B70&amp;C70&amp;D70&amp;E70&amp;F70&amp;G70&amp;H70)-1)</f>
        <v>1501|1011|5</v>
      </c>
      <c r="J70" s="6"/>
      <c r="K70" s="6"/>
    </row>
    <row r="71" spans="3:11">
      <c r="C71" s="57"/>
      <c r="D71" s="6">
        <f t="shared" si="12"/>
        <v>400</v>
      </c>
      <c r="E71" s="6" t="str">
        <f>IF(E28="","",(_xlfn.XLOOKUP(E28,道具表!$B:$B,道具表!$C:$C)&amp;"|"&amp;_xlfn.XLOOKUP(E28,道具表!$B:$B,道具表!$A:$A)&amp;"|"))</f>
        <v>1|1011|</v>
      </c>
      <c r="F71" s="6" t="str">
        <f t="shared" si="10"/>
        <v>10,</v>
      </c>
      <c r="G71" s="6" t="str">
        <f>IF(G28="","",(_xlfn.XLOOKUP(G28,道具表!$B:$B,道具表!$C:$C)&amp;"|"&amp;_xlfn.XLOOKUP(G28,道具表!$B:$B,道具表!$A:$A)&amp;"|"))</f>
        <v/>
      </c>
      <c r="H71" s="6" t="str">
        <f t="shared" si="9"/>
        <v/>
      </c>
      <c r="I71" s="54" t="str">
        <f t="shared" si="14"/>
        <v>4001|1011|10</v>
      </c>
      <c r="J71" s="6"/>
      <c r="K71" s="6"/>
    </row>
    <row r="72" spans="3:11">
      <c r="C72" s="57"/>
      <c r="D72" s="6">
        <f t="shared" si="12"/>
        <v>800</v>
      </c>
      <c r="E72" s="6" t="str">
        <f>IF(E29="","",(_xlfn.XLOOKUP(E29,道具表!$B:$B,道具表!$C:$C)&amp;"|"&amp;_xlfn.XLOOKUP(E29,道具表!$B:$B,道具表!$A:$A)&amp;"|"))</f>
        <v>1|1011|</v>
      </c>
      <c r="F72" s="6" t="str">
        <f t="shared" si="10"/>
        <v>15,</v>
      </c>
      <c r="G72" s="6" t="str">
        <f>IF(G29="","",(_xlfn.XLOOKUP(G29,道具表!$B:$B,道具表!$C:$C)&amp;"|"&amp;_xlfn.XLOOKUP(G29,道具表!$B:$B,道具表!$A:$A)&amp;"|"))</f>
        <v/>
      </c>
      <c r="H72" s="6" t="str">
        <f t="shared" si="9"/>
        <v/>
      </c>
      <c r="I72" s="54" t="str">
        <f t="shared" si="14"/>
        <v>8001|1011|15</v>
      </c>
      <c r="J72" s="6"/>
      <c r="K72" s="6"/>
    </row>
    <row r="73" spans="3:11">
      <c r="C73" s="57"/>
      <c r="D73" s="6">
        <f t="shared" si="12"/>
        <v>1400</v>
      </c>
      <c r="E73" s="6" t="str">
        <f>IF(E30="","",(_xlfn.XLOOKUP(E30,道具表!$B:$B,道具表!$C:$C)&amp;"|"&amp;_xlfn.XLOOKUP(E30,道具表!$B:$B,道具表!$A:$A)&amp;"|"))</f>
        <v>1|1011|</v>
      </c>
      <c r="F73" s="6" t="str">
        <f t="shared" si="10"/>
        <v>30,</v>
      </c>
      <c r="G73" s="6" t="str">
        <f>IF(G30="","",(_xlfn.XLOOKUP(G30,道具表!$B:$B,道具表!$C:$C)&amp;"|"&amp;_xlfn.XLOOKUP(G30,道具表!$B:$B,道具表!$A:$A)&amp;"|"))</f>
        <v/>
      </c>
      <c r="H73" s="6" t="str">
        <f t="shared" si="9"/>
        <v/>
      </c>
      <c r="I73" s="54" t="str">
        <f t="shared" si="14"/>
        <v>14001|1011|30</v>
      </c>
      <c r="J73" s="6"/>
      <c r="K73" s="6"/>
    </row>
    <row r="74" spans="3:11">
      <c r="C74" s="57"/>
      <c r="D74" s="6">
        <f t="shared" si="12"/>
        <v>2500</v>
      </c>
      <c r="E74" s="6" t="str">
        <f>IF(E31="","",(_xlfn.XLOOKUP(E31,道具表!$B:$B,道具表!$C:$C)&amp;"|"&amp;_xlfn.XLOOKUP(E31,道具表!$B:$B,道具表!$A:$A)&amp;"|"))</f>
        <v>16|402|</v>
      </c>
      <c r="F74" s="6" t="str">
        <f t="shared" si="10"/>
        <v>1,</v>
      </c>
      <c r="G74" s="6" t="str">
        <f>IF(G31="","",(_xlfn.XLOOKUP(G31,道具表!$B:$B,道具表!$C:$C)&amp;"|"&amp;_xlfn.XLOOKUP(G31,道具表!$B:$B,道具表!$A:$A)&amp;"|"))</f>
        <v>1|1011|</v>
      </c>
      <c r="H74" s="6" t="str">
        <f t="shared" si="9"/>
        <v>15,</v>
      </c>
      <c r="I74" s="54" t="str">
        <f t="shared" si="14"/>
        <v>250016|402|1,1|1011|15</v>
      </c>
      <c r="J74" s="6"/>
      <c r="K74" s="6"/>
    </row>
    <row r="75" spans="3:11">
      <c r="C75" s="58"/>
      <c r="D75" s="6">
        <f t="shared" si="12"/>
        <v>4000</v>
      </c>
      <c r="E75" s="6" t="str">
        <f>IF(E32="","",(_xlfn.XLOOKUP(E32,道具表!$B:$B,道具表!$C:$C)&amp;"|"&amp;_xlfn.XLOOKUP(E32,道具表!$B:$B,道具表!$A:$A)&amp;"|"))</f>
        <v>16|401|</v>
      </c>
      <c r="F75" s="6" t="str">
        <f t="shared" si="10"/>
        <v>1,</v>
      </c>
      <c r="G75" s="6" t="str">
        <f>IF(G32="","",(_xlfn.XLOOKUP(G32,道具表!$B:$B,道具表!$C:$C)&amp;"|"&amp;_xlfn.XLOOKUP(G32,道具表!$B:$B,道具表!$A:$A)&amp;"|"))</f>
        <v>10|2006|</v>
      </c>
      <c r="H75" s="6" t="str">
        <f t="shared" si="9"/>
        <v>1,</v>
      </c>
      <c r="I75" s="54" t="str">
        <f t="shared" si="14"/>
        <v>400016|401|1,10|2006|1</v>
      </c>
      <c r="J75" s="6"/>
      <c r="K75" s="6"/>
    </row>
    <row r="78" spans="3:12">
      <c r="C78" s="6" t="s">
        <v>951</v>
      </c>
      <c r="D78" s="6" t="str">
        <f t="shared" ref="D78:H78" si="15">D35</f>
        <v>价格</v>
      </c>
      <c r="E78" s="6" t="str">
        <f t="shared" ref="E78:E85" si="16">E35</f>
        <v>限购次数</v>
      </c>
      <c r="F78" s="6" t="str">
        <f t="shared" si="15"/>
        <v>道具1</v>
      </c>
      <c r="G78" s="6" t="str">
        <f>IF(G35="","",G35&amp;",")</f>
        <v>数量1,</v>
      </c>
      <c r="H78" s="6" t="str">
        <f t="shared" si="15"/>
        <v>道具2</v>
      </c>
      <c r="I78" s="6" t="str">
        <f t="shared" ref="I78:I85" si="17">IF(I35="","",I35&amp;",")</f>
        <v>数量2,</v>
      </c>
      <c r="J78" s="6" t="s">
        <v>327</v>
      </c>
      <c r="K78" s="6"/>
      <c r="L78" s="6"/>
    </row>
    <row r="79" spans="3:12">
      <c r="C79" s="6"/>
      <c r="D79" s="6" t="str">
        <f t="shared" ref="D79:D85" si="18">D36</f>
        <v>免费</v>
      </c>
      <c r="E79" s="6">
        <f t="shared" si="16"/>
        <v>1</v>
      </c>
      <c r="F79" s="6" t="str">
        <f>IF(F36="","",(_xlfn.XLOOKUP(F36,道具表!$B:$B,道具表!$C:$C)&amp;"|"&amp;_xlfn.XLOOKUP(F36,道具表!$B:$B,道具表!$A:$A)&amp;"|"))</f>
        <v>1|11|</v>
      </c>
      <c r="G79" s="6" t="str">
        <f t="shared" ref="G79:G85" si="19">IF(G36="","",G36&amp;",")</f>
        <v>1,</v>
      </c>
      <c r="H79" s="6" t="str">
        <f>IF(H36="","",(_xlfn.XLOOKUP(H36,道具表!$B:$B,道具表!$C:$C)&amp;"|"&amp;_xlfn.XLOOKUP(H36,道具表!$B:$B,道具表!$A:$A)&amp;"|"))</f>
        <v/>
      </c>
      <c r="I79" s="6" t="str">
        <f t="shared" si="17"/>
        <v/>
      </c>
      <c r="J79" s="54" t="str">
        <f>LEFT(F79&amp;G79&amp;H79&amp;I79,LEN(F79&amp;G79&amp;H79&amp;I79)-1)</f>
        <v>1|11|1</v>
      </c>
      <c r="K79" s="6"/>
      <c r="L79" s="6"/>
    </row>
    <row r="80" spans="3:12">
      <c r="C80" s="6"/>
      <c r="D80" s="6">
        <f t="shared" si="18"/>
        <v>30</v>
      </c>
      <c r="E80" s="6">
        <f t="shared" si="16"/>
        <v>1</v>
      </c>
      <c r="F80" s="6" t="str">
        <f>IF(F37="","",(_xlfn.XLOOKUP(F37,道具表!$B:$B,道具表!$C:$C)&amp;"|"&amp;_xlfn.XLOOKUP(F37,道具表!$B:$B,道具表!$A:$A)&amp;"|"))</f>
        <v>1|1011|</v>
      </c>
      <c r="G80" s="6" t="str">
        <f t="shared" si="19"/>
        <v>12,</v>
      </c>
      <c r="H80" s="6" t="str">
        <f>IF(H37="","",(_xlfn.XLOOKUP(H37,道具表!$B:$B,道具表!$C:$C)&amp;"|"&amp;_xlfn.XLOOKUP(H37,道具表!$B:$B,道具表!$A:$A)&amp;"|"))</f>
        <v/>
      </c>
      <c r="I80" s="6" t="str">
        <f t="shared" si="17"/>
        <v/>
      </c>
      <c r="J80" s="54" t="str">
        <f t="shared" ref="J80:J85" si="20">LEFT(F80&amp;G80&amp;H80&amp;I80,LEN(F80&amp;G80&amp;H80&amp;I80)-1)</f>
        <v>1|1011|12</v>
      </c>
      <c r="K80" s="6"/>
      <c r="L80" s="6"/>
    </row>
    <row r="81" spans="3:12">
      <c r="C81" s="6"/>
      <c r="D81" s="6">
        <f t="shared" si="18"/>
        <v>68</v>
      </c>
      <c r="E81" s="6">
        <f t="shared" si="16"/>
        <v>1</v>
      </c>
      <c r="F81" s="6" t="str">
        <f>IF(F38="","",(_xlfn.XLOOKUP(F38,道具表!$B:$B,道具表!$C:$C)&amp;"|"&amp;_xlfn.XLOOKUP(F38,道具表!$B:$B,道具表!$A:$A)&amp;"|"))</f>
        <v>1|1011|</v>
      </c>
      <c r="G81" s="6" t="str">
        <f t="shared" si="19"/>
        <v>25,</v>
      </c>
      <c r="H81" s="6" t="str">
        <f>IF(H38="","",(_xlfn.XLOOKUP(H38,道具表!$B:$B,道具表!$C:$C)&amp;"|"&amp;_xlfn.XLOOKUP(H38,道具表!$B:$B,道具表!$A:$A)&amp;"|"))</f>
        <v/>
      </c>
      <c r="I81" s="6" t="str">
        <f t="shared" si="17"/>
        <v/>
      </c>
      <c r="J81" s="54" t="str">
        <f t="shared" si="20"/>
        <v>1|1011|25</v>
      </c>
      <c r="K81" s="6"/>
      <c r="L81" s="6"/>
    </row>
    <row r="82" spans="3:12">
      <c r="C82" s="6"/>
      <c r="D82" s="6">
        <f t="shared" si="18"/>
        <v>128</v>
      </c>
      <c r="E82" s="6">
        <f t="shared" si="16"/>
        <v>2</v>
      </c>
      <c r="F82" s="6" t="str">
        <f>IF(F39="","",(_xlfn.XLOOKUP(F39,道具表!$B:$B,道具表!$C:$C)&amp;"|"&amp;_xlfn.XLOOKUP(F39,道具表!$B:$B,道具表!$A:$A)&amp;"|"))</f>
        <v>1|1011|</v>
      </c>
      <c r="G82" s="6" t="str">
        <f t="shared" si="19"/>
        <v>50,</v>
      </c>
      <c r="H82" s="6" t="str">
        <f>IF(H39="","",(_xlfn.XLOOKUP(H39,道具表!$B:$B,道具表!$C:$C)&amp;"|"&amp;_xlfn.XLOOKUP(H39,道具表!$B:$B,道具表!$A:$A)&amp;"|"))</f>
        <v/>
      </c>
      <c r="I82" s="6" t="str">
        <f t="shared" si="17"/>
        <v/>
      </c>
      <c r="J82" s="54" t="str">
        <f t="shared" si="20"/>
        <v>1|1011|50</v>
      </c>
      <c r="K82" s="6"/>
      <c r="L82" s="6"/>
    </row>
    <row r="83" spans="3:12">
      <c r="C83" s="6"/>
      <c r="D83" s="6">
        <f t="shared" si="18"/>
        <v>198</v>
      </c>
      <c r="E83" s="6">
        <f t="shared" si="16"/>
        <v>2</v>
      </c>
      <c r="F83" s="6" t="str">
        <f>IF(F40="","",(_xlfn.XLOOKUP(F40,道具表!$B:$B,道具表!$C:$C)&amp;"|"&amp;_xlfn.XLOOKUP(F40,道具表!$B:$B,道具表!$A:$A)&amp;"|"))</f>
        <v>1|1011|</v>
      </c>
      <c r="G83" s="6" t="str">
        <f t="shared" si="19"/>
        <v>80,</v>
      </c>
      <c r="H83" s="6" t="str">
        <f>IF(H40="","",(_xlfn.XLOOKUP(H40,道具表!$B:$B,道具表!$C:$C)&amp;"|"&amp;_xlfn.XLOOKUP(H40,道具表!$B:$B,道具表!$A:$A)&amp;"|"))</f>
        <v/>
      </c>
      <c r="I83" s="6" t="str">
        <f t="shared" si="17"/>
        <v/>
      </c>
      <c r="J83" s="54" t="str">
        <f t="shared" si="20"/>
        <v>1|1011|80</v>
      </c>
      <c r="K83" s="6"/>
      <c r="L83" s="6"/>
    </row>
    <row r="84" spans="3:12">
      <c r="C84" s="6"/>
      <c r="D84" s="6">
        <f t="shared" si="18"/>
        <v>328</v>
      </c>
      <c r="E84" s="6">
        <f t="shared" si="16"/>
        <v>5</v>
      </c>
      <c r="F84" s="6" t="str">
        <f>IF(F41="","",(_xlfn.XLOOKUP(F41,道具表!$B:$B,道具表!$C:$C)&amp;"|"&amp;_xlfn.XLOOKUP(F41,道具表!$B:$B,道具表!$A:$A)&amp;"|"))</f>
        <v>1|1011|</v>
      </c>
      <c r="G84" s="6" t="str">
        <f t="shared" si="19"/>
        <v>140,</v>
      </c>
      <c r="H84" s="6" t="str">
        <f>IF(H41="","",(_xlfn.XLOOKUP(H41,道具表!$B:$B,道具表!$C:$C)&amp;"|"&amp;_xlfn.XLOOKUP(H41,道具表!$B:$B,道具表!$A:$A)&amp;"|"))</f>
        <v/>
      </c>
      <c r="I84" s="6" t="str">
        <f t="shared" si="17"/>
        <v/>
      </c>
      <c r="J84" s="54" t="str">
        <f t="shared" si="20"/>
        <v>1|1011|140</v>
      </c>
      <c r="K84" s="6"/>
      <c r="L84" s="6"/>
    </row>
    <row r="85" spans="3:12">
      <c r="C85" s="6"/>
      <c r="D85" s="6">
        <f t="shared" si="18"/>
        <v>648</v>
      </c>
      <c r="E85" s="6">
        <f t="shared" si="16"/>
        <v>5</v>
      </c>
      <c r="F85" s="6" t="str">
        <f>IF(F42="","",(_xlfn.XLOOKUP(F42,道具表!$B:$B,道具表!$C:$C)&amp;"|"&amp;_xlfn.XLOOKUP(F42,道具表!$B:$B,道具表!$A:$A)&amp;"|"))</f>
        <v>1|1011|</v>
      </c>
      <c r="G85" s="6" t="str">
        <f t="shared" si="19"/>
        <v>280,</v>
      </c>
      <c r="H85" s="6" t="str">
        <f>IF(H42="","",(_xlfn.XLOOKUP(H42,道具表!$B:$B,道具表!$C:$C)&amp;"|"&amp;_xlfn.XLOOKUP(H42,道具表!$B:$B,道具表!$A:$A)&amp;"|"))</f>
        <v/>
      </c>
      <c r="I85" s="6" t="str">
        <f t="shared" si="17"/>
        <v/>
      </c>
      <c r="J85" s="54" t="str">
        <f t="shared" si="20"/>
        <v>1|1011|280</v>
      </c>
      <c r="K85" s="6"/>
      <c r="L85" s="6"/>
    </row>
  </sheetData>
  <mergeCells count="11">
    <mergeCell ref="C1:C3"/>
    <mergeCell ref="C6:C11"/>
    <mergeCell ref="C12:C18"/>
    <mergeCell ref="C19:C25"/>
    <mergeCell ref="C26:C32"/>
    <mergeCell ref="C35:C42"/>
    <mergeCell ref="C49:C54"/>
    <mergeCell ref="C55:C61"/>
    <mergeCell ref="C62:C68"/>
    <mergeCell ref="C69:C75"/>
    <mergeCell ref="C78:C85"/>
  </mergeCells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95"/>
  <sheetViews>
    <sheetView zoomScale="85" zoomScaleNormal="85" topLeftCell="A14" workbookViewId="0">
      <selection activeCell="H21" sqref="H21"/>
    </sheetView>
  </sheetViews>
  <sheetFormatPr defaultColWidth="8.88888888888889" defaultRowHeight="14.4"/>
  <cols>
    <col min="4" max="4" width="26.1111111111111" customWidth="1"/>
    <col min="5" max="5" width="15.1111111111111" customWidth="1"/>
    <col min="9" max="9" width="11" customWidth="1"/>
    <col min="11" max="11" width="9"/>
    <col min="12" max="12" width="10.6666666666667"/>
    <col min="13" max="13" width="18.1666666666667" customWidth="1"/>
    <col min="14" max="17" width="12.8888888888889"/>
    <col min="19" max="19" width="9"/>
  </cols>
  <sheetData>
    <row r="1" spans="3:5">
      <c r="C1" s="65" t="s">
        <v>928</v>
      </c>
      <c r="D1" s="37" t="s">
        <v>929</v>
      </c>
      <c r="E1" s="7" t="s">
        <v>378</v>
      </c>
    </row>
    <row r="2" spans="3:7">
      <c r="C2" s="16"/>
      <c r="D2" s="7" t="s">
        <v>955</v>
      </c>
      <c r="E2" s="7">
        <v>6</v>
      </c>
      <c r="F2">
        <v>30</v>
      </c>
      <c r="G2">
        <f t="shared" ref="G2:G7" si="0">F2/10</f>
        <v>3</v>
      </c>
    </row>
    <row r="3" spans="3:18">
      <c r="C3" s="16"/>
      <c r="D3" s="7" t="s">
        <v>956</v>
      </c>
      <c r="E3" s="7">
        <v>18</v>
      </c>
      <c r="F3">
        <v>90</v>
      </c>
      <c r="G3">
        <f t="shared" si="0"/>
        <v>9</v>
      </c>
      <c r="O3" t="s">
        <v>957</v>
      </c>
      <c r="P3" t="s">
        <v>958</v>
      </c>
      <c r="Q3" t="s">
        <v>959</v>
      </c>
      <c r="R3" t="s">
        <v>6</v>
      </c>
    </row>
    <row r="4" spans="3:18">
      <c r="C4" s="16"/>
      <c r="D4" s="7" t="s">
        <v>960</v>
      </c>
      <c r="E4" s="7">
        <v>54</v>
      </c>
      <c r="F4">
        <v>270</v>
      </c>
      <c r="G4">
        <f t="shared" si="0"/>
        <v>27</v>
      </c>
      <c r="N4" t="s">
        <v>961</v>
      </c>
      <c r="O4">
        <v>150</v>
      </c>
      <c r="P4">
        <v>200</v>
      </c>
      <c r="Q4">
        <v>300</v>
      </c>
      <c r="R4">
        <v>150</v>
      </c>
    </row>
    <row r="5" spans="3:7">
      <c r="C5" s="16"/>
      <c r="D5" s="7" t="s">
        <v>962</v>
      </c>
      <c r="E5" s="7">
        <v>162</v>
      </c>
      <c r="F5">
        <v>810</v>
      </c>
      <c r="G5">
        <f t="shared" si="0"/>
        <v>81</v>
      </c>
    </row>
    <row r="6" spans="3:7">
      <c r="C6" s="16"/>
      <c r="D6" s="7" t="s">
        <v>963</v>
      </c>
      <c r="E6" s="7">
        <v>486</v>
      </c>
      <c r="F6">
        <v>2430</v>
      </c>
      <c r="G6">
        <f t="shared" si="0"/>
        <v>243</v>
      </c>
    </row>
    <row r="7" spans="3:7">
      <c r="C7" s="16"/>
      <c r="D7" s="7" t="s">
        <v>964</v>
      </c>
      <c r="E7" s="7">
        <v>1458</v>
      </c>
      <c r="F7">
        <v>7290</v>
      </c>
      <c r="G7">
        <f t="shared" si="0"/>
        <v>729</v>
      </c>
    </row>
    <row r="8" spans="3:5">
      <c r="C8" s="16"/>
      <c r="D8" s="7"/>
      <c r="E8" s="7"/>
    </row>
    <row r="9" spans="3:11">
      <c r="C9" s="16"/>
      <c r="D9" s="7"/>
      <c r="E9" s="7"/>
      <c r="J9" t="s">
        <v>378</v>
      </c>
      <c r="K9" t="s">
        <v>377</v>
      </c>
    </row>
    <row r="10" spans="3:11">
      <c r="C10" s="16"/>
      <c r="D10" s="7"/>
      <c r="E10" s="7"/>
      <c r="I10" s="7" t="s">
        <v>48</v>
      </c>
      <c r="J10">
        <v>10</v>
      </c>
      <c r="K10">
        <v>50</v>
      </c>
    </row>
    <row r="11" spans="3:11">
      <c r="C11" s="16"/>
      <c r="D11" s="16"/>
      <c r="E11" s="16"/>
      <c r="I11" s="7" t="s">
        <v>49</v>
      </c>
      <c r="J11">
        <v>100</v>
      </c>
      <c r="K11">
        <v>1020.6</v>
      </c>
    </row>
    <row r="12" spans="3:5">
      <c r="C12" s="16"/>
      <c r="D12" s="16"/>
      <c r="E12" s="16"/>
    </row>
    <row r="13" ht="15.6" spans="3:19">
      <c r="C13" s="16"/>
      <c r="D13" s="16"/>
      <c r="E13" s="16"/>
      <c r="R13" s="55" t="s">
        <v>940</v>
      </c>
      <c r="S13">
        <v>800</v>
      </c>
    </row>
    <row r="14" spans="3:5">
      <c r="C14" s="16"/>
      <c r="D14" s="16"/>
      <c r="E14" s="16"/>
    </row>
    <row r="15" spans="4:4">
      <c r="D15" s="16"/>
    </row>
    <row r="16" ht="15.6" spans="3:19">
      <c r="C16" s="7" t="s">
        <v>941</v>
      </c>
      <c r="D16" s="6" t="s">
        <v>378</v>
      </c>
      <c r="E16" s="6" t="s">
        <v>815</v>
      </c>
      <c r="F16" s="6" t="s">
        <v>942</v>
      </c>
      <c r="G16" s="6" t="s">
        <v>816</v>
      </c>
      <c r="H16" s="6" t="s">
        <v>943</v>
      </c>
      <c r="I16" s="6" t="s">
        <v>817</v>
      </c>
      <c r="J16" s="6" t="s">
        <v>965</v>
      </c>
      <c r="K16" s="6" t="s">
        <v>903</v>
      </c>
      <c r="L16" s="6" t="s">
        <v>966</v>
      </c>
      <c r="M16" s="6" t="s">
        <v>339</v>
      </c>
      <c r="N16" s="6" t="s">
        <v>340</v>
      </c>
      <c r="O16" s="6" t="s">
        <v>818</v>
      </c>
      <c r="P16" s="6" t="s">
        <v>967</v>
      </c>
      <c r="Q16" s="6" t="s">
        <v>341</v>
      </c>
      <c r="R16" s="19" t="s">
        <v>944</v>
      </c>
      <c r="S16" s="19">
        <f>SUM(S17:S21)</f>
        <v>2000</v>
      </c>
    </row>
    <row r="17" ht="15.6" spans="3:19">
      <c r="C17" s="7"/>
      <c r="D17" s="6">
        <v>150</v>
      </c>
      <c r="E17" s="6" t="s">
        <v>48</v>
      </c>
      <c r="F17" s="6">
        <v>5</v>
      </c>
      <c r="G17" s="6"/>
      <c r="H17" s="6"/>
      <c r="I17" s="6"/>
      <c r="J17" s="6"/>
      <c r="K17" s="6"/>
      <c r="L17" s="6"/>
      <c r="M17" s="6">
        <f>_xlfn.XLOOKUP(E17,道具表!$B:$B,道具表!$E:$E)</f>
        <v>102</v>
      </c>
      <c r="N17" s="6">
        <f>_xlfn.XLOOKUP(G17,道具表!$B:$B,道具表!$E:$E)</f>
        <v>0</v>
      </c>
      <c r="O17" s="6">
        <f>_xlfn.XLOOKUP(I17,道具表!$B:$B,道具表!$E:$E)</f>
        <v>0</v>
      </c>
      <c r="P17" s="6">
        <f>_xlfn.XLOOKUP(K17,道具表!$B:$B,道具表!$E:$E)</f>
        <v>0</v>
      </c>
      <c r="Q17" s="6">
        <f>M17*F17+N17*H17+O17*J17+P17*L17</f>
        <v>510</v>
      </c>
      <c r="R17" s="19"/>
      <c r="S17" s="19">
        <f>D17</f>
        <v>150</v>
      </c>
    </row>
    <row r="18" ht="15.6" spans="3:19">
      <c r="C18" s="7"/>
      <c r="D18" s="6">
        <v>400</v>
      </c>
      <c r="E18" s="6" t="s">
        <v>48</v>
      </c>
      <c r="F18" s="6">
        <v>10</v>
      </c>
      <c r="G18" s="6"/>
      <c r="H18" s="6"/>
      <c r="I18" s="6"/>
      <c r="J18" s="6"/>
      <c r="K18" s="6"/>
      <c r="L18" s="6"/>
      <c r="M18" s="6">
        <f>_xlfn.XLOOKUP(E18,道具表!$B:$B,道具表!$E:$E)</f>
        <v>102</v>
      </c>
      <c r="N18" s="6">
        <f>_xlfn.XLOOKUP(G18,道具表!$B:$B,道具表!$E:$E)</f>
        <v>0</v>
      </c>
      <c r="O18" s="6">
        <f>_xlfn.XLOOKUP(I18,道具表!$B:$B,道具表!$E:$E)</f>
        <v>0</v>
      </c>
      <c r="P18" s="6">
        <f>_xlfn.XLOOKUP(K18,道具表!$B:$B,道具表!$E:$E)</f>
        <v>0</v>
      </c>
      <c r="Q18" s="6">
        <f t="shared" ref="Q18:Q28" si="1">M18*F18+N18*H18+O18*J18+P18*L18</f>
        <v>1020</v>
      </c>
      <c r="R18" s="19"/>
      <c r="S18" s="19">
        <f t="shared" ref="S18:S20" si="2">D18-(F17*10)-D17</f>
        <v>200</v>
      </c>
    </row>
    <row r="19" ht="15.6" spans="3:19">
      <c r="C19" s="7"/>
      <c r="D19" s="6">
        <v>800</v>
      </c>
      <c r="E19" s="6" t="s">
        <v>48</v>
      </c>
      <c r="F19" s="6">
        <v>15</v>
      </c>
      <c r="G19" s="6"/>
      <c r="H19" s="6"/>
      <c r="I19" s="6"/>
      <c r="J19" s="6"/>
      <c r="K19" s="6"/>
      <c r="L19" s="6"/>
      <c r="M19" s="6">
        <f>_xlfn.XLOOKUP(E19,道具表!$B:$B,道具表!$E:$E)</f>
        <v>102</v>
      </c>
      <c r="N19" s="6">
        <f>_xlfn.XLOOKUP(G19,道具表!$B:$B,道具表!$E:$E)</f>
        <v>0</v>
      </c>
      <c r="O19" s="6">
        <f>_xlfn.XLOOKUP(I19,道具表!$B:$B,道具表!$E:$E)</f>
        <v>0</v>
      </c>
      <c r="P19" s="6">
        <f>_xlfn.XLOOKUP(K19,道具表!$B:$B,道具表!$E:$E)</f>
        <v>0</v>
      </c>
      <c r="Q19" s="6">
        <f t="shared" si="1"/>
        <v>1530</v>
      </c>
      <c r="R19" s="19"/>
      <c r="S19" s="19">
        <f t="shared" si="2"/>
        <v>300</v>
      </c>
    </row>
    <row r="20" ht="15.6" spans="3:19">
      <c r="C20" s="7"/>
      <c r="D20" s="6">
        <v>1400</v>
      </c>
      <c r="E20" s="6" t="s">
        <v>49</v>
      </c>
      <c r="F20" s="6">
        <v>4</v>
      </c>
      <c r="G20" s="6"/>
      <c r="H20" s="6"/>
      <c r="I20" s="6"/>
      <c r="J20" s="6"/>
      <c r="K20" s="6"/>
      <c r="L20" s="6"/>
      <c r="M20" s="6">
        <f>_xlfn.XLOOKUP(E20,道具表!$B:$B,道具表!$E:$E)</f>
        <v>918</v>
      </c>
      <c r="N20" s="6">
        <f>_xlfn.XLOOKUP(G20,道具表!$B:$B,道具表!$E:$E)</f>
        <v>0</v>
      </c>
      <c r="O20" s="6">
        <f>_xlfn.XLOOKUP(I20,道具表!$B:$B,道具表!$E:$E)</f>
        <v>0</v>
      </c>
      <c r="P20" s="6">
        <f>_xlfn.XLOOKUP(K20,道具表!$B:$B,道具表!$E:$E)</f>
        <v>0</v>
      </c>
      <c r="Q20" s="6">
        <f t="shared" si="1"/>
        <v>3672</v>
      </c>
      <c r="R20" s="19"/>
      <c r="S20" s="19">
        <f t="shared" si="2"/>
        <v>450</v>
      </c>
    </row>
    <row r="21" ht="15.6" spans="3:19">
      <c r="C21" s="7"/>
      <c r="D21" s="6">
        <v>2500</v>
      </c>
      <c r="E21" s="6" t="s">
        <v>320</v>
      </c>
      <c r="F21" s="6">
        <v>1</v>
      </c>
      <c r="G21" s="6" t="s">
        <v>49</v>
      </c>
      <c r="H21" s="6">
        <v>1</v>
      </c>
      <c r="I21" s="6"/>
      <c r="J21" s="6"/>
      <c r="K21" s="6"/>
      <c r="L21" s="6"/>
      <c r="M21" s="6">
        <f>_xlfn.XLOOKUP(E21,道具表!$B:$B,道具表!$E:$E)</f>
        <v>10000</v>
      </c>
      <c r="N21" s="6">
        <f>_xlfn.XLOOKUP(G21,道具表!$B:$B,道具表!$E:$E)</f>
        <v>918</v>
      </c>
      <c r="O21" s="6">
        <f>_xlfn.XLOOKUP(I21,道具表!$B:$B,道具表!$E:$E)</f>
        <v>0</v>
      </c>
      <c r="P21" s="6">
        <f>_xlfn.XLOOKUP(K21,道具表!$B:$B,道具表!$E:$E)</f>
        <v>0</v>
      </c>
      <c r="Q21" s="6">
        <f t="shared" si="1"/>
        <v>10918</v>
      </c>
      <c r="R21" s="19"/>
      <c r="S21" s="19">
        <f>D21-(F20*50)-D20</f>
        <v>900</v>
      </c>
    </row>
    <row r="22" ht="15.6" spans="3:19">
      <c r="C22" s="66" t="s">
        <v>945</v>
      </c>
      <c r="D22" s="6" t="s">
        <v>378</v>
      </c>
      <c r="E22" s="6" t="s">
        <v>815</v>
      </c>
      <c r="F22" s="6" t="s">
        <v>942</v>
      </c>
      <c r="G22" s="6" t="s">
        <v>816</v>
      </c>
      <c r="H22" s="6" t="s">
        <v>943</v>
      </c>
      <c r="I22" s="6" t="s">
        <v>817</v>
      </c>
      <c r="J22" s="6" t="s">
        <v>965</v>
      </c>
      <c r="K22" s="6" t="s">
        <v>903</v>
      </c>
      <c r="L22" s="6" t="s">
        <v>966</v>
      </c>
      <c r="M22" s="6" t="s">
        <v>339</v>
      </c>
      <c r="N22" s="6" t="s">
        <v>340</v>
      </c>
      <c r="O22" s="6" t="s">
        <v>818</v>
      </c>
      <c r="P22" s="6" t="s">
        <v>967</v>
      </c>
      <c r="Q22" s="6" t="s">
        <v>341</v>
      </c>
      <c r="R22" s="19" t="s">
        <v>946</v>
      </c>
      <c r="S22" s="19">
        <f>SUM(S23:S28)</f>
        <v>3450</v>
      </c>
    </row>
    <row r="23" ht="15.6" spans="3:19">
      <c r="C23" s="67"/>
      <c r="D23" s="6">
        <v>150</v>
      </c>
      <c r="E23" s="6" t="s">
        <v>48</v>
      </c>
      <c r="F23" s="6">
        <v>5</v>
      </c>
      <c r="G23" s="6"/>
      <c r="H23" s="6"/>
      <c r="I23" s="6"/>
      <c r="J23" s="6"/>
      <c r="K23" s="6"/>
      <c r="L23" s="6"/>
      <c r="M23" s="6">
        <f>_xlfn.XLOOKUP(E23,道具表!$B:$B,道具表!$E:$E)</f>
        <v>102</v>
      </c>
      <c r="N23" s="6">
        <f>_xlfn.XLOOKUP(G23,道具表!$B:$B,道具表!$E:$E)</f>
        <v>0</v>
      </c>
      <c r="O23" s="6">
        <f>_xlfn.XLOOKUP(I23,道具表!$B:$B,道具表!$E:$E)</f>
        <v>0</v>
      </c>
      <c r="P23" s="6">
        <f>_xlfn.XLOOKUP(K23,道具表!$B:$B,道具表!$E:$E)</f>
        <v>0</v>
      </c>
      <c r="Q23" s="6">
        <f t="shared" si="1"/>
        <v>510</v>
      </c>
      <c r="R23" s="19"/>
      <c r="S23" s="19">
        <f>D23</f>
        <v>150</v>
      </c>
    </row>
    <row r="24" ht="15.6" spans="3:19">
      <c r="C24" s="67"/>
      <c r="D24" s="6">
        <v>400</v>
      </c>
      <c r="E24" s="6" t="s">
        <v>48</v>
      </c>
      <c r="F24" s="6">
        <v>10</v>
      </c>
      <c r="G24" s="6"/>
      <c r="H24" s="6"/>
      <c r="I24" s="6"/>
      <c r="J24" s="6"/>
      <c r="K24" s="6"/>
      <c r="L24" s="6"/>
      <c r="M24" s="6">
        <f>_xlfn.XLOOKUP(E24,道具表!$B:$B,道具表!$E:$E)</f>
        <v>102</v>
      </c>
      <c r="N24" s="6">
        <f>_xlfn.XLOOKUP(G24,道具表!$B:$B,道具表!$E:$E)</f>
        <v>0</v>
      </c>
      <c r="O24" s="6">
        <f>_xlfn.XLOOKUP(I24,道具表!$B:$B,道具表!$E:$E)</f>
        <v>0</v>
      </c>
      <c r="P24" s="6">
        <f>_xlfn.XLOOKUP(K24,道具表!$B:$B,道具表!$E:$E)</f>
        <v>0</v>
      </c>
      <c r="Q24" s="6">
        <f t="shared" si="1"/>
        <v>1020</v>
      </c>
      <c r="R24" s="19"/>
      <c r="S24" s="19">
        <f t="shared" ref="S24:S26" si="3">D24-(F23*10)-D23</f>
        <v>200</v>
      </c>
    </row>
    <row r="25" ht="15.6" spans="3:19">
      <c r="C25" s="67"/>
      <c r="D25" s="6">
        <v>800</v>
      </c>
      <c r="E25" s="6" t="s">
        <v>48</v>
      </c>
      <c r="F25" s="6">
        <v>15</v>
      </c>
      <c r="G25" s="6"/>
      <c r="H25" s="6"/>
      <c r="I25" s="6"/>
      <c r="J25" s="6"/>
      <c r="K25" s="6"/>
      <c r="L25" s="6"/>
      <c r="M25" s="6">
        <f>_xlfn.XLOOKUP(E25,道具表!$B:$B,道具表!$E:$E)</f>
        <v>102</v>
      </c>
      <c r="N25" s="6">
        <f>_xlfn.XLOOKUP(G25,道具表!$B:$B,道具表!$E:$E)</f>
        <v>0</v>
      </c>
      <c r="O25" s="6">
        <f>_xlfn.XLOOKUP(I25,道具表!$B:$B,道具表!$E:$E)</f>
        <v>0</v>
      </c>
      <c r="P25" s="6">
        <f>_xlfn.XLOOKUP(K25,道具表!$B:$B,道具表!$E:$E)</f>
        <v>0</v>
      </c>
      <c r="Q25" s="6">
        <f t="shared" si="1"/>
        <v>1530</v>
      </c>
      <c r="R25" s="19"/>
      <c r="S25" s="19">
        <f t="shared" si="3"/>
        <v>300</v>
      </c>
    </row>
    <row r="26" ht="15.6" spans="3:19">
      <c r="C26" s="67"/>
      <c r="D26" s="6">
        <v>1400</v>
      </c>
      <c r="E26" s="6" t="s">
        <v>49</v>
      </c>
      <c r="F26" s="6">
        <v>4</v>
      </c>
      <c r="G26" s="6"/>
      <c r="H26" s="6"/>
      <c r="I26" s="6"/>
      <c r="J26" s="6"/>
      <c r="K26" s="6"/>
      <c r="L26" s="6"/>
      <c r="M26" s="6">
        <f>_xlfn.XLOOKUP(E26,道具表!$B:$B,道具表!$E:$E)</f>
        <v>918</v>
      </c>
      <c r="N26" s="6">
        <f>_xlfn.XLOOKUP(G26,道具表!$B:$B,道具表!$E:$E)</f>
        <v>0</v>
      </c>
      <c r="O26" s="6">
        <f>_xlfn.XLOOKUP(I26,道具表!$B:$B,道具表!$E:$E)</f>
        <v>0</v>
      </c>
      <c r="P26" s="6">
        <f>_xlfn.XLOOKUP(K26,道具表!$B:$B,道具表!$E:$E)</f>
        <v>0</v>
      </c>
      <c r="Q26" s="6">
        <f t="shared" si="1"/>
        <v>3672</v>
      </c>
      <c r="R26" s="19"/>
      <c r="S26" s="19">
        <f>D26-(F25*10)-D25</f>
        <v>450</v>
      </c>
    </row>
    <row r="27" ht="15.6" spans="3:19">
      <c r="C27" s="67"/>
      <c r="D27" s="6">
        <v>2500</v>
      </c>
      <c r="E27" s="6" t="s">
        <v>320</v>
      </c>
      <c r="F27" s="6">
        <v>1</v>
      </c>
      <c r="G27" s="6" t="s">
        <v>49</v>
      </c>
      <c r="H27" s="6">
        <v>1</v>
      </c>
      <c r="I27" s="6"/>
      <c r="J27" s="6"/>
      <c r="K27" s="6"/>
      <c r="L27" s="6"/>
      <c r="M27" s="6">
        <f>_xlfn.XLOOKUP(E27,道具表!$B:$B,道具表!$E:$E)</f>
        <v>10000</v>
      </c>
      <c r="N27" s="6">
        <f>_xlfn.XLOOKUP(G27,道具表!$B:$B,道具表!$E:$E)</f>
        <v>918</v>
      </c>
      <c r="O27" s="6">
        <f>_xlfn.XLOOKUP(I27,道具表!$B:$B,道具表!$E:$E)</f>
        <v>0</v>
      </c>
      <c r="P27" s="6">
        <f>_xlfn.XLOOKUP(K27,道具表!$B:$B,道具表!$E:$E)</f>
        <v>0</v>
      </c>
      <c r="Q27" s="6">
        <f t="shared" si="1"/>
        <v>10918</v>
      </c>
      <c r="R27" s="19"/>
      <c r="S27" s="19">
        <f>D27-(F26*50)-D26</f>
        <v>900</v>
      </c>
    </row>
    <row r="28" ht="15.6" spans="3:19">
      <c r="C28" s="68"/>
      <c r="D28" s="6">
        <v>4000</v>
      </c>
      <c r="E28" s="6" t="s">
        <v>319</v>
      </c>
      <c r="F28" s="6">
        <v>1</v>
      </c>
      <c r="G28" s="29" t="s">
        <v>249</v>
      </c>
      <c r="H28" s="6">
        <v>2</v>
      </c>
      <c r="I28" s="6"/>
      <c r="J28" s="6"/>
      <c r="K28" s="6"/>
      <c r="L28" s="6"/>
      <c r="M28" s="6">
        <f>_xlfn.XLOOKUP(E28,道具表!$B:$B,道具表!$E:$E)</f>
        <v>25000</v>
      </c>
      <c r="N28" s="6">
        <f>_xlfn.XLOOKUP(G28,道具表!$B:$B,道具表!$E:$E)</f>
        <v>5000</v>
      </c>
      <c r="O28" s="6">
        <f>_xlfn.XLOOKUP(I28,道具表!$B:$B,道具表!$E:$E)</f>
        <v>0</v>
      </c>
      <c r="P28" s="6">
        <f>_xlfn.XLOOKUP(K28,道具表!$B:$B,道具表!$E:$E)</f>
        <v>0</v>
      </c>
      <c r="Q28" s="6">
        <f t="shared" si="1"/>
        <v>35000</v>
      </c>
      <c r="R28" s="19"/>
      <c r="S28" s="19">
        <f>D28-(H27*50)-D27</f>
        <v>1450</v>
      </c>
    </row>
    <row r="29" ht="15.6" spans="3:19">
      <c r="C29" s="69" t="s">
        <v>947</v>
      </c>
      <c r="D29" s="6" t="s">
        <v>378</v>
      </c>
      <c r="E29" s="6" t="s">
        <v>815</v>
      </c>
      <c r="F29" s="6" t="s">
        <v>942</v>
      </c>
      <c r="G29" s="6" t="s">
        <v>816</v>
      </c>
      <c r="H29" s="6" t="s">
        <v>943</v>
      </c>
      <c r="I29" s="6" t="s">
        <v>817</v>
      </c>
      <c r="J29" s="6" t="s">
        <v>965</v>
      </c>
      <c r="K29" s="6" t="s">
        <v>903</v>
      </c>
      <c r="L29" s="6" t="s">
        <v>966</v>
      </c>
      <c r="M29" s="6" t="s">
        <v>339</v>
      </c>
      <c r="N29" s="6" t="s">
        <v>340</v>
      </c>
      <c r="O29" s="6" t="s">
        <v>818</v>
      </c>
      <c r="P29" s="6" t="s">
        <v>967</v>
      </c>
      <c r="Q29" s="6" t="s">
        <v>341</v>
      </c>
      <c r="R29" s="19" t="s">
        <v>948</v>
      </c>
      <c r="S29" s="19">
        <f>SUM(S30:S35)</f>
        <v>3450</v>
      </c>
    </row>
    <row r="30" ht="15.6" spans="3:19">
      <c r="C30" s="70"/>
      <c r="D30" s="6">
        <v>150</v>
      </c>
      <c r="E30" s="6" t="s">
        <v>48</v>
      </c>
      <c r="F30" s="6">
        <v>5</v>
      </c>
      <c r="G30" s="6"/>
      <c r="H30" s="6"/>
      <c r="I30" s="6"/>
      <c r="J30" s="6"/>
      <c r="K30" s="6"/>
      <c r="L30" s="6"/>
      <c r="M30" s="6">
        <f>_xlfn.XLOOKUP(E30,道具表!$B:$B,道具表!$E:$E)</f>
        <v>102</v>
      </c>
      <c r="N30" s="6">
        <f>_xlfn.XLOOKUP(G30,道具表!$B:$B,道具表!$E:$E)</f>
        <v>0</v>
      </c>
      <c r="O30" s="6">
        <f>_xlfn.XLOOKUP(I30,道具表!$B:$B,道具表!$E:$E)</f>
        <v>0</v>
      </c>
      <c r="P30" s="6">
        <f>_xlfn.XLOOKUP(K30,道具表!$B:$B,道具表!$E:$E)</f>
        <v>0</v>
      </c>
      <c r="Q30" s="6">
        <f t="shared" ref="Q30:Q35" si="4">M30*F30+N30*H30+O30*J30+P30*L30</f>
        <v>510</v>
      </c>
      <c r="R30" s="19"/>
      <c r="S30" s="19">
        <f>D30</f>
        <v>150</v>
      </c>
    </row>
    <row r="31" ht="15.6" spans="3:19">
      <c r="C31" s="70"/>
      <c r="D31" s="6">
        <v>400</v>
      </c>
      <c r="E31" s="6" t="s">
        <v>48</v>
      </c>
      <c r="F31" s="6">
        <v>10</v>
      </c>
      <c r="G31" s="6"/>
      <c r="H31" s="6"/>
      <c r="I31" s="6"/>
      <c r="J31" s="6"/>
      <c r="K31" s="6"/>
      <c r="L31" s="6"/>
      <c r="M31" s="6">
        <f>_xlfn.XLOOKUP(E31,道具表!$B:$B,道具表!$E:$E)</f>
        <v>102</v>
      </c>
      <c r="N31" s="6">
        <f>_xlfn.XLOOKUP(G31,道具表!$B:$B,道具表!$E:$E)</f>
        <v>0</v>
      </c>
      <c r="O31" s="6">
        <f>_xlfn.XLOOKUP(I31,道具表!$B:$B,道具表!$E:$E)</f>
        <v>0</v>
      </c>
      <c r="P31" s="6">
        <f>_xlfn.XLOOKUP(K31,道具表!$B:$B,道具表!$E:$E)</f>
        <v>0</v>
      </c>
      <c r="Q31" s="6">
        <f t="shared" si="4"/>
        <v>1020</v>
      </c>
      <c r="R31" s="19"/>
      <c r="S31" s="19">
        <f>D31-(F30*10)-D30</f>
        <v>200</v>
      </c>
    </row>
    <row r="32" ht="15.6" spans="3:19">
      <c r="C32" s="70"/>
      <c r="D32" s="6">
        <v>800</v>
      </c>
      <c r="E32" s="6" t="s">
        <v>48</v>
      </c>
      <c r="F32" s="6">
        <v>15</v>
      </c>
      <c r="G32" s="6"/>
      <c r="H32" s="6"/>
      <c r="I32" s="6"/>
      <c r="J32" s="6"/>
      <c r="K32" s="6"/>
      <c r="L32" s="6"/>
      <c r="M32" s="6">
        <f>_xlfn.XLOOKUP(E32,道具表!$B:$B,道具表!$E:$E)</f>
        <v>102</v>
      </c>
      <c r="N32" s="6">
        <f>_xlfn.XLOOKUP(G32,道具表!$B:$B,道具表!$E:$E)</f>
        <v>0</v>
      </c>
      <c r="O32" s="6">
        <f>_xlfn.XLOOKUP(I32,道具表!$B:$B,道具表!$E:$E)</f>
        <v>0</v>
      </c>
      <c r="P32" s="6">
        <f>_xlfn.XLOOKUP(K32,道具表!$B:$B,道具表!$E:$E)</f>
        <v>0</v>
      </c>
      <c r="Q32" s="6">
        <f t="shared" si="4"/>
        <v>1530</v>
      </c>
      <c r="R32" s="19"/>
      <c r="S32" s="19">
        <f>D32-(F31*10)-D31</f>
        <v>300</v>
      </c>
    </row>
    <row r="33" ht="15.6" spans="3:19">
      <c r="C33" s="70"/>
      <c r="D33" s="6">
        <v>1400</v>
      </c>
      <c r="E33" s="6" t="s">
        <v>49</v>
      </c>
      <c r="F33" s="6">
        <v>4</v>
      </c>
      <c r="G33" s="6"/>
      <c r="H33" s="6"/>
      <c r="I33" s="6"/>
      <c r="J33" s="6"/>
      <c r="K33" s="6"/>
      <c r="L33" s="6"/>
      <c r="M33" s="6">
        <f>_xlfn.XLOOKUP(E33,道具表!$B:$B,道具表!$E:$E)</f>
        <v>918</v>
      </c>
      <c r="N33" s="6">
        <f>_xlfn.XLOOKUP(G33,道具表!$B:$B,道具表!$E:$E)</f>
        <v>0</v>
      </c>
      <c r="O33" s="6">
        <f>_xlfn.XLOOKUP(I33,道具表!$B:$B,道具表!$E:$E)</f>
        <v>0</v>
      </c>
      <c r="P33" s="6">
        <f>_xlfn.XLOOKUP(K33,道具表!$B:$B,道具表!$E:$E)</f>
        <v>0</v>
      </c>
      <c r="Q33" s="6">
        <f t="shared" si="4"/>
        <v>3672</v>
      </c>
      <c r="R33" s="19"/>
      <c r="S33" s="19">
        <f>D33-(F32*10)-D32</f>
        <v>450</v>
      </c>
    </row>
    <row r="34" ht="15.6" spans="3:19">
      <c r="C34" s="70"/>
      <c r="D34" s="6">
        <v>2500</v>
      </c>
      <c r="E34" s="6" t="s">
        <v>320</v>
      </c>
      <c r="F34" s="6">
        <v>1</v>
      </c>
      <c r="G34" s="6" t="s">
        <v>49</v>
      </c>
      <c r="H34" s="6">
        <v>1</v>
      </c>
      <c r="I34" s="6"/>
      <c r="J34" s="6"/>
      <c r="K34" s="6"/>
      <c r="L34" s="6"/>
      <c r="M34" s="6">
        <f>_xlfn.XLOOKUP(E34,道具表!$B:$B,道具表!$E:$E)</f>
        <v>10000</v>
      </c>
      <c r="N34" s="6">
        <f>_xlfn.XLOOKUP(G34,道具表!$B:$B,道具表!$E:$E)</f>
        <v>918</v>
      </c>
      <c r="O34" s="6">
        <f>_xlfn.XLOOKUP(I34,道具表!$B:$B,道具表!$E:$E)</f>
        <v>0</v>
      </c>
      <c r="P34" s="6">
        <f>_xlfn.XLOOKUP(K34,道具表!$B:$B,道具表!$E:$E)</f>
        <v>0</v>
      </c>
      <c r="Q34" s="6">
        <f t="shared" si="4"/>
        <v>10918</v>
      </c>
      <c r="R34" s="19"/>
      <c r="S34" s="19">
        <f>D34-(F33*50)-D33</f>
        <v>900</v>
      </c>
    </row>
    <row r="35" ht="15.6" spans="3:19">
      <c r="C35" s="70"/>
      <c r="D35" s="6">
        <v>4000</v>
      </c>
      <c r="E35" s="6" t="s">
        <v>319</v>
      </c>
      <c r="F35" s="6">
        <v>1</v>
      </c>
      <c r="G35" s="29" t="s">
        <v>249</v>
      </c>
      <c r="H35" s="6">
        <v>2</v>
      </c>
      <c r="I35" s="6"/>
      <c r="J35" s="6"/>
      <c r="K35" s="6"/>
      <c r="L35" s="6"/>
      <c r="M35" s="6">
        <f>_xlfn.XLOOKUP(E35,道具表!$B:$B,道具表!$E:$E)</f>
        <v>25000</v>
      </c>
      <c r="N35" s="6">
        <f>_xlfn.XLOOKUP(G35,道具表!$B:$B,道具表!$E:$E)</f>
        <v>5000</v>
      </c>
      <c r="O35" s="6">
        <f>_xlfn.XLOOKUP(I35,道具表!$B:$B,道具表!$E:$E)</f>
        <v>0</v>
      </c>
      <c r="P35" s="6">
        <f>_xlfn.XLOOKUP(K35,道具表!$B:$B,道具表!$E:$E)</f>
        <v>0</v>
      </c>
      <c r="Q35" s="6">
        <f t="shared" si="4"/>
        <v>35000</v>
      </c>
      <c r="R35" s="19"/>
      <c r="S35" s="19">
        <f>D35-(H34*50)-D34</f>
        <v>1450</v>
      </c>
    </row>
    <row r="36" ht="15.6" spans="3:19">
      <c r="C36" s="66" t="s">
        <v>949</v>
      </c>
      <c r="D36" s="6" t="s">
        <v>378</v>
      </c>
      <c r="E36" s="6" t="s">
        <v>815</v>
      </c>
      <c r="F36" s="6" t="s">
        <v>942</v>
      </c>
      <c r="G36" s="6" t="s">
        <v>816</v>
      </c>
      <c r="H36" s="6" t="s">
        <v>943</v>
      </c>
      <c r="I36" s="6" t="s">
        <v>817</v>
      </c>
      <c r="J36" s="6" t="s">
        <v>965</v>
      </c>
      <c r="K36" s="6" t="s">
        <v>903</v>
      </c>
      <c r="L36" s="6" t="s">
        <v>966</v>
      </c>
      <c r="M36" s="6" t="s">
        <v>339</v>
      </c>
      <c r="N36" s="6" t="s">
        <v>340</v>
      </c>
      <c r="O36" s="6" t="s">
        <v>818</v>
      </c>
      <c r="P36" s="6" t="s">
        <v>967</v>
      </c>
      <c r="Q36" s="6" t="s">
        <v>341</v>
      </c>
      <c r="R36" s="19" t="s">
        <v>950</v>
      </c>
      <c r="S36" s="19">
        <f>SUM(S37:S42)</f>
        <v>3450</v>
      </c>
    </row>
    <row r="37" ht="15.6" spans="3:19">
      <c r="C37" s="67"/>
      <c r="D37" s="6">
        <v>150</v>
      </c>
      <c r="E37" s="6" t="s">
        <v>48</v>
      </c>
      <c r="F37" s="6">
        <v>5</v>
      </c>
      <c r="G37" s="6"/>
      <c r="H37" s="6"/>
      <c r="I37" s="6"/>
      <c r="J37" s="6"/>
      <c r="K37" s="6"/>
      <c r="L37" s="6"/>
      <c r="M37" s="6">
        <f>_xlfn.XLOOKUP(E37,道具表!$B:$B,道具表!$E:$E)</f>
        <v>102</v>
      </c>
      <c r="N37" s="6">
        <f>_xlfn.XLOOKUP(G37,道具表!$B:$B,道具表!$E:$E)</f>
        <v>0</v>
      </c>
      <c r="O37" s="6">
        <f>_xlfn.XLOOKUP(I37,道具表!$B:$B,道具表!$E:$E)</f>
        <v>0</v>
      </c>
      <c r="P37" s="6">
        <f>_xlfn.XLOOKUP(K37,道具表!$B:$B,道具表!$E:$E)</f>
        <v>0</v>
      </c>
      <c r="Q37" s="6">
        <f t="shared" ref="Q37:Q42" si="5">M37*F37+N37*H37+O37*J37+P37*L37</f>
        <v>510</v>
      </c>
      <c r="R37" s="19"/>
      <c r="S37" s="19">
        <f>D37</f>
        <v>150</v>
      </c>
    </row>
    <row r="38" ht="15.6" spans="3:19">
      <c r="C38" s="67"/>
      <c r="D38" s="6">
        <v>400</v>
      </c>
      <c r="E38" s="6" t="s">
        <v>48</v>
      </c>
      <c r="F38" s="6">
        <v>10</v>
      </c>
      <c r="G38" s="6"/>
      <c r="H38" s="6"/>
      <c r="I38" s="6"/>
      <c r="J38" s="6"/>
      <c r="K38" s="6"/>
      <c r="L38" s="6"/>
      <c r="M38" s="6">
        <f>_xlfn.XLOOKUP(E38,道具表!$B:$B,道具表!$E:$E)</f>
        <v>102</v>
      </c>
      <c r="N38" s="6">
        <f>_xlfn.XLOOKUP(G38,道具表!$B:$B,道具表!$E:$E)</f>
        <v>0</v>
      </c>
      <c r="O38" s="6">
        <f>_xlfn.XLOOKUP(I38,道具表!$B:$B,道具表!$E:$E)</f>
        <v>0</v>
      </c>
      <c r="P38" s="6">
        <f>_xlfn.XLOOKUP(K38,道具表!$B:$B,道具表!$E:$E)</f>
        <v>0</v>
      </c>
      <c r="Q38" s="6">
        <f t="shared" si="5"/>
        <v>1020</v>
      </c>
      <c r="R38" s="19"/>
      <c r="S38" s="19">
        <f t="shared" ref="S38:S40" si="6">D38-(F37*10)-D37</f>
        <v>200</v>
      </c>
    </row>
    <row r="39" ht="15.6" spans="3:19">
      <c r="C39" s="67"/>
      <c r="D39" s="6">
        <v>800</v>
      </c>
      <c r="E39" s="6" t="s">
        <v>48</v>
      </c>
      <c r="F39" s="6">
        <v>15</v>
      </c>
      <c r="G39" s="6"/>
      <c r="H39" s="6"/>
      <c r="I39" s="6"/>
      <c r="J39" s="6"/>
      <c r="K39" s="6"/>
      <c r="L39" s="6"/>
      <c r="M39" s="6">
        <f>_xlfn.XLOOKUP(E39,道具表!$B:$B,道具表!$E:$E)</f>
        <v>102</v>
      </c>
      <c r="N39" s="6">
        <f>_xlfn.XLOOKUP(G39,道具表!$B:$B,道具表!$E:$E)</f>
        <v>0</v>
      </c>
      <c r="O39" s="6">
        <f>_xlfn.XLOOKUP(I39,道具表!$B:$B,道具表!$E:$E)</f>
        <v>0</v>
      </c>
      <c r="P39" s="6">
        <f>_xlfn.XLOOKUP(K39,道具表!$B:$B,道具表!$E:$E)</f>
        <v>0</v>
      </c>
      <c r="Q39" s="6">
        <f t="shared" si="5"/>
        <v>1530</v>
      </c>
      <c r="R39" s="19"/>
      <c r="S39" s="19">
        <f t="shared" si="6"/>
        <v>300</v>
      </c>
    </row>
    <row r="40" ht="15.6" spans="3:19">
      <c r="C40" s="67"/>
      <c r="D40" s="6">
        <v>1400</v>
      </c>
      <c r="E40" s="6" t="s">
        <v>49</v>
      </c>
      <c r="F40" s="6">
        <v>4</v>
      </c>
      <c r="G40" s="6"/>
      <c r="H40" s="6"/>
      <c r="I40" s="6"/>
      <c r="J40" s="6"/>
      <c r="K40" s="6"/>
      <c r="L40" s="6"/>
      <c r="M40" s="6">
        <f>_xlfn.XLOOKUP(E40,道具表!$B:$B,道具表!$E:$E)</f>
        <v>918</v>
      </c>
      <c r="N40" s="6">
        <f>_xlfn.XLOOKUP(G40,道具表!$B:$B,道具表!$E:$E)</f>
        <v>0</v>
      </c>
      <c r="O40" s="6">
        <f>_xlfn.XLOOKUP(I40,道具表!$B:$B,道具表!$E:$E)</f>
        <v>0</v>
      </c>
      <c r="P40" s="6">
        <f>_xlfn.XLOOKUP(K40,道具表!$B:$B,道具表!$E:$E)</f>
        <v>0</v>
      </c>
      <c r="Q40" s="6">
        <f t="shared" si="5"/>
        <v>3672</v>
      </c>
      <c r="R40" s="19"/>
      <c r="S40" s="19">
        <f t="shared" si="6"/>
        <v>450</v>
      </c>
    </row>
    <row r="41" ht="15.6" spans="3:19">
      <c r="C41" s="67"/>
      <c r="D41" s="6">
        <v>2500</v>
      </c>
      <c r="E41" s="6" t="s">
        <v>320</v>
      </c>
      <c r="F41" s="6">
        <v>1</v>
      </c>
      <c r="G41" s="6" t="s">
        <v>49</v>
      </c>
      <c r="H41" s="6">
        <v>1</v>
      </c>
      <c r="I41" s="6"/>
      <c r="J41" s="6"/>
      <c r="K41" s="6"/>
      <c r="L41" s="6"/>
      <c r="M41" s="6">
        <f>_xlfn.XLOOKUP(E41,道具表!$B:$B,道具表!$E:$E)</f>
        <v>10000</v>
      </c>
      <c r="N41" s="6">
        <f>_xlfn.XLOOKUP(G41,道具表!$B:$B,道具表!$E:$E)</f>
        <v>918</v>
      </c>
      <c r="O41" s="6">
        <f>_xlfn.XLOOKUP(I41,道具表!$B:$B,道具表!$E:$E)</f>
        <v>0</v>
      </c>
      <c r="P41" s="6">
        <f>_xlfn.XLOOKUP(K41,道具表!$B:$B,道具表!$E:$E)</f>
        <v>0</v>
      </c>
      <c r="Q41" s="6">
        <f t="shared" si="5"/>
        <v>10918</v>
      </c>
      <c r="R41" s="19"/>
      <c r="S41" s="19">
        <f>D41-(F40*50)-D40</f>
        <v>900</v>
      </c>
    </row>
    <row r="42" ht="15.6" spans="3:19">
      <c r="C42" s="68"/>
      <c r="D42" s="6">
        <v>4000</v>
      </c>
      <c r="E42" s="6" t="s">
        <v>319</v>
      </c>
      <c r="F42" s="6">
        <v>1</v>
      </c>
      <c r="G42" s="29" t="s">
        <v>249</v>
      </c>
      <c r="H42" s="6">
        <v>2</v>
      </c>
      <c r="I42" s="6"/>
      <c r="J42" s="6"/>
      <c r="K42" s="6"/>
      <c r="L42" s="6"/>
      <c r="M42" s="6">
        <f>_xlfn.XLOOKUP(E42,道具表!$B:$B,道具表!$E:$E)</f>
        <v>25000</v>
      </c>
      <c r="N42" s="6">
        <f>_xlfn.XLOOKUP(G42,道具表!$B:$B,道具表!$E:$E)</f>
        <v>5000</v>
      </c>
      <c r="O42" s="6">
        <f>_xlfn.XLOOKUP(I42,道具表!$B:$B,道具表!$E:$E)</f>
        <v>0</v>
      </c>
      <c r="P42" s="6">
        <f>_xlfn.XLOOKUP(K42,道具表!$B:$B,道具表!$E:$E)</f>
        <v>0</v>
      </c>
      <c r="Q42" s="6">
        <f t="shared" si="5"/>
        <v>35000</v>
      </c>
      <c r="R42" s="19"/>
      <c r="S42" s="19">
        <f>D42-(H41*50)-D41</f>
        <v>1450</v>
      </c>
    </row>
    <row r="45" ht="15.6" spans="3:14">
      <c r="C45" s="7" t="s">
        <v>951</v>
      </c>
      <c r="D45" s="7" t="s">
        <v>338</v>
      </c>
      <c r="E45" s="7" t="s">
        <v>952</v>
      </c>
      <c r="F45" s="7" t="s">
        <v>815</v>
      </c>
      <c r="G45" s="7" t="s">
        <v>942</v>
      </c>
      <c r="H45" s="7" t="s">
        <v>816</v>
      </c>
      <c r="I45" s="7" t="s">
        <v>943</v>
      </c>
      <c r="J45" s="7" t="s">
        <v>339</v>
      </c>
      <c r="K45" s="7" t="s">
        <v>340</v>
      </c>
      <c r="L45" s="7" t="s">
        <v>341</v>
      </c>
      <c r="M45" s="6" t="s">
        <v>895</v>
      </c>
      <c r="N45" s="6" t="s">
        <v>342</v>
      </c>
    </row>
    <row r="46" ht="15.6" spans="3:14">
      <c r="C46" s="7"/>
      <c r="D46" s="7" t="s">
        <v>953</v>
      </c>
      <c r="E46" s="7">
        <v>1</v>
      </c>
      <c r="F46" s="29" t="s">
        <v>18</v>
      </c>
      <c r="G46" s="6">
        <v>1</v>
      </c>
      <c r="H46" s="7"/>
      <c r="I46" s="7"/>
      <c r="J46" s="6">
        <f>_xlfn.XLOOKUP(F46,道具表!$B:$B,道具表!$E:$E)</f>
        <v>0</v>
      </c>
      <c r="K46" s="6"/>
      <c r="L46" s="7">
        <f>G46*J46+I46*K46</f>
        <v>0</v>
      </c>
      <c r="M46" s="11"/>
      <c r="N46" s="6"/>
    </row>
    <row r="47" ht="15.6" spans="3:14">
      <c r="C47" s="7"/>
      <c r="D47" s="7">
        <v>30</v>
      </c>
      <c r="E47" s="7">
        <v>1</v>
      </c>
      <c r="F47" s="7" t="s">
        <v>48</v>
      </c>
      <c r="G47" s="6">
        <v>12</v>
      </c>
      <c r="H47" s="7"/>
      <c r="I47" s="7"/>
      <c r="J47" s="6">
        <f>_xlfn.XLOOKUP(F47,道具表!$B:$B,道具表!$E:$E)</f>
        <v>102</v>
      </c>
      <c r="K47" s="6">
        <f>_xlfn.XLOOKUP(H47,道具表!$B:$B,道具表!$E:$E)</f>
        <v>0</v>
      </c>
      <c r="L47" s="7">
        <f t="shared" ref="L47:L52" si="7">G47*J47+I47*K47</f>
        <v>1224</v>
      </c>
      <c r="M47" s="11">
        <f>L47/(D47*10)</f>
        <v>4.08</v>
      </c>
      <c r="N47" s="59">
        <f>10/M47</f>
        <v>2.45098039215686</v>
      </c>
    </row>
    <row r="48" ht="15.6" spans="3:14">
      <c r="C48" s="7"/>
      <c r="D48" s="7">
        <v>68</v>
      </c>
      <c r="E48" s="7">
        <v>1</v>
      </c>
      <c r="F48" s="7" t="s">
        <v>48</v>
      </c>
      <c r="G48" s="6">
        <v>25</v>
      </c>
      <c r="H48" s="7"/>
      <c r="I48" s="7"/>
      <c r="J48" s="6">
        <f>_xlfn.XLOOKUP(F48,道具表!$B:$B,道具表!$E:$E)</f>
        <v>102</v>
      </c>
      <c r="K48" s="6">
        <f>_xlfn.XLOOKUP(H48,道具表!$B:$B,道具表!$E:$E)</f>
        <v>0</v>
      </c>
      <c r="L48" s="7">
        <f t="shared" si="7"/>
        <v>2550</v>
      </c>
      <c r="M48" s="11">
        <f t="shared" ref="M47:M52" si="8">L48/(D48*10)</f>
        <v>3.75</v>
      </c>
      <c r="N48" s="59">
        <f>10/M48</f>
        <v>2.66666666666667</v>
      </c>
    </row>
    <row r="49" ht="15.6" spans="3:14">
      <c r="C49" s="7"/>
      <c r="D49" s="7">
        <v>128</v>
      </c>
      <c r="E49" s="7">
        <v>2</v>
      </c>
      <c r="F49" s="7" t="s">
        <v>48</v>
      </c>
      <c r="G49" s="6">
        <v>50</v>
      </c>
      <c r="H49" s="7"/>
      <c r="I49" s="7"/>
      <c r="J49" s="6">
        <f>_xlfn.XLOOKUP(F49,道具表!$B:$B,道具表!$E:$E)</f>
        <v>102</v>
      </c>
      <c r="K49" s="6">
        <f>_xlfn.XLOOKUP(H49,道具表!$B:$B,道具表!$E:$E)</f>
        <v>0</v>
      </c>
      <c r="L49" s="7">
        <f t="shared" si="7"/>
        <v>5100</v>
      </c>
      <c r="M49" s="11">
        <f t="shared" si="8"/>
        <v>3.984375</v>
      </c>
      <c r="N49" s="59">
        <f t="shared" ref="N47:N52" si="9">10/M49</f>
        <v>2.50980392156863</v>
      </c>
    </row>
    <row r="50" ht="15.6" spans="3:14">
      <c r="C50" s="7"/>
      <c r="D50" s="7">
        <v>198</v>
      </c>
      <c r="E50" s="7">
        <v>2</v>
      </c>
      <c r="F50" s="7" t="s">
        <v>49</v>
      </c>
      <c r="G50" s="6">
        <v>9</v>
      </c>
      <c r="H50" s="7"/>
      <c r="I50" s="7"/>
      <c r="J50" s="6">
        <f>_xlfn.XLOOKUP(F50,道具表!$B:$B,道具表!$E:$E)</f>
        <v>918</v>
      </c>
      <c r="K50" s="6">
        <f>_xlfn.XLOOKUP(H50,道具表!$B:$B,道具表!$E:$E)</f>
        <v>0</v>
      </c>
      <c r="L50" s="7">
        <f t="shared" si="7"/>
        <v>8262</v>
      </c>
      <c r="M50" s="11">
        <f t="shared" si="8"/>
        <v>4.17272727272727</v>
      </c>
      <c r="N50" s="59">
        <f t="shared" si="9"/>
        <v>2.39651416122004</v>
      </c>
    </row>
    <row r="51" ht="15.6" spans="3:14">
      <c r="C51" s="7"/>
      <c r="D51" s="7">
        <v>328</v>
      </c>
      <c r="E51" s="7">
        <v>5</v>
      </c>
      <c r="F51" s="7" t="s">
        <v>49</v>
      </c>
      <c r="G51" s="6">
        <v>15</v>
      </c>
      <c r="H51" s="7"/>
      <c r="I51" s="7"/>
      <c r="J51" s="6">
        <f>_xlfn.XLOOKUP(F51,道具表!$B:$B,道具表!$E:$E)</f>
        <v>918</v>
      </c>
      <c r="K51" s="6">
        <f>_xlfn.XLOOKUP(H51,道具表!$B:$B,道具表!$E:$E)</f>
        <v>0</v>
      </c>
      <c r="L51" s="7">
        <f t="shared" si="7"/>
        <v>13770</v>
      </c>
      <c r="M51" s="11">
        <f t="shared" si="8"/>
        <v>4.19817073170732</v>
      </c>
      <c r="N51" s="59">
        <f t="shared" si="9"/>
        <v>2.38198983297023</v>
      </c>
    </row>
    <row r="52" ht="15.6" spans="3:14">
      <c r="C52" s="7"/>
      <c r="D52" s="7">
        <v>648</v>
      </c>
      <c r="E52" s="7">
        <v>5</v>
      </c>
      <c r="F52" s="7" t="s">
        <v>49</v>
      </c>
      <c r="G52" s="6">
        <v>30</v>
      </c>
      <c r="H52" s="7"/>
      <c r="I52" s="7"/>
      <c r="J52" s="6">
        <f>_xlfn.XLOOKUP(F52,道具表!$B:$B,道具表!$E:$E)</f>
        <v>918</v>
      </c>
      <c r="K52" s="6">
        <f>_xlfn.XLOOKUP(H52,道具表!$B:$B,道具表!$E:$E)</f>
        <v>0</v>
      </c>
      <c r="L52" s="7">
        <f t="shared" si="7"/>
        <v>27540</v>
      </c>
      <c r="M52" s="11">
        <f t="shared" si="8"/>
        <v>4.25</v>
      </c>
      <c r="N52" s="59">
        <f t="shared" si="9"/>
        <v>2.35294117647059</v>
      </c>
    </row>
    <row r="59" ht="15.6" spans="3:19">
      <c r="C59" s="7" t="s">
        <v>941</v>
      </c>
      <c r="D59" s="6" t="str">
        <f>D16</f>
        <v>积分</v>
      </c>
      <c r="E59" s="6" t="s">
        <v>815</v>
      </c>
      <c r="F59" s="6" t="str">
        <f>IF(F16="","",F16&amp;",")</f>
        <v>数量1,</v>
      </c>
      <c r="G59" s="6" t="s">
        <v>816</v>
      </c>
      <c r="H59" s="6" t="str">
        <f t="shared" ref="H59:H85" si="10">IF(H16="","",H16&amp;",")</f>
        <v>数量2,</v>
      </c>
      <c r="I59" s="6" t="s">
        <v>817</v>
      </c>
      <c r="J59" s="6" t="str">
        <f t="shared" ref="J59:J85" si="11">IF(J16="","",J16&amp;",")</f>
        <v>数量3,</v>
      </c>
      <c r="K59" s="6" t="s">
        <v>903</v>
      </c>
      <c r="L59" s="6" t="str">
        <f t="shared" ref="L59:L85" si="12">IF(L16="","",L16&amp;",")</f>
        <v>数量4,</v>
      </c>
      <c r="M59" s="54" t="s">
        <v>327</v>
      </c>
      <c r="N59" s="6"/>
      <c r="O59" s="6"/>
      <c r="P59" s="6"/>
      <c r="Q59" s="6"/>
      <c r="S59" s="55"/>
    </row>
    <row r="60" ht="15.6" spans="3:19">
      <c r="C60" s="7"/>
      <c r="D60" s="6">
        <f t="shared" ref="D60:D85" si="13">D17</f>
        <v>150</v>
      </c>
      <c r="E60" s="6" t="str">
        <f>IF(E17="","",(_xlfn.XLOOKUP(E17,道具表!$B:$B,道具表!$C:$C)&amp;"|"&amp;_xlfn.XLOOKUP(E17,道具表!$B:$B,道具表!$A:$A)&amp;"|"))</f>
        <v>1|10009|</v>
      </c>
      <c r="F60" s="6" t="str">
        <f t="shared" ref="F60:F85" si="14">IF(F17="","",F17&amp;",")</f>
        <v>5,</v>
      </c>
      <c r="G60" s="6" t="str">
        <f>IF(G17="","",(_xlfn.XLOOKUP(G17,道具表!$B:$B,道具表!$C:$C)&amp;"|"&amp;_xlfn.XLOOKUP(G17,道具表!$B:$B,道具表!$A:$A)&amp;"|"))</f>
        <v/>
      </c>
      <c r="H60" s="6" t="str">
        <f t="shared" si="10"/>
        <v/>
      </c>
      <c r="I60" s="6" t="str">
        <f>IF(I17="","",(_xlfn.XLOOKUP(I17,道具表!$B:$B,道具表!$C:$C)&amp;"|"&amp;_xlfn.XLOOKUP(I17,道具表!$B:$B,道具表!$A:$A)&amp;"|"))</f>
        <v/>
      </c>
      <c r="J60" s="6" t="str">
        <f t="shared" si="11"/>
        <v/>
      </c>
      <c r="K60" s="6" t="str">
        <f>IF(K17="","",(_xlfn.XLOOKUP(K17,道具表!$B:$B,道具表!$C:$C)&amp;"|"&amp;_xlfn.XLOOKUP(K17,道具表!$B:$B,道具表!$A:$A)&amp;"|"))</f>
        <v/>
      </c>
      <c r="L60" s="6" t="str">
        <f t="shared" si="12"/>
        <v/>
      </c>
      <c r="M60" s="54" t="str">
        <f>LEFT(E60&amp;F60&amp;G60&amp;H60&amp;I60&amp;J60&amp;K60&amp;L60,LEN(E60&amp;F60&amp;G60&amp;H60&amp;I60&amp;J60&amp;K60&amp;L60)-1)</f>
        <v>1|10009|5</v>
      </c>
      <c r="N60" s="6"/>
      <c r="O60" s="6"/>
      <c r="P60" s="6"/>
      <c r="Q60" s="6"/>
      <c r="S60" s="55"/>
    </row>
    <row r="61" ht="15.6" spans="3:19">
      <c r="C61" s="7"/>
      <c r="D61" s="6">
        <f t="shared" si="13"/>
        <v>400</v>
      </c>
      <c r="E61" s="6" t="str">
        <f>IF(E18="","",(_xlfn.XLOOKUP(E18,道具表!$B:$B,道具表!$C:$C)&amp;"|"&amp;_xlfn.XLOOKUP(E18,道具表!$B:$B,道具表!$A:$A)&amp;"|"))</f>
        <v>1|10009|</v>
      </c>
      <c r="F61" s="6" t="str">
        <f t="shared" si="14"/>
        <v>10,</v>
      </c>
      <c r="G61" s="6" t="str">
        <f>IF(G18="","",(_xlfn.XLOOKUP(G18,道具表!$B:$B,道具表!$C:$C)&amp;"|"&amp;_xlfn.XLOOKUP(G18,道具表!$B:$B,道具表!$A:$A)&amp;"|"))</f>
        <v/>
      </c>
      <c r="H61" s="6" t="str">
        <f t="shared" si="10"/>
        <v/>
      </c>
      <c r="I61" s="6" t="str">
        <f>IF(I18="","",(_xlfn.XLOOKUP(I18,道具表!$B:$B,道具表!$C:$C)&amp;"|"&amp;_xlfn.XLOOKUP(I18,道具表!$B:$B,道具表!$A:$A)&amp;"|"))</f>
        <v/>
      </c>
      <c r="J61" s="6" t="str">
        <f t="shared" si="11"/>
        <v/>
      </c>
      <c r="K61" s="6" t="str">
        <f>IF(K18="","",(_xlfn.XLOOKUP(K18,道具表!$B:$B,道具表!$C:$C)&amp;"|"&amp;_xlfn.XLOOKUP(K18,道具表!$B:$B,道具表!$A:$A)&amp;"|"))</f>
        <v/>
      </c>
      <c r="L61" s="6" t="str">
        <f t="shared" si="12"/>
        <v/>
      </c>
      <c r="M61" s="54" t="str">
        <f t="shared" ref="M61:M70" si="15">LEFT(E61&amp;F61&amp;G61&amp;H61&amp;I61&amp;J61&amp;K61&amp;L61,LEN(E61&amp;F61&amp;G61&amp;H61&amp;I61&amp;J61&amp;K61&amp;L61)-1)</f>
        <v>1|10009|10</v>
      </c>
      <c r="N61" s="6"/>
      <c r="O61" s="6"/>
      <c r="P61" s="6"/>
      <c r="Q61" s="6"/>
      <c r="S61" s="55"/>
    </row>
    <row r="62" ht="15.6" spans="3:19">
      <c r="C62" s="7"/>
      <c r="D62" s="6">
        <f t="shared" si="13"/>
        <v>800</v>
      </c>
      <c r="E62" s="6" t="str">
        <f>IF(E19="","",(_xlfn.XLOOKUP(E19,道具表!$B:$B,道具表!$C:$C)&amp;"|"&amp;_xlfn.XLOOKUP(E19,道具表!$B:$B,道具表!$A:$A)&amp;"|"))</f>
        <v>1|10009|</v>
      </c>
      <c r="F62" s="6" t="str">
        <f t="shared" si="14"/>
        <v>15,</v>
      </c>
      <c r="G62" s="6" t="str">
        <f>IF(G19="","",(_xlfn.XLOOKUP(G19,道具表!$B:$B,道具表!$C:$C)&amp;"|"&amp;_xlfn.XLOOKUP(G19,道具表!$B:$B,道具表!$A:$A)&amp;"|"))</f>
        <v/>
      </c>
      <c r="H62" s="6" t="str">
        <f t="shared" si="10"/>
        <v/>
      </c>
      <c r="I62" s="6" t="str">
        <f>IF(I19="","",(_xlfn.XLOOKUP(I19,道具表!$B:$B,道具表!$C:$C)&amp;"|"&amp;_xlfn.XLOOKUP(I19,道具表!$B:$B,道具表!$A:$A)&amp;"|"))</f>
        <v/>
      </c>
      <c r="J62" s="6" t="str">
        <f t="shared" si="11"/>
        <v/>
      </c>
      <c r="K62" s="6" t="str">
        <f>IF(K19="","",(_xlfn.XLOOKUP(K19,道具表!$B:$B,道具表!$C:$C)&amp;"|"&amp;_xlfn.XLOOKUP(K19,道具表!$B:$B,道具表!$A:$A)&amp;"|"))</f>
        <v/>
      </c>
      <c r="L62" s="6" t="str">
        <f t="shared" si="12"/>
        <v/>
      </c>
      <c r="M62" s="54" t="str">
        <f t="shared" si="15"/>
        <v>1|10009|15</v>
      </c>
      <c r="N62" s="6"/>
      <c r="O62" s="6"/>
      <c r="P62" s="6"/>
      <c r="Q62" s="6"/>
      <c r="S62" s="55"/>
    </row>
    <row r="63" ht="15.6" spans="3:19">
      <c r="C63" s="7"/>
      <c r="D63" s="6">
        <f t="shared" si="13"/>
        <v>1400</v>
      </c>
      <c r="E63" s="6" t="str">
        <f>IF(E20="","",(_xlfn.XLOOKUP(E20,道具表!$B:$B,道具表!$C:$C)&amp;"|"&amp;_xlfn.XLOOKUP(E20,道具表!$B:$B,道具表!$A:$A)&amp;"|"))</f>
        <v>1|10010|</v>
      </c>
      <c r="F63" s="6" t="str">
        <f t="shared" si="14"/>
        <v>4,</v>
      </c>
      <c r="G63" s="6" t="str">
        <f>IF(G20="","",(_xlfn.XLOOKUP(G20,道具表!$B:$B,道具表!$C:$C)&amp;"|"&amp;_xlfn.XLOOKUP(G20,道具表!$B:$B,道具表!$A:$A)&amp;"|"))</f>
        <v/>
      </c>
      <c r="H63" s="6" t="str">
        <f t="shared" si="10"/>
        <v/>
      </c>
      <c r="I63" s="6" t="str">
        <f>IF(I20="","",(_xlfn.XLOOKUP(I20,道具表!$B:$B,道具表!$C:$C)&amp;"|"&amp;_xlfn.XLOOKUP(I20,道具表!$B:$B,道具表!$A:$A)&amp;"|"))</f>
        <v/>
      </c>
      <c r="J63" s="6" t="str">
        <f t="shared" si="11"/>
        <v/>
      </c>
      <c r="K63" s="6" t="str">
        <f>IF(K20="","",(_xlfn.XLOOKUP(K20,道具表!$B:$B,道具表!$C:$C)&amp;"|"&amp;_xlfn.XLOOKUP(K20,道具表!$B:$B,道具表!$A:$A)&amp;"|"))</f>
        <v/>
      </c>
      <c r="L63" s="6" t="str">
        <f t="shared" si="12"/>
        <v/>
      </c>
      <c r="M63" s="54" t="str">
        <f t="shared" si="15"/>
        <v>1|10010|4</v>
      </c>
      <c r="N63" s="6"/>
      <c r="O63" s="6"/>
      <c r="P63" s="6"/>
      <c r="Q63" s="6"/>
      <c r="S63" s="55"/>
    </row>
    <row r="64" ht="15.6" spans="3:19">
      <c r="C64" s="7"/>
      <c r="D64" s="6">
        <f t="shared" si="13"/>
        <v>2500</v>
      </c>
      <c r="E64" s="6" t="str">
        <f>IF(E21="","",(_xlfn.XLOOKUP(E21,道具表!$B:$B,道具表!$C:$C)&amp;"|"&amp;_xlfn.XLOOKUP(E21,道具表!$B:$B,道具表!$A:$A)&amp;"|"))</f>
        <v>16|402|</v>
      </c>
      <c r="F64" s="6" t="str">
        <f t="shared" si="14"/>
        <v>1,</v>
      </c>
      <c r="G64" s="6" t="str">
        <f>IF(G21="","",(_xlfn.XLOOKUP(G21,道具表!$B:$B,道具表!$C:$C)&amp;"|"&amp;_xlfn.XLOOKUP(G21,道具表!$B:$B,道具表!$A:$A)&amp;"|"))</f>
        <v>1|10010|</v>
      </c>
      <c r="H64" s="6" t="str">
        <f t="shared" si="10"/>
        <v>1,</v>
      </c>
      <c r="I64" s="6" t="str">
        <f>IF(I21="","",(_xlfn.XLOOKUP(I21,道具表!$B:$B,道具表!$C:$C)&amp;"|"&amp;_xlfn.XLOOKUP(I21,道具表!$B:$B,道具表!$A:$A)&amp;"|"))</f>
        <v/>
      </c>
      <c r="J64" s="6" t="str">
        <f t="shared" si="11"/>
        <v/>
      </c>
      <c r="K64" s="6" t="str">
        <f>IF(K21="","",(_xlfn.XLOOKUP(K21,道具表!$B:$B,道具表!$C:$C)&amp;"|"&amp;_xlfn.XLOOKUP(K21,道具表!$B:$B,道具表!$A:$A)&amp;"|"))</f>
        <v/>
      </c>
      <c r="L64" s="6" t="str">
        <f t="shared" si="12"/>
        <v/>
      </c>
      <c r="M64" s="54" t="str">
        <f t="shared" si="15"/>
        <v>16|402|1,1|10010|1</v>
      </c>
      <c r="N64" s="6"/>
      <c r="O64" s="6"/>
      <c r="P64" s="6"/>
      <c r="Q64" s="6"/>
      <c r="S64" s="55"/>
    </row>
    <row r="65" ht="15.6" spans="3:17">
      <c r="C65" s="7" t="s">
        <v>941</v>
      </c>
      <c r="D65" s="6" t="str">
        <f t="shared" si="13"/>
        <v>积分</v>
      </c>
      <c r="E65" s="6" t="s">
        <v>815</v>
      </c>
      <c r="F65" s="6" t="str">
        <f t="shared" si="14"/>
        <v>数量1,</v>
      </c>
      <c r="G65" s="6" t="s">
        <v>816</v>
      </c>
      <c r="H65" s="6" t="str">
        <f t="shared" si="10"/>
        <v>数量2,</v>
      </c>
      <c r="I65" s="6" t="s">
        <v>817</v>
      </c>
      <c r="J65" s="6" t="str">
        <f t="shared" si="11"/>
        <v>数量3,</v>
      </c>
      <c r="K65" s="6" t="s">
        <v>903</v>
      </c>
      <c r="L65" s="6" t="str">
        <f t="shared" si="12"/>
        <v>数量4,</v>
      </c>
      <c r="M65" s="54" t="s">
        <v>339</v>
      </c>
      <c r="N65" s="6"/>
      <c r="O65" s="6"/>
      <c r="P65" s="6"/>
      <c r="Q65" s="6"/>
    </row>
    <row r="66" ht="15.6" spans="3:19">
      <c r="C66" s="7"/>
      <c r="D66" s="6">
        <f t="shared" si="13"/>
        <v>150</v>
      </c>
      <c r="E66" s="6" t="str">
        <f>IF(E23="","",(_xlfn.XLOOKUP(E23,道具表!$B:$B,道具表!$C:$C)&amp;"|"&amp;_xlfn.XLOOKUP(E23,道具表!$B:$B,道具表!$A:$A)&amp;"|"))</f>
        <v>1|10009|</v>
      </c>
      <c r="F66" s="6" t="str">
        <f t="shared" si="14"/>
        <v>5,</v>
      </c>
      <c r="G66" s="6" t="str">
        <f>IF(G23="","",(_xlfn.XLOOKUP(G23,道具表!$B:$B,道具表!$C:$C)&amp;"|"&amp;_xlfn.XLOOKUP(G23,道具表!$B:$B,道具表!$A:$A)&amp;"|"))</f>
        <v/>
      </c>
      <c r="H66" s="6" t="str">
        <f t="shared" si="10"/>
        <v/>
      </c>
      <c r="I66" s="6" t="str">
        <f>IF(I23="","",(_xlfn.XLOOKUP(I23,道具表!$B:$B,道具表!$C:$C)&amp;"|"&amp;_xlfn.XLOOKUP(I23,道具表!$B:$B,道具表!$A:$A)&amp;"|"))</f>
        <v/>
      </c>
      <c r="J66" s="6" t="str">
        <f t="shared" si="11"/>
        <v/>
      </c>
      <c r="K66" s="6" t="str">
        <f>IF(K23="","",(_xlfn.XLOOKUP(K23,道具表!$B:$B,道具表!$C:$C)&amp;"|"&amp;_xlfn.XLOOKUP(K23,道具表!$B:$B,道具表!$A:$A)&amp;"|"))</f>
        <v/>
      </c>
      <c r="L66" s="6" t="str">
        <f t="shared" si="12"/>
        <v/>
      </c>
      <c r="M66" s="54" t="str">
        <f t="shared" si="15"/>
        <v>1|10009|5</v>
      </c>
      <c r="N66" s="6"/>
      <c r="O66" s="6"/>
      <c r="P66" s="6"/>
      <c r="Q66" s="6"/>
      <c r="S66" s="55"/>
    </row>
    <row r="67" ht="15.6" spans="3:19">
      <c r="C67" s="7"/>
      <c r="D67" s="6">
        <f t="shared" si="13"/>
        <v>400</v>
      </c>
      <c r="E67" s="6" t="str">
        <f>IF(E24="","",(_xlfn.XLOOKUP(E24,道具表!$B:$B,道具表!$C:$C)&amp;"|"&amp;_xlfn.XLOOKUP(E24,道具表!$B:$B,道具表!$A:$A)&amp;"|"))</f>
        <v>1|10009|</v>
      </c>
      <c r="F67" s="6" t="str">
        <f t="shared" si="14"/>
        <v>10,</v>
      </c>
      <c r="G67" s="6" t="str">
        <f>IF(G24="","",(_xlfn.XLOOKUP(G24,道具表!$B:$B,道具表!$C:$C)&amp;"|"&amp;_xlfn.XLOOKUP(G24,道具表!$B:$B,道具表!$A:$A)&amp;"|"))</f>
        <v/>
      </c>
      <c r="H67" s="6" t="str">
        <f t="shared" si="10"/>
        <v/>
      </c>
      <c r="I67" s="6" t="str">
        <f>IF(I24="","",(_xlfn.XLOOKUP(I24,道具表!$B:$B,道具表!$C:$C)&amp;"|"&amp;_xlfn.XLOOKUP(I24,道具表!$B:$B,道具表!$A:$A)&amp;"|"))</f>
        <v/>
      </c>
      <c r="J67" s="6" t="str">
        <f t="shared" si="11"/>
        <v/>
      </c>
      <c r="K67" s="6" t="str">
        <f>IF(K24="","",(_xlfn.XLOOKUP(K24,道具表!$B:$B,道具表!$C:$C)&amp;"|"&amp;_xlfn.XLOOKUP(K24,道具表!$B:$B,道具表!$A:$A)&amp;"|"))</f>
        <v/>
      </c>
      <c r="L67" s="6" t="str">
        <f t="shared" si="12"/>
        <v/>
      </c>
      <c r="M67" s="54" t="str">
        <f t="shared" si="15"/>
        <v>1|10009|10</v>
      </c>
      <c r="N67" s="6"/>
      <c r="O67" s="6"/>
      <c r="P67" s="6"/>
      <c r="Q67" s="6"/>
      <c r="S67" s="55"/>
    </row>
    <row r="68" ht="15.6" spans="3:19">
      <c r="C68" s="7"/>
      <c r="D68" s="6">
        <f t="shared" si="13"/>
        <v>800</v>
      </c>
      <c r="E68" s="6" t="str">
        <f>IF(E25="","",(_xlfn.XLOOKUP(E25,道具表!$B:$B,道具表!$C:$C)&amp;"|"&amp;_xlfn.XLOOKUP(E25,道具表!$B:$B,道具表!$A:$A)&amp;"|"))</f>
        <v>1|10009|</v>
      </c>
      <c r="F68" s="6" t="str">
        <f t="shared" si="14"/>
        <v>15,</v>
      </c>
      <c r="G68" s="6" t="str">
        <f>IF(G25="","",(_xlfn.XLOOKUP(G25,道具表!$B:$B,道具表!$C:$C)&amp;"|"&amp;_xlfn.XLOOKUP(G25,道具表!$B:$B,道具表!$A:$A)&amp;"|"))</f>
        <v/>
      </c>
      <c r="H68" s="6" t="str">
        <f t="shared" si="10"/>
        <v/>
      </c>
      <c r="I68" s="6" t="str">
        <f>IF(I25="","",(_xlfn.XLOOKUP(I25,道具表!$B:$B,道具表!$C:$C)&amp;"|"&amp;_xlfn.XLOOKUP(I25,道具表!$B:$B,道具表!$A:$A)&amp;"|"))</f>
        <v/>
      </c>
      <c r="J68" s="6" t="str">
        <f t="shared" si="11"/>
        <v/>
      </c>
      <c r="K68" s="6" t="str">
        <f>IF(K25="","",(_xlfn.XLOOKUP(K25,道具表!$B:$B,道具表!$C:$C)&amp;"|"&amp;_xlfn.XLOOKUP(K25,道具表!$B:$B,道具表!$A:$A)&amp;"|"))</f>
        <v/>
      </c>
      <c r="L68" s="6" t="str">
        <f t="shared" si="12"/>
        <v/>
      </c>
      <c r="M68" s="54" t="str">
        <f t="shared" si="15"/>
        <v>1|10009|15</v>
      </c>
      <c r="N68" s="6"/>
      <c r="O68" s="6"/>
      <c r="P68" s="6"/>
      <c r="Q68" s="6"/>
      <c r="S68" s="55"/>
    </row>
    <row r="69" ht="15.6" spans="3:19">
      <c r="C69" s="7"/>
      <c r="D69" s="6">
        <f t="shared" si="13"/>
        <v>1400</v>
      </c>
      <c r="E69" s="6" t="str">
        <f>IF(E26="","",(_xlfn.XLOOKUP(E26,道具表!$B:$B,道具表!$C:$C)&amp;"|"&amp;_xlfn.XLOOKUP(E26,道具表!$B:$B,道具表!$A:$A)&amp;"|"))</f>
        <v>1|10010|</v>
      </c>
      <c r="F69" s="6" t="str">
        <f t="shared" si="14"/>
        <v>4,</v>
      </c>
      <c r="G69" s="6" t="str">
        <f>IF(G26="","",(_xlfn.XLOOKUP(G26,道具表!$B:$B,道具表!$C:$C)&amp;"|"&amp;_xlfn.XLOOKUP(G26,道具表!$B:$B,道具表!$A:$A)&amp;"|"))</f>
        <v/>
      </c>
      <c r="H69" s="6" t="str">
        <f t="shared" si="10"/>
        <v/>
      </c>
      <c r="I69" s="6" t="str">
        <f>IF(I26="","",(_xlfn.XLOOKUP(I26,道具表!$B:$B,道具表!$C:$C)&amp;"|"&amp;_xlfn.XLOOKUP(I26,道具表!$B:$B,道具表!$A:$A)&amp;"|"))</f>
        <v/>
      </c>
      <c r="J69" s="6" t="str">
        <f t="shared" si="11"/>
        <v/>
      </c>
      <c r="K69" s="6" t="str">
        <f>IF(K26="","",(_xlfn.XLOOKUP(K26,道具表!$B:$B,道具表!$C:$C)&amp;"|"&amp;_xlfn.XLOOKUP(K26,道具表!$B:$B,道具表!$A:$A)&amp;"|"))</f>
        <v/>
      </c>
      <c r="L69" s="6" t="str">
        <f t="shared" si="12"/>
        <v/>
      </c>
      <c r="M69" s="54" t="str">
        <f t="shared" si="15"/>
        <v>1|10010|4</v>
      </c>
      <c r="N69" s="6"/>
      <c r="O69" s="6"/>
      <c r="P69" s="6"/>
      <c r="Q69" s="6"/>
      <c r="S69" s="55"/>
    </row>
    <row r="70" ht="15.6" spans="3:19">
      <c r="C70" s="7"/>
      <c r="D70" s="6">
        <f t="shared" si="13"/>
        <v>2500</v>
      </c>
      <c r="E70" s="6" t="str">
        <f>IF(E27="","",(_xlfn.XLOOKUP(E27,道具表!$B:$B,道具表!$C:$C)&amp;"|"&amp;_xlfn.XLOOKUP(E27,道具表!$B:$B,道具表!$A:$A)&amp;"|"))</f>
        <v>16|402|</v>
      </c>
      <c r="F70" s="6" t="str">
        <f t="shared" si="14"/>
        <v>1,</v>
      </c>
      <c r="G70" s="6" t="str">
        <f>IF(G27="","",(_xlfn.XLOOKUP(G27,道具表!$B:$B,道具表!$C:$C)&amp;"|"&amp;_xlfn.XLOOKUP(G27,道具表!$B:$B,道具表!$A:$A)&amp;"|"))</f>
        <v>1|10010|</v>
      </c>
      <c r="H70" s="6" t="str">
        <f t="shared" si="10"/>
        <v>1,</v>
      </c>
      <c r="I70" s="6" t="str">
        <f>IF(I27="","",(_xlfn.XLOOKUP(I27,道具表!$B:$B,道具表!$C:$C)&amp;"|"&amp;_xlfn.XLOOKUP(I27,道具表!$B:$B,道具表!$A:$A)&amp;"|"))</f>
        <v/>
      </c>
      <c r="J70" s="6" t="str">
        <f t="shared" si="11"/>
        <v/>
      </c>
      <c r="K70" s="6" t="str">
        <f>IF(K27="","",(_xlfn.XLOOKUP(K27,道具表!$B:$B,道具表!$C:$C)&amp;"|"&amp;_xlfn.XLOOKUP(K27,道具表!$B:$B,道具表!$A:$A)&amp;"|"))</f>
        <v/>
      </c>
      <c r="L70" s="6" t="str">
        <f t="shared" si="12"/>
        <v/>
      </c>
      <c r="M70" s="54" t="str">
        <f t="shared" si="15"/>
        <v>16|402|1,1|10010|1</v>
      </c>
      <c r="N70" s="6"/>
      <c r="O70" s="6"/>
      <c r="P70" s="6"/>
      <c r="Q70" s="6"/>
      <c r="S70" s="55"/>
    </row>
    <row r="71" ht="15.6" spans="3:19">
      <c r="C71" s="7"/>
      <c r="D71" s="6">
        <f t="shared" si="13"/>
        <v>4000</v>
      </c>
      <c r="E71" s="6" t="str">
        <f>IF(E28="","",(_xlfn.XLOOKUP(E28,道具表!$B:$B,道具表!$C:$C)&amp;"|"&amp;_xlfn.XLOOKUP(E28,道具表!$B:$B,道具表!$A:$A)&amp;"|"))</f>
        <v>16|401|</v>
      </c>
      <c r="F71" s="6" t="str">
        <f t="shared" si="14"/>
        <v>1,</v>
      </c>
      <c r="G71" s="6" t="str">
        <f>IF(G28="","",(_xlfn.XLOOKUP(G28,道具表!$B:$B,道具表!$C:$C)&amp;"|"&amp;_xlfn.XLOOKUP(G28,道具表!$B:$B,道具表!$A:$A)&amp;"|"))</f>
        <v>9|501|</v>
      </c>
      <c r="H71" s="6" t="str">
        <f t="shared" si="10"/>
        <v>2,</v>
      </c>
      <c r="I71" s="6" t="str">
        <f>IF(I28="","",(_xlfn.XLOOKUP(I28,道具表!$B:$B,道具表!$C:$C)&amp;"|"&amp;_xlfn.XLOOKUP(I28,道具表!$B:$B,道具表!$A:$A)&amp;"|"))</f>
        <v/>
      </c>
      <c r="J71" s="6" t="str">
        <f t="shared" si="11"/>
        <v/>
      </c>
      <c r="K71" s="6" t="str">
        <f>IF(K28="","",(_xlfn.XLOOKUP(K28,道具表!$B:$B,道具表!$C:$C)&amp;"|"&amp;_xlfn.XLOOKUP(K28,道具表!$B:$B,道具表!$A:$A)&amp;"|"))</f>
        <v/>
      </c>
      <c r="L71" s="6" t="str">
        <f t="shared" si="12"/>
        <v/>
      </c>
      <c r="M71" s="54" t="str">
        <f t="shared" ref="M71:M78" si="16">LEFT(E71&amp;F71&amp;G71&amp;H71&amp;I71&amp;J71&amp;K71&amp;L71,LEN(E71&amp;F71&amp;G71&amp;H71&amp;I71&amp;J71&amp;K71&amp;L71)-1)</f>
        <v>16|401|1,9|501|2</v>
      </c>
      <c r="N71" s="6"/>
      <c r="O71" s="6"/>
      <c r="P71" s="6"/>
      <c r="Q71" s="6"/>
      <c r="S71" s="55"/>
    </row>
    <row r="72" ht="15.6" spans="3:17">
      <c r="C72" s="7" t="s">
        <v>941</v>
      </c>
      <c r="D72" s="6" t="str">
        <f t="shared" si="13"/>
        <v>积分</v>
      </c>
      <c r="E72" s="6" t="s">
        <v>815</v>
      </c>
      <c r="F72" s="6" t="str">
        <f t="shared" si="14"/>
        <v>数量1,</v>
      </c>
      <c r="G72" s="6" t="s">
        <v>816</v>
      </c>
      <c r="H72" s="6" t="str">
        <f t="shared" si="10"/>
        <v>数量2,</v>
      </c>
      <c r="I72" s="6" t="s">
        <v>817</v>
      </c>
      <c r="J72" s="6" t="str">
        <f t="shared" si="11"/>
        <v>数量3,</v>
      </c>
      <c r="K72" s="6" t="s">
        <v>903</v>
      </c>
      <c r="L72" s="6" t="str">
        <f t="shared" si="12"/>
        <v>数量4,</v>
      </c>
      <c r="M72" s="54" t="s">
        <v>339</v>
      </c>
      <c r="N72" s="6"/>
      <c r="O72" s="6"/>
      <c r="P72" s="6"/>
      <c r="Q72" s="6"/>
    </row>
    <row r="73" ht="15.6" spans="3:19">
      <c r="C73" s="7"/>
      <c r="D73" s="6">
        <f t="shared" si="13"/>
        <v>150</v>
      </c>
      <c r="E73" s="6" t="str">
        <f>IF(E30="","",(_xlfn.XLOOKUP(E30,道具表!$B:$B,道具表!$C:$C)&amp;"|"&amp;_xlfn.XLOOKUP(E30,道具表!$B:$B,道具表!$A:$A)&amp;"|"))</f>
        <v>1|10009|</v>
      </c>
      <c r="F73" s="6" t="str">
        <f t="shared" si="14"/>
        <v>5,</v>
      </c>
      <c r="G73" s="6" t="str">
        <f>IF(G30="","",(_xlfn.XLOOKUP(G30,道具表!$B:$B,道具表!$C:$C)&amp;"|"&amp;_xlfn.XLOOKUP(G30,道具表!$B:$B,道具表!$A:$A)&amp;"|"))</f>
        <v/>
      </c>
      <c r="H73" s="6" t="str">
        <f t="shared" si="10"/>
        <v/>
      </c>
      <c r="I73" s="6" t="str">
        <f>IF(I30="","",(_xlfn.XLOOKUP(I30,道具表!$B:$B,道具表!$C:$C)&amp;"|"&amp;_xlfn.XLOOKUP(I30,道具表!$B:$B,道具表!$A:$A)&amp;"|"))</f>
        <v/>
      </c>
      <c r="J73" s="6" t="str">
        <f t="shared" si="11"/>
        <v/>
      </c>
      <c r="K73" s="6" t="str">
        <f>IF(K30="","",(_xlfn.XLOOKUP(K30,道具表!$B:$B,道具表!$C:$C)&amp;"|"&amp;_xlfn.XLOOKUP(K30,道具表!$B:$B,道具表!$A:$A)&amp;"|"))</f>
        <v/>
      </c>
      <c r="L73" s="6" t="str">
        <f t="shared" si="12"/>
        <v/>
      </c>
      <c r="M73" s="54" t="str">
        <f t="shared" si="16"/>
        <v>1|10009|5</v>
      </c>
      <c r="N73" s="6"/>
      <c r="O73" s="6"/>
      <c r="P73" s="6"/>
      <c r="Q73" s="6"/>
      <c r="S73" s="55"/>
    </row>
    <row r="74" ht="15.6" spans="3:19">
      <c r="C74" s="7"/>
      <c r="D74" s="6">
        <f t="shared" si="13"/>
        <v>400</v>
      </c>
      <c r="E74" s="6" t="str">
        <f>IF(E31="","",(_xlfn.XLOOKUP(E31,道具表!$B:$B,道具表!$C:$C)&amp;"|"&amp;_xlfn.XLOOKUP(E31,道具表!$B:$B,道具表!$A:$A)&amp;"|"))</f>
        <v>1|10009|</v>
      </c>
      <c r="F74" s="6" t="str">
        <f t="shared" si="14"/>
        <v>10,</v>
      </c>
      <c r="G74" s="6" t="str">
        <f>IF(G31="","",(_xlfn.XLOOKUP(G31,道具表!$B:$B,道具表!$C:$C)&amp;"|"&amp;_xlfn.XLOOKUP(G31,道具表!$B:$B,道具表!$A:$A)&amp;"|"))</f>
        <v/>
      </c>
      <c r="H74" s="6" t="str">
        <f t="shared" si="10"/>
        <v/>
      </c>
      <c r="I74" s="6" t="str">
        <f>IF(I31="","",(_xlfn.XLOOKUP(I31,道具表!$B:$B,道具表!$C:$C)&amp;"|"&amp;_xlfn.XLOOKUP(I31,道具表!$B:$B,道具表!$A:$A)&amp;"|"))</f>
        <v/>
      </c>
      <c r="J74" s="6" t="str">
        <f t="shared" si="11"/>
        <v/>
      </c>
      <c r="K74" s="6" t="str">
        <f>IF(K31="","",(_xlfn.XLOOKUP(K31,道具表!$B:$B,道具表!$C:$C)&amp;"|"&amp;_xlfn.XLOOKUP(K31,道具表!$B:$B,道具表!$A:$A)&amp;"|"))</f>
        <v/>
      </c>
      <c r="L74" s="6" t="str">
        <f t="shared" si="12"/>
        <v/>
      </c>
      <c r="M74" s="54" t="str">
        <f t="shared" si="16"/>
        <v>1|10009|10</v>
      </c>
      <c r="N74" s="6"/>
      <c r="O74" s="6"/>
      <c r="P74" s="6"/>
      <c r="Q74" s="6"/>
      <c r="S74" s="55"/>
    </row>
    <row r="75" ht="15.6" spans="3:19">
      <c r="C75" s="7"/>
      <c r="D75" s="6">
        <f t="shared" si="13"/>
        <v>800</v>
      </c>
      <c r="E75" s="6" t="str">
        <f>IF(E32="","",(_xlfn.XLOOKUP(E32,道具表!$B:$B,道具表!$C:$C)&amp;"|"&amp;_xlfn.XLOOKUP(E32,道具表!$B:$B,道具表!$A:$A)&amp;"|"))</f>
        <v>1|10009|</v>
      </c>
      <c r="F75" s="6" t="str">
        <f t="shared" si="14"/>
        <v>15,</v>
      </c>
      <c r="G75" s="6" t="str">
        <f>IF(G32="","",(_xlfn.XLOOKUP(G32,道具表!$B:$B,道具表!$C:$C)&amp;"|"&amp;_xlfn.XLOOKUP(G32,道具表!$B:$B,道具表!$A:$A)&amp;"|"))</f>
        <v/>
      </c>
      <c r="H75" s="6" t="str">
        <f t="shared" si="10"/>
        <v/>
      </c>
      <c r="I75" s="6" t="str">
        <f>IF(I32="","",(_xlfn.XLOOKUP(I32,道具表!$B:$B,道具表!$C:$C)&amp;"|"&amp;_xlfn.XLOOKUP(I32,道具表!$B:$B,道具表!$A:$A)&amp;"|"))</f>
        <v/>
      </c>
      <c r="J75" s="6" t="str">
        <f t="shared" si="11"/>
        <v/>
      </c>
      <c r="K75" s="6" t="str">
        <f>IF(K32="","",(_xlfn.XLOOKUP(K32,道具表!$B:$B,道具表!$C:$C)&amp;"|"&amp;_xlfn.XLOOKUP(K32,道具表!$B:$B,道具表!$A:$A)&amp;"|"))</f>
        <v/>
      </c>
      <c r="L75" s="6" t="str">
        <f t="shared" si="12"/>
        <v/>
      </c>
      <c r="M75" s="54" t="str">
        <f t="shared" si="16"/>
        <v>1|10009|15</v>
      </c>
      <c r="N75" s="6"/>
      <c r="O75" s="6"/>
      <c r="P75" s="6"/>
      <c r="Q75" s="6"/>
      <c r="S75" s="55"/>
    </row>
    <row r="76" ht="15.6" spans="3:19">
      <c r="C76" s="7"/>
      <c r="D76" s="6">
        <f t="shared" si="13"/>
        <v>1400</v>
      </c>
      <c r="E76" s="6" t="str">
        <f>IF(E33="","",(_xlfn.XLOOKUP(E33,道具表!$B:$B,道具表!$C:$C)&amp;"|"&amp;_xlfn.XLOOKUP(E33,道具表!$B:$B,道具表!$A:$A)&amp;"|"))</f>
        <v>1|10010|</v>
      </c>
      <c r="F76" s="6" t="str">
        <f t="shared" si="14"/>
        <v>4,</v>
      </c>
      <c r="G76" s="6" t="str">
        <f>IF(G33="","",(_xlfn.XLOOKUP(G33,道具表!$B:$B,道具表!$C:$C)&amp;"|"&amp;_xlfn.XLOOKUP(G33,道具表!$B:$B,道具表!$A:$A)&amp;"|"))</f>
        <v/>
      </c>
      <c r="H76" s="6" t="str">
        <f t="shared" si="10"/>
        <v/>
      </c>
      <c r="I76" s="6" t="str">
        <f>IF(I33="","",(_xlfn.XLOOKUP(I33,道具表!$B:$B,道具表!$C:$C)&amp;"|"&amp;_xlfn.XLOOKUP(I33,道具表!$B:$B,道具表!$A:$A)&amp;"|"))</f>
        <v/>
      </c>
      <c r="J76" s="6" t="str">
        <f t="shared" si="11"/>
        <v/>
      </c>
      <c r="K76" s="6" t="str">
        <f>IF(K33="","",(_xlfn.XLOOKUP(K33,道具表!$B:$B,道具表!$C:$C)&amp;"|"&amp;_xlfn.XLOOKUP(K33,道具表!$B:$B,道具表!$A:$A)&amp;"|"))</f>
        <v/>
      </c>
      <c r="L76" s="6" t="str">
        <f t="shared" si="12"/>
        <v/>
      </c>
      <c r="M76" s="54" t="str">
        <f t="shared" si="16"/>
        <v>1|10010|4</v>
      </c>
      <c r="N76" s="6"/>
      <c r="O76" s="6"/>
      <c r="P76" s="6"/>
      <c r="Q76" s="6"/>
      <c r="S76" s="55"/>
    </row>
    <row r="77" ht="15.6" spans="3:19">
      <c r="C77" s="7"/>
      <c r="D77" s="6">
        <f t="shared" si="13"/>
        <v>2500</v>
      </c>
      <c r="E77" s="6" t="str">
        <f>IF(E34="","",(_xlfn.XLOOKUP(E34,道具表!$B:$B,道具表!$C:$C)&amp;"|"&amp;_xlfn.XLOOKUP(E34,道具表!$B:$B,道具表!$A:$A)&amp;"|"))</f>
        <v>16|402|</v>
      </c>
      <c r="F77" s="6" t="str">
        <f t="shared" si="14"/>
        <v>1,</v>
      </c>
      <c r="G77" s="6" t="str">
        <f>IF(G34="","",(_xlfn.XLOOKUP(G34,道具表!$B:$B,道具表!$C:$C)&amp;"|"&amp;_xlfn.XLOOKUP(G34,道具表!$B:$B,道具表!$A:$A)&amp;"|"))</f>
        <v>1|10010|</v>
      </c>
      <c r="H77" s="6" t="str">
        <f t="shared" si="10"/>
        <v>1,</v>
      </c>
      <c r="I77" s="6" t="str">
        <f>IF(I34="","",(_xlfn.XLOOKUP(I34,道具表!$B:$B,道具表!$C:$C)&amp;"|"&amp;_xlfn.XLOOKUP(I34,道具表!$B:$B,道具表!$A:$A)&amp;"|"))</f>
        <v/>
      </c>
      <c r="J77" s="6" t="str">
        <f t="shared" si="11"/>
        <v/>
      </c>
      <c r="K77" s="6" t="str">
        <f>IF(K34="","",(_xlfn.XLOOKUP(K34,道具表!$B:$B,道具表!$C:$C)&amp;"|"&amp;_xlfn.XLOOKUP(K34,道具表!$B:$B,道具表!$A:$A)&amp;"|"))</f>
        <v/>
      </c>
      <c r="L77" s="6" t="str">
        <f t="shared" si="12"/>
        <v/>
      </c>
      <c r="M77" s="54" t="str">
        <f t="shared" si="16"/>
        <v>16|402|1,1|10010|1</v>
      </c>
      <c r="N77" s="6"/>
      <c r="O77" s="6"/>
      <c r="P77" s="6"/>
      <c r="Q77" s="6"/>
      <c r="S77" s="55"/>
    </row>
    <row r="78" ht="15.6" spans="3:19">
      <c r="C78" s="7"/>
      <c r="D78" s="6">
        <f t="shared" si="13"/>
        <v>4000</v>
      </c>
      <c r="E78" s="6" t="str">
        <f>IF(E35="","",(_xlfn.XLOOKUP(E35,道具表!$B:$B,道具表!$C:$C)&amp;"|"&amp;_xlfn.XLOOKUP(E35,道具表!$B:$B,道具表!$A:$A)&amp;"|"))</f>
        <v>16|401|</v>
      </c>
      <c r="F78" s="6" t="str">
        <f t="shared" si="14"/>
        <v>1,</v>
      </c>
      <c r="G78" s="6" t="str">
        <f>IF(G35="","",(_xlfn.XLOOKUP(G35,道具表!$B:$B,道具表!$C:$C)&amp;"|"&amp;_xlfn.XLOOKUP(G35,道具表!$B:$B,道具表!$A:$A)&amp;"|"))</f>
        <v>9|501|</v>
      </c>
      <c r="H78" s="6" t="str">
        <f t="shared" si="10"/>
        <v>2,</v>
      </c>
      <c r="I78" s="6" t="str">
        <f>IF(I35="","",(_xlfn.XLOOKUP(I35,道具表!$B:$B,道具表!$C:$C)&amp;"|"&amp;_xlfn.XLOOKUP(I35,道具表!$B:$B,道具表!$A:$A)&amp;"|"))</f>
        <v/>
      </c>
      <c r="J78" s="6" t="str">
        <f t="shared" si="11"/>
        <v/>
      </c>
      <c r="K78" s="6" t="str">
        <f>IF(K35="","",(_xlfn.XLOOKUP(K35,道具表!$B:$B,道具表!$C:$C)&amp;"|"&amp;_xlfn.XLOOKUP(K35,道具表!$B:$B,道具表!$A:$A)&amp;"|"))</f>
        <v/>
      </c>
      <c r="L78" s="6" t="str">
        <f t="shared" si="12"/>
        <v/>
      </c>
      <c r="M78" s="54" t="str">
        <f t="shared" si="16"/>
        <v>16|401|1,9|501|2</v>
      </c>
      <c r="N78" s="6"/>
      <c r="O78" s="6"/>
      <c r="P78" s="6"/>
      <c r="Q78" s="6"/>
      <c r="S78" s="55"/>
    </row>
    <row r="79" ht="15.6" spans="3:17">
      <c r="C79" s="66" t="s">
        <v>949</v>
      </c>
      <c r="D79" s="6" t="str">
        <f t="shared" si="13"/>
        <v>积分</v>
      </c>
      <c r="E79" s="6" t="s">
        <v>815</v>
      </c>
      <c r="F79" s="6" t="str">
        <f t="shared" si="14"/>
        <v>数量1,</v>
      </c>
      <c r="G79" s="6" t="s">
        <v>816</v>
      </c>
      <c r="H79" s="6" t="str">
        <f t="shared" si="10"/>
        <v>数量2,</v>
      </c>
      <c r="I79" s="6" t="s">
        <v>817</v>
      </c>
      <c r="J79" s="6" t="str">
        <f t="shared" si="11"/>
        <v>数量3,</v>
      </c>
      <c r="K79" s="6" t="s">
        <v>903</v>
      </c>
      <c r="L79" s="6" t="str">
        <f t="shared" si="12"/>
        <v>数量4,</v>
      </c>
      <c r="M79" s="54" t="s">
        <v>339</v>
      </c>
      <c r="N79" s="6"/>
      <c r="O79" s="6"/>
      <c r="P79" s="6"/>
      <c r="Q79" s="6"/>
    </row>
    <row r="80" ht="15.6" spans="3:19">
      <c r="C80" s="67"/>
      <c r="D80" s="6">
        <f t="shared" si="13"/>
        <v>150</v>
      </c>
      <c r="E80" s="6" t="str">
        <f>IF(E37="","",(_xlfn.XLOOKUP(E37,道具表!$B:$B,道具表!$C:$C)&amp;"|"&amp;_xlfn.XLOOKUP(E37,道具表!$B:$B,道具表!$A:$A)&amp;"|"))</f>
        <v>1|10009|</v>
      </c>
      <c r="F80" s="6" t="str">
        <f t="shared" si="14"/>
        <v>5,</v>
      </c>
      <c r="G80" s="6" t="str">
        <f>IF(G37="","",(_xlfn.XLOOKUP(G37,道具表!$B:$B,道具表!$C:$C)&amp;"|"&amp;_xlfn.XLOOKUP(G37,道具表!$B:$B,道具表!$A:$A)&amp;"|"))</f>
        <v/>
      </c>
      <c r="H80" s="6" t="str">
        <f t="shared" si="10"/>
        <v/>
      </c>
      <c r="I80" s="6" t="str">
        <f>IF(I37="","",(_xlfn.XLOOKUP(I37,道具表!$B:$B,道具表!$C:$C)&amp;"|"&amp;_xlfn.XLOOKUP(I37,道具表!$B:$B,道具表!$A:$A)&amp;"|"))</f>
        <v/>
      </c>
      <c r="J80" s="6" t="str">
        <f t="shared" si="11"/>
        <v/>
      </c>
      <c r="K80" s="6" t="str">
        <f>IF(K37="","",(_xlfn.XLOOKUP(K37,道具表!$B:$B,道具表!$C:$C)&amp;"|"&amp;_xlfn.XLOOKUP(K37,道具表!$B:$B,道具表!$A:$A)&amp;"|"))</f>
        <v/>
      </c>
      <c r="L80" s="6" t="str">
        <f t="shared" si="12"/>
        <v/>
      </c>
      <c r="M80" s="54" t="str">
        <f t="shared" ref="M80:M85" si="17">LEFT(E80&amp;F80&amp;G80&amp;H80&amp;I80&amp;J80&amp;K80&amp;L80,LEN(E80&amp;F80&amp;G80&amp;H80&amp;I80&amp;J80&amp;K80&amp;L80)-1)</f>
        <v>1|10009|5</v>
      </c>
      <c r="N80" s="6"/>
      <c r="O80" s="6"/>
      <c r="P80" s="6"/>
      <c r="Q80" s="6"/>
      <c r="S80" s="55"/>
    </row>
    <row r="81" ht="15.6" spans="3:19">
      <c r="C81" s="67"/>
      <c r="D81" s="6">
        <f t="shared" si="13"/>
        <v>400</v>
      </c>
      <c r="E81" s="6" t="str">
        <f>IF(E38="","",(_xlfn.XLOOKUP(E38,道具表!$B:$B,道具表!$C:$C)&amp;"|"&amp;_xlfn.XLOOKUP(E38,道具表!$B:$B,道具表!$A:$A)&amp;"|"))</f>
        <v>1|10009|</v>
      </c>
      <c r="F81" s="6" t="str">
        <f t="shared" si="14"/>
        <v>10,</v>
      </c>
      <c r="G81" s="6" t="str">
        <f>IF(G38="","",(_xlfn.XLOOKUP(G38,道具表!$B:$B,道具表!$C:$C)&amp;"|"&amp;_xlfn.XLOOKUP(G38,道具表!$B:$B,道具表!$A:$A)&amp;"|"))</f>
        <v/>
      </c>
      <c r="H81" s="6" t="str">
        <f t="shared" si="10"/>
        <v/>
      </c>
      <c r="I81" s="6" t="str">
        <f>IF(I38="","",(_xlfn.XLOOKUP(I38,道具表!$B:$B,道具表!$C:$C)&amp;"|"&amp;_xlfn.XLOOKUP(I38,道具表!$B:$B,道具表!$A:$A)&amp;"|"))</f>
        <v/>
      </c>
      <c r="J81" s="6" t="str">
        <f t="shared" si="11"/>
        <v/>
      </c>
      <c r="K81" s="6" t="str">
        <f>IF(K38="","",(_xlfn.XLOOKUP(K38,道具表!$B:$B,道具表!$C:$C)&amp;"|"&amp;_xlfn.XLOOKUP(K38,道具表!$B:$B,道具表!$A:$A)&amp;"|"))</f>
        <v/>
      </c>
      <c r="L81" s="6" t="str">
        <f t="shared" si="12"/>
        <v/>
      </c>
      <c r="M81" s="54" t="str">
        <f t="shared" si="17"/>
        <v>1|10009|10</v>
      </c>
      <c r="N81" s="6"/>
      <c r="O81" s="6"/>
      <c r="P81" s="6"/>
      <c r="Q81" s="6"/>
      <c r="S81" s="55"/>
    </row>
    <row r="82" ht="15.6" spans="3:19">
      <c r="C82" s="67"/>
      <c r="D82" s="6">
        <f t="shared" si="13"/>
        <v>800</v>
      </c>
      <c r="E82" s="6" t="str">
        <f>IF(E39="","",(_xlfn.XLOOKUP(E39,道具表!$B:$B,道具表!$C:$C)&amp;"|"&amp;_xlfn.XLOOKUP(E39,道具表!$B:$B,道具表!$A:$A)&amp;"|"))</f>
        <v>1|10009|</v>
      </c>
      <c r="F82" s="6" t="str">
        <f t="shared" si="14"/>
        <v>15,</v>
      </c>
      <c r="G82" s="6" t="str">
        <f>IF(G39="","",(_xlfn.XLOOKUP(G39,道具表!$B:$B,道具表!$C:$C)&amp;"|"&amp;_xlfn.XLOOKUP(G39,道具表!$B:$B,道具表!$A:$A)&amp;"|"))</f>
        <v/>
      </c>
      <c r="H82" s="6" t="str">
        <f t="shared" si="10"/>
        <v/>
      </c>
      <c r="I82" s="6" t="str">
        <f>IF(I39="","",(_xlfn.XLOOKUP(I39,道具表!$B:$B,道具表!$C:$C)&amp;"|"&amp;_xlfn.XLOOKUP(I39,道具表!$B:$B,道具表!$A:$A)&amp;"|"))</f>
        <v/>
      </c>
      <c r="J82" s="6" t="str">
        <f t="shared" si="11"/>
        <v/>
      </c>
      <c r="K82" s="6" t="str">
        <f>IF(K39="","",(_xlfn.XLOOKUP(K39,道具表!$B:$B,道具表!$C:$C)&amp;"|"&amp;_xlfn.XLOOKUP(K39,道具表!$B:$B,道具表!$A:$A)&amp;"|"))</f>
        <v/>
      </c>
      <c r="L82" s="6" t="str">
        <f t="shared" si="12"/>
        <v/>
      </c>
      <c r="M82" s="54" t="str">
        <f t="shared" si="17"/>
        <v>1|10009|15</v>
      </c>
      <c r="N82" s="6"/>
      <c r="O82" s="6"/>
      <c r="P82" s="6"/>
      <c r="Q82" s="6"/>
      <c r="S82" s="55"/>
    </row>
    <row r="83" ht="15.6" spans="3:19">
      <c r="C83" s="67"/>
      <c r="D83" s="6">
        <f t="shared" si="13"/>
        <v>1400</v>
      </c>
      <c r="E83" s="6" t="str">
        <f>IF(E40="","",(_xlfn.XLOOKUP(E40,道具表!$B:$B,道具表!$C:$C)&amp;"|"&amp;_xlfn.XLOOKUP(E40,道具表!$B:$B,道具表!$A:$A)&amp;"|"))</f>
        <v>1|10010|</v>
      </c>
      <c r="F83" s="6" t="str">
        <f t="shared" si="14"/>
        <v>4,</v>
      </c>
      <c r="G83" s="6" t="str">
        <f>IF(G40="","",(_xlfn.XLOOKUP(G40,道具表!$B:$B,道具表!$C:$C)&amp;"|"&amp;_xlfn.XLOOKUP(G40,道具表!$B:$B,道具表!$A:$A)&amp;"|"))</f>
        <v/>
      </c>
      <c r="H83" s="6" t="str">
        <f t="shared" si="10"/>
        <v/>
      </c>
      <c r="I83" s="6" t="str">
        <f>IF(I40="","",(_xlfn.XLOOKUP(I40,道具表!$B:$B,道具表!$C:$C)&amp;"|"&amp;_xlfn.XLOOKUP(I40,道具表!$B:$B,道具表!$A:$A)&amp;"|"))</f>
        <v/>
      </c>
      <c r="J83" s="6" t="str">
        <f t="shared" si="11"/>
        <v/>
      </c>
      <c r="K83" s="6" t="str">
        <f>IF(K40="","",(_xlfn.XLOOKUP(K40,道具表!$B:$B,道具表!$C:$C)&amp;"|"&amp;_xlfn.XLOOKUP(K40,道具表!$B:$B,道具表!$A:$A)&amp;"|"))</f>
        <v/>
      </c>
      <c r="L83" s="6" t="str">
        <f t="shared" si="12"/>
        <v/>
      </c>
      <c r="M83" s="54" t="str">
        <f t="shared" si="17"/>
        <v>1|10010|4</v>
      </c>
      <c r="N83" s="6"/>
      <c r="O83" s="6"/>
      <c r="P83" s="6"/>
      <c r="Q83" s="6"/>
      <c r="S83" s="55"/>
    </row>
    <row r="84" ht="15.6" spans="3:19">
      <c r="C84" s="67"/>
      <c r="D84" s="6">
        <f t="shared" si="13"/>
        <v>2500</v>
      </c>
      <c r="E84" s="6" t="str">
        <f>IF(E41="","",(_xlfn.XLOOKUP(E41,道具表!$B:$B,道具表!$C:$C)&amp;"|"&amp;_xlfn.XLOOKUP(E41,道具表!$B:$B,道具表!$A:$A)&amp;"|"))</f>
        <v>16|402|</v>
      </c>
      <c r="F84" s="6" t="str">
        <f t="shared" si="14"/>
        <v>1,</v>
      </c>
      <c r="G84" s="6" t="str">
        <f>IF(G41="","",(_xlfn.XLOOKUP(G41,道具表!$B:$B,道具表!$C:$C)&amp;"|"&amp;_xlfn.XLOOKUP(G41,道具表!$B:$B,道具表!$A:$A)&amp;"|"))</f>
        <v>1|10010|</v>
      </c>
      <c r="H84" s="6" t="str">
        <f t="shared" si="10"/>
        <v>1,</v>
      </c>
      <c r="I84" s="6" t="str">
        <f>IF(I41="","",(_xlfn.XLOOKUP(I41,道具表!$B:$B,道具表!$C:$C)&amp;"|"&amp;_xlfn.XLOOKUP(I41,道具表!$B:$B,道具表!$A:$A)&amp;"|"))</f>
        <v/>
      </c>
      <c r="J84" s="6" t="str">
        <f t="shared" si="11"/>
        <v/>
      </c>
      <c r="K84" s="6" t="str">
        <f>IF(K41="","",(_xlfn.XLOOKUP(K41,道具表!$B:$B,道具表!$C:$C)&amp;"|"&amp;_xlfn.XLOOKUP(K41,道具表!$B:$B,道具表!$A:$A)&amp;"|"))</f>
        <v/>
      </c>
      <c r="L84" s="6" t="str">
        <f t="shared" si="12"/>
        <v/>
      </c>
      <c r="M84" s="54" t="str">
        <f t="shared" si="17"/>
        <v>16|402|1,1|10010|1</v>
      </c>
      <c r="N84" s="6"/>
      <c r="O84" s="6"/>
      <c r="P84" s="6"/>
      <c r="Q84" s="6"/>
      <c r="S84" s="55"/>
    </row>
    <row r="85" ht="15.6" spans="3:19">
      <c r="C85" s="68"/>
      <c r="D85" s="6">
        <f t="shared" si="13"/>
        <v>4000</v>
      </c>
      <c r="E85" s="6" t="str">
        <f>IF(E42="","",(_xlfn.XLOOKUP(E42,道具表!$B:$B,道具表!$C:$C)&amp;"|"&amp;_xlfn.XLOOKUP(E42,道具表!$B:$B,道具表!$A:$A)&amp;"|"))</f>
        <v>16|401|</v>
      </c>
      <c r="F85" s="6" t="str">
        <f t="shared" si="14"/>
        <v>1,</v>
      </c>
      <c r="G85" s="6" t="str">
        <f>IF(G42="","",(_xlfn.XLOOKUP(G42,道具表!$B:$B,道具表!$C:$C)&amp;"|"&amp;_xlfn.XLOOKUP(G42,道具表!$B:$B,道具表!$A:$A)&amp;"|"))</f>
        <v>9|501|</v>
      </c>
      <c r="H85" s="6" t="str">
        <f t="shared" si="10"/>
        <v>2,</v>
      </c>
      <c r="I85" s="6" t="str">
        <f>IF(I42="","",(_xlfn.XLOOKUP(I42,道具表!$B:$B,道具表!$C:$C)&amp;"|"&amp;_xlfn.XLOOKUP(I42,道具表!$B:$B,道具表!$A:$A)&amp;"|"))</f>
        <v/>
      </c>
      <c r="J85" s="6" t="str">
        <f t="shared" si="11"/>
        <v/>
      </c>
      <c r="K85" s="6" t="str">
        <f>IF(K42="","",(_xlfn.XLOOKUP(K42,道具表!$B:$B,道具表!$C:$C)&amp;"|"&amp;_xlfn.XLOOKUP(K42,道具表!$B:$B,道具表!$A:$A)&amp;"|"))</f>
        <v/>
      </c>
      <c r="L85" s="6" t="str">
        <f t="shared" si="12"/>
        <v/>
      </c>
      <c r="M85" s="54" t="str">
        <f t="shared" si="17"/>
        <v>16|401|1,9|501|2</v>
      </c>
      <c r="N85" s="6"/>
      <c r="O85" s="6"/>
      <c r="P85" s="6"/>
      <c r="Q85" s="6"/>
      <c r="S85" s="55"/>
    </row>
    <row r="88" ht="15.6" spans="3:12">
      <c r="C88" s="7" t="s">
        <v>951</v>
      </c>
      <c r="D88" s="7" t="s">
        <v>338</v>
      </c>
      <c r="E88" s="7" t="str">
        <f>E45</f>
        <v>限购次数</v>
      </c>
      <c r="F88" s="7" t="s">
        <v>815</v>
      </c>
      <c r="G88" s="6" t="str">
        <f t="shared" ref="G88:G95" si="18">IF(G45="","",G45&amp;",")</f>
        <v>数量1,</v>
      </c>
      <c r="H88" s="7" t="s">
        <v>816</v>
      </c>
      <c r="I88" s="6" t="str">
        <f>IF(I45="","",I45&amp;",")</f>
        <v>数量2,</v>
      </c>
      <c r="J88" s="7" t="s">
        <v>327</v>
      </c>
      <c r="K88" s="7"/>
      <c r="L88" s="7"/>
    </row>
    <row r="89" ht="15.6" spans="3:12">
      <c r="C89" s="7"/>
      <c r="D89" s="7" t="s">
        <v>953</v>
      </c>
      <c r="E89" s="7">
        <f t="shared" ref="E89:E95" si="19">E46</f>
        <v>1</v>
      </c>
      <c r="F89" s="6" t="str">
        <f>IF(F46="","",(_xlfn.XLOOKUP(F46,道具表!$B:$B,道具表!$C:$C)&amp;"|"&amp;_xlfn.XLOOKUP(F46,道具表!$B:$B,道具表!$A:$A)&amp;"|"))</f>
        <v>1|14|</v>
      </c>
      <c r="G89" s="6" t="str">
        <f t="shared" si="18"/>
        <v>1,</v>
      </c>
      <c r="H89" s="6" t="str">
        <f>IF(H46="","",(_xlfn.XLOOKUP(H46,道具表!$B:$B,道具表!$C:$C)&amp;"|"&amp;_xlfn.XLOOKUP(H46,道具表!$B:$B,道具表!$A:$A)&amp;"|"))</f>
        <v/>
      </c>
      <c r="I89" s="6" t="str">
        <f t="shared" ref="I89:I95" si="20">IF(I46="","",I46&amp;",")</f>
        <v/>
      </c>
      <c r="J89" s="54" t="str">
        <f>LEFT(F89&amp;G89&amp;H89&amp;I89,LEN(F89&amp;G89&amp;H89&amp;I89)-1)</f>
        <v>1|14|1</v>
      </c>
      <c r="K89" s="7"/>
      <c r="L89" s="7"/>
    </row>
    <row r="90" ht="15.6" spans="3:12">
      <c r="C90" s="7"/>
      <c r="D90" s="7">
        <v>30</v>
      </c>
      <c r="E90" s="7">
        <f t="shared" si="19"/>
        <v>1</v>
      </c>
      <c r="F90" s="6" t="str">
        <f>IF(F47="","",(_xlfn.XLOOKUP(F47,道具表!$B:$B,道具表!$C:$C)&amp;"|"&amp;_xlfn.XLOOKUP(F47,道具表!$B:$B,道具表!$A:$A)&amp;"|"))</f>
        <v>1|10009|</v>
      </c>
      <c r="G90" s="6" t="str">
        <f t="shared" si="18"/>
        <v>12,</v>
      </c>
      <c r="H90" s="6" t="str">
        <f>IF(H47="","",(_xlfn.XLOOKUP(H47,道具表!$B:$B,道具表!$C:$C)&amp;"|"&amp;_xlfn.XLOOKUP(H47,道具表!$B:$B,道具表!$A:$A)&amp;"|"))</f>
        <v/>
      </c>
      <c r="I90" s="6" t="str">
        <f t="shared" si="20"/>
        <v/>
      </c>
      <c r="J90" s="54" t="str">
        <f t="shared" ref="J90:J95" si="21">LEFT(F90&amp;G90&amp;H90&amp;I90,LEN(F90&amp;G90&amp;H90&amp;I90)-1)</f>
        <v>1|10009|12</v>
      </c>
      <c r="K90" s="7"/>
      <c r="L90" s="7"/>
    </row>
    <row r="91" ht="15.6" spans="3:12">
      <c r="C91" s="7"/>
      <c r="D91" s="7">
        <v>68</v>
      </c>
      <c r="E91" s="7">
        <f t="shared" si="19"/>
        <v>1</v>
      </c>
      <c r="F91" s="6" t="str">
        <f>IF(F48="","",(_xlfn.XLOOKUP(F48,道具表!$B:$B,道具表!$C:$C)&amp;"|"&amp;_xlfn.XLOOKUP(F48,道具表!$B:$B,道具表!$A:$A)&amp;"|"))</f>
        <v>1|10009|</v>
      </c>
      <c r="G91" s="6" t="str">
        <f t="shared" si="18"/>
        <v>25,</v>
      </c>
      <c r="H91" s="6" t="str">
        <f>IF(H48="","",(_xlfn.XLOOKUP(H48,道具表!$B:$B,道具表!$C:$C)&amp;"|"&amp;_xlfn.XLOOKUP(H48,道具表!$B:$B,道具表!$A:$A)&amp;"|"))</f>
        <v/>
      </c>
      <c r="I91" s="6" t="str">
        <f t="shared" si="20"/>
        <v/>
      </c>
      <c r="J91" s="54" t="str">
        <f t="shared" si="21"/>
        <v>1|10009|25</v>
      </c>
      <c r="K91" s="7"/>
      <c r="L91" s="7"/>
    </row>
    <row r="92" ht="15.6" spans="3:12">
      <c r="C92" s="7"/>
      <c r="D92" s="7">
        <v>128</v>
      </c>
      <c r="E92" s="7">
        <f t="shared" si="19"/>
        <v>2</v>
      </c>
      <c r="F92" s="6" t="str">
        <f>IF(F49="","",(_xlfn.XLOOKUP(F49,道具表!$B:$B,道具表!$C:$C)&amp;"|"&amp;_xlfn.XLOOKUP(F49,道具表!$B:$B,道具表!$A:$A)&amp;"|"))</f>
        <v>1|10009|</v>
      </c>
      <c r="G92" s="6" t="str">
        <f t="shared" si="18"/>
        <v>50,</v>
      </c>
      <c r="H92" s="6" t="str">
        <f>IF(H49="","",(_xlfn.XLOOKUP(H49,道具表!$B:$B,道具表!$C:$C)&amp;"|"&amp;_xlfn.XLOOKUP(H49,道具表!$B:$B,道具表!$A:$A)&amp;"|"))</f>
        <v/>
      </c>
      <c r="I92" s="6" t="str">
        <f t="shared" si="20"/>
        <v/>
      </c>
      <c r="J92" s="54" t="str">
        <f t="shared" si="21"/>
        <v>1|10009|50</v>
      </c>
      <c r="K92" s="7"/>
      <c r="L92" s="7"/>
    </row>
    <row r="93" ht="15.6" spans="3:12">
      <c r="C93" s="7"/>
      <c r="D93" s="7">
        <v>198</v>
      </c>
      <c r="E93" s="7">
        <f t="shared" si="19"/>
        <v>2</v>
      </c>
      <c r="F93" s="6" t="str">
        <f>IF(F50="","",(_xlfn.XLOOKUP(F50,道具表!$B:$B,道具表!$C:$C)&amp;"|"&amp;_xlfn.XLOOKUP(F50,道具表!$B:$B,道具表!$A:$A)&amp;"|"))</f>
        <v>1|10010|</v>
      </c>
      <c r="G93" s="6" t="str">
        <f t="shared" si="18"/>
        <v>9,</v>
      </c>
      <c r="H93" s="6" t="str">
        <f>IF(H50="","",(_xlfn.XLOOKUP(H50,道具表!$B:$B,道具表!$C:$C)&amp;"|"&amp;_xlfn.XLOOKUP(H50,道具表!$B:$B,道具表!$A:$A)&amp;"|"))</f>
        <v/>
      </c>
      <c r="I93" s="6" t="str">
        <f t="shared" si="20"/>
        <v/>
      </c>
      <c r="J93" s="54" t="str">
        <f t="shared" si="21"/>
        <v>1|10010|9</v>
      </c>
      <c r="K93" s="7"/>
      <c r="L93" s="7"/>
    </row>
    <row r="94" ht="15.6" spans="3:12">
      <c r="C94" s="7"/>
      <c r="D94" s="7">
        <v>328</v>
      </c>
      <c r="E94" s="7">
        <f t="shared" si="19"/>
        <v>5</v>
      </c>
      <c r="F94" s="6" t="str">
        <f>IF(F51="","",(_xlfn.XLOOKUP(F51,道具表!$B:$B,道具表!$C:$C)&amp;"|"&amp;_xlfn.XLOOKUP(F51,道具表!$B:$B,道具表!$A:$A)&amp;"|"))</f>
        <v>1|10010|</v>
      </c>
      <c r="G94" s="6" t="str">
        <f t="shared" si="18"/>
        <v>15,</v>
      </c>
      <c r="H94" s="6" t="str">
        <f>IF(H51="","",(_xlfn.XLOOKUP(H51,道具表!$B:$B,道具表!$C:$C)&amp;"|"&amp;_xlfn.XLOOKUP(H51,道具表!$B:$B,道具表!$A:$A)&amp;"|"))</f>
        <v/>
      </c>
      <c r="I94" s="6" t="str">
        <f t="shared" si="20"/>
        <v/>
      </c>
      <c r="J94" s="54" t="str">
        <f t="shared" si="21"/>
        <v>1|10010|15</v>
      </c>
      <c r="K94" s="7"/>
      <c r="L94" s="7"/>
    </row>
    <row r="95" ht="15.6" spans="3:12">
      <c r="C95" s="7"/>
      <c r="D95" s="7">
        <v>648</v>
      </c>
      <c r="E95" s="7">
        <f t="shared" si="19"/>
        <v>5</v>
      </c>
      <c r="F95" s="6" t="str">
        <f>IF(F52="","",(_xlfn.XLOOKUP(F52,道具表!$B:$B,道具表!$C:$C)&amp;"|"&amp;_xlfn.XLOOKUP(F52,道具表!$B:$B,道具表!$A:$A)&amp;"|"))</f>
        <v>1|10010|</v>
      </c>
      <c r="G95" s="6" t="str">
        <f t="shared" si="18"/>
        <v>30,</v>
      </c>
      <c r="H95" s="6" t="str">
        <f>IF(H52="","",(_xlfn.XLOOKUP(H52,道具表!$B:$B,道具表!$C:$C)&amp;"|"&amp;_xlfn.XLOOKUP(H52,道具表!$B:$B,道具表!$A:$A)&amp;"|"))</f>
        <v/>
      </c>
      <c r="I95" s="6" t="str">
        <f t="shared" si="20"/>
        <v/>
      </c>
      <c r="J95" s="54" t="str">
        <f t="shared" si="21"/>
        <v>1|10010|30</v>
      </c>
      <c r="K95" s="7"/>
      <c r="L95" s="7"/>
    </row>
  </sheetData>
  <mergeCells count="11">
    <mergeCell ref="C1:C10"/>
    <mergeCell ref="C16:C21"/>
    <mergeCell ref="C22:C28"/>
    <mergeCell ref="C29:C35"/>
    <mergeCell ref="C36:C42"/>
    <mergeCell ref="C45:C52"/>
    <mergeCell ref="C59:C64"/>
    <mergeCell ref="C65:C71"/>
    <mergeCell ref="C72:C78"/>
    <mergeCell ref="C79:C85"/>
    <mergeCell ref="C88:C95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85"/>
  <sheetViews>
    <sheetView topLeftCell="D4" workbookViewId="0">
      <selection activeCell="H12" sqref="H12"/>
    </sheetView>
  </sheetViews>
  <sheetFormatPr defaultColWidth="8.88888888888889" defaultRowHeight="15.6"/>
  <cols>
    <col min="1" max="3" width="8.88888888888889" style="55"/>
    <col min="4" max="4" width="26.1111111111111" style="55" customWidth="1"/>
    <col min="5" max="5" width="15.1111111111111" style="55" customWidth="1"/>
    <col min="6" max="7" width="8.88888888888889" style="55"/>
    <col min="8" max="8" width="16.3333333333333" style="55" customWidth="1"/>
    <col min="9" max="9" width="18.3333333333333" style="55" customWidth="1"/>
    <col min="10" max="12" width="8.88888888888889" style="55"/>
    <col min="13" max="13" width="15.6666666666667" style="55"/>
    <col min="14" max="14" width="19.6666666666667" style="55"/>
    <col min="15" max="18" width="8.88888888888889" style="55"/>
  </cols>
  <sheetData>
    <row r="1" spans="3:17">
      <c r="C1" s="6" t="s">
        <v>928</v>
      </c>
      <c r="D1" s="6" t="s">
        <v>929</v>
      </c>
      <c r="E1" s="6" t="s">
        <v>378</v>
      </c>
      <c r="M1" s="55" t="s">
        <v>930</v>
      </c>
      <c r="N1" s="55" t="s">
        <v>931</v>
      </c>
      <c r="O1" s="55" t="s">
        <v>932</v>
      </c>
      <c r="P1" s="55" t="s">
        <v>933</v>
      </c>
      <c r="Q1" s="55" t="s">
        <v>6</v>
      </c>
    </row>
    <row r="2" spans="3:17">
      <c r="C2" s="6"/>
      <c r="D2" s="6" t="s">
        <v>968</v>
      </c>
      <c r="E2" s="6">
        <v>10</v>
      </c>
      <c r="L2" s="55" t="s">
        <v>45</v>
      </c>
      <c r="M2" s="55">
        <v>30</v>
      </c>
      <c r="N2" s="55">
        <v>30</v>
      </c>
      <c r="O2" s="55">
        <v>9</v>
      </c>
      <c r="P2" s="55">
        <v>1</v>
      </c>
      <c r="Q2" s="55">
        <v>20</v>
      </c>
    </row>
    <row r="3" spans="3:5">
      <c r="C3" s="6"/>
      <c r="D3" s="6"/>
      <c r="E3" s="6"/>
    </row>
    <row r="4" spans="3:5">
      <c r="C4" s="8"/>
      <c r="D4" s="6"/>
      <c r="E4" s="8"/>
    </row>
    <row r="5" spans="12:13">
      <c r="L5" s="55" t="s">
        <v>940</v>
      </c>
      <c r="M5" s="55">
        <f>(M2+N2+O2+P2+Q2)*10</f>
        <v>900</v>
      </c>
    </row>
    <row r="6" spans="3:15">
      <c r="C6" s="6" t="s">
        <v>941</v>
      </c>
      <c r="D6" s="6" t="s">
        <v>378</v>
      </c>
      <c r="E6" s="6" t="s">
        <v>815</v>
      </c>
      <c r="F6" s="6" t="s">
        <v>942</v>
      </c>
      <c r="G6" s="6" t="s">
        <v>816</v>
      </c>
      <c r="H6" s="6" t="s">
        <v>943</v>
      </c>
      <c r="I6" s="6" t="s">
        <v>339</v>
      </c>
      <c r="J6" s="6" t="s">
        <v>340</v>
      </c>
      <c r="K6" s="6" t="s">
        <v>341</v>
      </c>
      <c r="L6" s="19" t="s">
        <v>944</v>
      </c>
      <c r="M6" s="19">
        <f>SUM(M7:M11)</f>
        <v>1900</v>
      </c>
      <c r="O6" s="55"/>
    </row>
    <row r="7" spans="2:13">
      <c r="B7" s="55">
        <f>D7*10</f>
        <v>1500</v>
      </c>
      <c r="C7" s="6"/>
      <c r="D7" s="6">
        <v>150</v>
      </c>
      <c r="E7" s="6" t="s">
        <v>10</v>
      </c>
      <c r="F7" s="6">
        <v>5</v>
      </c>
      <c r="G7" s="6"/>
      <c r="H7" s="6"/>
      <c r="I7" s="6">
        <f>_xlfn.XLOOKUP(E7,道具表!$B:$B,道具表!$E:$E)</f>
        <v>100</v>
      </c>
      <c r="J7" s="6">
        <f>_xlfn.XLOOKUP(G7,道具表!$B:$B,道具表!$E:$E)</f>
        <v>0</v>
      </c>
      <c r="K7" s="6">
        <f t="shared" ref="K7:K11" si="0">I7*F7+J7*H7</f>
        <v>500</v>
      </c>
      <c r="L7" s="19"/>
      <c r="M7" s="19">
        <f>D7</f>
        <v>150</v>
      </c>
    </row>
    <row r="8" spans="2:18">
      <c r="B8" s="55">
        <f>D8*10</f>
        <v>4000</v>
      </c>
      <c r="C8" s="6"/>
      <c r="D8" s="6">
        <v>400</v>
      </c>
      <c r="E8" s="6" t="s">
        <v>10</v>
      </c>
      <c r="F8" s="6">
        <v>10</v>
      </c>
      <c r="G8" s="6"/>
      <c r="H8" s="6"/>
      <c r="I8" s="6">
        <f>_xlfn.XLOOKUP(E8,道具表!$B:$B,道具表!$E:$E)</f>
        <v>100</v>
      </c>
      <c r="J8" s="6">
        <f>_xlfn.XLOOKUP(G8,道具表!$B:$B,道具表!$E:$E)</f>
        <v>0</v>
      </c>
      <c r="K8" s="6">
        <f t="shared" si="0"/>
        <v>1000</v>
      </c>
      <c r="L8" s="19"/>
      <c r="M8" s="19">
        <f t="shared" ref="M8:M11" si="1">D8-(F7*10)-D7</f>
        <v>200</v>
      </c>
      <c r="N8" s="55">
        <v>18</v>
      </c>
      <c r="O8" s="55">
        <v>20</v>
      </c>
      <c r="P8" s="55">
        <v>6</v>
      </c>
      <c r="Q8" s="55">
        <v>11</v>
      </c>
      <c r="R8" s="55">
        <v>30</v>
      </c>
    </row>
    <row r="9" spans="2:13">
      <c r="B9" s="55">
        <f>D9*10</f>
        <v>8000</v>
      </c>
      <c r="C9" s="6"/>
      <c r="D9" s="6">
        <v>800</v>
      </c>
      <c r="E9" s="6" t="s">
        <v>10</v>
      </c>
      <c r="F9" s="6">
        <v>15</v>
      </c>
      <c r="G9" s="6"/>
      <c r="H9" s="6"/>
      <c r="I9" s="6">
        <f>_xlfn.XLOOKUP(E9,道具表!$B:$B,道具表!$E:$E)</f>
        <v>100</v>
      </c>
      <c r="J9" s="6">
        <f>_xlfn.XLOOKUP(G9,道具表!$B:$B,道具表!$E:$E)</f>
        <v>0</v>
      </c>
      <c r="K9" s="6">
        <f t="shared" si="0"/>
        <v>1500</v>
      </c>
      <c r="L9" s="19"/>
      <c r="M9" s="19">
        <f t="shared" si="1"/>
        <v>300</v>
      </c>
    </row>
    <row r="10" spans="2:13">
      <c r="B10" s="55">
        <f>D10*10</f>
        <v>14000</v>
      </c>
      <c r="C10" s="6"/>
      <c r="D10" s="6">
        <v>1400</v>
      </c>
      <c r="E10" s="6" t="s">
        <v>10</v>
      </c>
      <c r="F10" s="6">
        <v>30</v>
      </c>
      <c r="G10" s="6"/>
      <c r="H10" s="6"/>
      <c r="I10" s="6">
        <f>_xlfn.XLOOKUP(E10,道具表!$B:$B,道具表!$E:$E)</f>
        <v>100</v>
      </c>
      <c r="J10" s="6">
        <f>_xlfn.XLOOKUP(G10,道具表!$B:$B,道具表!$E:$E)</f>
        <v>0</v>
      </c>
      <c r="K10" s="6">
        <f t="shared" si="0"/>
        <v>3000</v>
      </c>
      <c r="L10" s="19"/>
      <c r="M10" s="19">
        <f t="shared" si="1"/>
        <v>450</v>
      </c>
    </row>
    <row r="11" spans="2:13">
      <c r="B11" s="55">
        <f>D11*10</f>
        <v>25000</v>
      </c>
      <c r="C11" s="6"/>
      <c r="D11" s="6">
        <v>2500</v>
      </c>
      <c r="E11" s="6" t="s">
        <v>320</v>
      </c>
      <c r="F11" s="6">
        <v>1</v>
      </c>
      <c r="G11" s="6" t="s">
        <v>10</v>
      </c>
      <c r="H11" s="6">
        <v>15</v>
      </c>
      <c r="I11" s="6">
        <f>_xlfn.XLOOKUP(E11,道具表!$B:$B,道具表!$E:$E)</f>
        <v>10000</v>
      </c>
      <c r="J11" s="6">
        <f>_xlfn.XLOOKUP(G11,道具表!$B:$B,道具表!$E:$E)</f>
        <v>100</v>
      </c>
      <c r="K11" s="6">
        <f t="shared" si="0"/>
        <v>11500</v>
      </c>
      <c r="L11" s="19"/>
      <c r="M11" s="19">
        <f t="shared" si="1"/>
        <v>800</v>
      </c>
    </row>
    <row r="12" spans="3:13">
      <c r="C12" s="56" t="s">
        <v>945</v>
      </c>
      <c r="D12" s="6" t="s">
        <v>378</v>
      </c>
      <c r="E12" s="6" t="s">
        <v>815</v>
      </c>
      <c r="F12" s="6" t="s">
        <v>942</v>
      </c>
      <c r="G12" s="6" t="s">
        <v>816</v>
      </c>
      <c r="H12" s="6" t="s">
        <v>943</v>
      </c>
      <c r="I12" s="6" t="s">
        <v>339</v>
      </c>
      <c r="J12" s="6" t="s">
        <v>340</v>
      </c>
      <c r="K12" s="6" t="s">
        <v>341</v>
      </c>
      <c r="L12" s="19" t="s">
        <v>946</v>
      </c>
      <c r="M12" s="19">
        <f>SUM(M13:M18)</f>
        <v>3100</v>
      </c>
    </row>
    <row r="13" spans="3:13">
      <c r="C13" s="57"/>
      <c r="D13" s="6">
        <v>150</v>
      </c>
      <c r="E13" s="6" t="s">
        <v>10</v>
      </c>
      <c r="F13" s="6">
        <v>5</v>
      </c>
      <c r="G13" s="6"/>
      <c r="H13" s="6"/>
      <c r="I13" s="6">
        <f>_xlfn.XLOOKUP(E13,道具表!$B:$B,道具表!$E:$E)</f>
        <v>100</v>
      </c>
      <c r="J13" s="6">
        <f>_xlfn.XLOOKUP(G13,道具表!$B:$B,道具表!$E:$E)</f>
        <v>0</v>
      </c>
      <c r="K13" s="6">
        <f t="shared" ref="K13:K18" si="2">I13*F13+J13*H13</f>
        <v>500</v>
      </c>
      <c r="L13" s="19"/>
      <c r="M13" s="19">
        <f>D13-(H11*10)</f>
        <v>0</v>
      </c>
    </row>
    <row r="14" spans="3:13">
      <c r="C14" s="57"/>
      <c r="D14" s="6">
        <v>400</v>
      </c>
      <c r="E14" s="6" t="s">
        <v>10</v>
      </c>
      <c r="F14" s="6">
        <v>10</v>
      </c>
      <c r="G14" s="6"/>
      <c r="H14" s="6"/>
      <c r="I14" s="6">
        <f>_xlfn.XLOOKUP(E14,道具表!$B:$B,道具表!$E:$E)</f>
        <v>100</v>
      </c>
      <c r="J14" s="6">
        <f>_xlfn.XLOOKUP(G14,道具表!$B:$B,道具表!$E:$E)</f>
        <v>0</v>
      </c>
      <c r="K14" s="6">
        <f t="shared" si="2"/>
        <v>1000</v>
      </c>
      <c r="L14" s="19"/>
      <c r="M14" s="19">
        <f t="shared" ref="M14:M17" si="3">D14-(F13*10)-D13</f>
        <v>200</v>
      </c>
    </row>
    <row r="15" spans="3:13">
      <c r="C15" s="57"/>
      <c r="D15" s="6">
        <v>800</v>
      </c>
      <c r="E15" s="6" t="s">
        <v>10</v>
      </c>
      <c r="F15" s="6">
        <v>15</v>
      </c>
      <c r="G15" s="6"/>
      <c r="H15" s="6"/>
      <c r="I15" s="6">
        <f>_xlfn.XLOOKUP(E15,道具表!$B:$B,道具表!$E:$E)</f>
        <v>100</v>
      </c>
      <c r="J15" s="6">
        <f>_xlfn.XLOOKUP(G15,道具表!$B:$B,道具表!$E:$E)</f>
        <v>0</v>
      </c>
      <c r="K15" s="6">
        <f t="shared" si="2"/>
        <v>1500</v>
      </c>
      <c r="L15" s="19"/>
      <c r="M15" s="19">
        <f t="shared" si="3"/>
        <v>300</v>
      </c>
    </row>
    <row r="16" spans="3:13">
      <c r="C16" s="57"/>
      <c r="D16" s="6">
        <v>1400</v>
      </c>
      <c r="E16" s="6" t="s">
        <v>10</v>
      </c>
      <c r="F16" s="6">
        <v>30</v>
      </c>
      <c r="G16" s="6"/>
      <c r="H16" s="6"/>
      <c r="I16" s="6">
        <f>_xlfn.XLOOKUP(E16,道具表!$B:$B,道具表!$E:$E)</f>
        <v>100</v>
      </c>
      <c r="J16" s="6">
        <f>_xlfn.XLOOKUP(G16,道具表!$B:$B,道具表!$E:$E)</f>
        <v>0</v>
      </c>
      <c r="K16" s="6">
        <f t="shared" si="2"/>
        <v>3000</v>
      </c>
      <c r="L16" s="19"/>
      <c r="M16" s="19">
        <f t="shared" si="3"/>
        <v>450</v>
      </c>
    </row>
    <row r="17" spans="3:13">
      <c r="C17" s="57"/>
      <c r="D17" s="6">
        <v>2500</v>
      </c>
      <c r="E17" s="6" t="s">
        <v>320</v>
      </c>
      <c r="F17" s="6">
        <v>1</v>
      </c>
      <c r="G17" s="6" t="s">
        <v>10</v>
      </c>
      <c r="H17" s="6">
        <v>15</v>
      </c>
      <c r="I17" s="6">
        <f>_xlfn.XLOOKUP(E17,道具表!$B:$B,道具表!$E:$E)</f>
        <v>10000</v>
      </c>
      <c r="J17" s="6">
        <f>_xlfn.XLOOKUP(G17,道具表!$B:$B,道具表!$E:$E)</f>
        <v>100</v>
      </c>
      <c r="K17" s="6">
        <f t="shared" si="2"/>
        <v>11500</v>
      </c>
      <c r="L17" s="19"/>
      <c r="M17" s="19">
        <f t="shared" si="3"/>
        <v>800</v>
      </c>
    </row>
    <row r="18" spans="3:13">
      <c r="C18" s="58"/>
      <c r="D18" s="6">
        <v>4000</v>
      </c>
      <c r="E18" s="6" t="s">
        <v>319</v>
      </c>
      <c r="F18" s="6">
        <v>1</v>
      </c>
      <c r="G18" s="29" t="s">
        <v>54</v>
      </c>
      <c r="H18" s="6">
        <v>200</v>
      </c>
      <c r="I18" s="6">
        <f>_xlfn.XLOOKUP(E18,道具表!$B:$B,道具表!$E:$E)</f>
        <v>25000</v>
      </c>
      <c r="J18" s="6">
        <f>_xlfn.XLOOKUP(G18,道具表!$B:$B,道具表!$E:$E)</f>
        <v>50</v>
      </c>
      <c r="K18" s="6">
        <f t="shared" si="2"/>
        <v>35000</v>
      </c>
      <c r="L18" s="19"/>
      <c r="M18" s="19">
        <f>D18-(H17*10)-D17</f>
        <v>1350</v>
      </c>
    </row>
    <row r="19" spans="3:13">
      <c r="C19" s="56" t="s">
        <v>947</v>
      </c>
      <c r="D19" s="6" t="s">
        <v>378</v>
      </c>
      <c r="E19" s="6" t="s">
        <v>815</v>
      </c>
      <c r="F19" s="6" t="s">
        <v>942</v>
      </c>
      <c r="G19" s="6" t="s">
        <v>816</v>
      </c>
      <c r="H19" s="6" t="s">
        <v>943</v>
      </c>
      <c r="I19" s="6" t="s">
        <v>339</v>
      </c>
      <c r="J19" s="6" t="s">
        <v>340</v>
      </c>
      <c r="K19" s="6" t="s">
        <v>341</v>
      </c>
      <c r="L19" s="19" t="s">
        <v>948</v>
      </c>
      <c r="M19" s="19">
        <f>SUM(M20:M25)</f>
        <v>3250</v>
      </c>
    </row>
    <row r="20" spans="3:13">
      <c r="C20" s="57"/>
      <c r="D20" s="6">
        <v>150</v>
      </c>
      <c r="E20" s="6" t="s">
        <v>10</v>
      </c>
      <c r="F20" s="6">
        <v>5</v>
      </c>
      <c r="G20" s="6"/>
      <c r="H20" s="6"/>
      <c r="I20" s="6">
        <f>_xlfn.XLOOKUP(E20,道具表!$B:$B,道具表!$E:$E)</f>
        <v>100</v>
      </c>
      <c r="J20" s="6">
        <f>_xlfn.XLOOKUP(G20,道具表!$B:$B,道具表!$E:$E)</f>
        <v>0</v>
      </c>
      <c r="K20" s="6">
        <f t="shared" ref="K20:K25" si="4">I20*F20+J20*H20</f>
        <v>500</v>
      </c>
      <c r="L20" s="19"/>
      <c r="M20" s="19">
        <f>D20</f>
        <v>150</v>
      </c>
    </row>
    <row r="21" spans="3:13">
      <c r="C21" s="57"/>
      <c r="D21" s="6">
        <v>400</v>
      </c>
      <c r="E21" s="6" t="s">
        <v>10</v>
      </c>
      <c r="F21" s="6">
        <v>10</v>
      </c>
      <c r="G21" s="6"/>
      <c r="H21" s="6"/>
      <c r="I21" s="6">
        <f>_xlfn.XLOOKUP(E21,道具表!$B:$B,道具表!$E:$E)</f>
        <v>100</v>
      </c>
      <c r="J21" s="6">
        <f>_xlfn.XLOOKUP(G21,道具表!$B:$B,道具表!$E:$E)</f>
        <v>0</v>
      </c>
      <c r="K21" s="6">
        <f t="shared" si="4"/>
        <v>1000</v>
      </c>
      <c r="L21" s="19"/>
      <c r="M21" s="19">
        <f t="shared" ref="M21:M24" si="5">D21-(F20*10)-D20</f>
        <v>200</v>
      </c>
    </row>
    <row r="22" spans="3:13">
      <c r="C22" s="57"/>
      <c r="D22" s="6">
        <v>800</v>
      </c>
      <c r="E22" s="6" t="s">
        <v>10</v>
      </c>
      <c r="F22" s="6">
        <v>15</v>
      </c>
      <c r="G22" s="6"/>
      <c r="H22" s="6"/>
      <c r="I22" s="6">
        <f>_xlfn.XLOOKUP(E22,道具表!$B:$B,道具表!$E:$E)</f>
        <v>100</v>
      </c>
      <c r="J22" s="6">
        <f>_xlfn.XLOOKUP(G22,道具表!$B:$B,道具表!$E:$E)</f>
        <v>0</v>
      </c>
      <c r="K22" s="6">
        <f t="shared" si="4"/>
        <v>1500</v>
      </c>
      <c r="L22" s="19"/>
      <c r="M22" s="19">
        <f t="shared" si="5"/>
        <v>300</v>
      </c>
    </row>
    <row r="23" spans="3:13">
      <c r="C23" s="57"/>
      <c r="D23" s="6">
        <v>1400</v>
      </c>
      <c r="E23" s="6" t="s">
        <v>10</v>
      </c>
      <c r="F23" s="6">
        <v>30</v>
      </c>
      <c r="G23" s="6"/>
      <c r="H23" s="6"/>
      <c r="I23" s="6">
        <f>_xlfn.XLOOKUP(E23,道具表!$B:$B,道具表!$E:$E)</f>
        <v>100</v>
      </c>
      <c r="J23" s="6">
        <f>_xlfn.XLOOKUP(G23,道具表!$B:$B,道具表!$E:$E)</f>
        <v>0</v>
      </c>
      <c r="K23" s="6">
        <f t="shared" si="4"/>
        <v>3000</v>
      </c>
      <c r="L23" s="19"/>
      <c r="M23" s="19">
        <f t="shared" si="5"/>
        <v>450</v>
      </c>
    </row>
    <row r="24" spans="3:13">
      <c r="C24" s="57"/>
      <c r="D24" s="6">
        <v>2500</v>
      </c>
      <c r="E24" s="6" t="s">
        <v>320</v>
      </c>
      <c r="F24" s="6">
        <v>1</v>
      </c>
      <c r="G24" s="6" t="s">
        <v>10</v>
      </c>
      <c r="H24" s="6">
        <v>15</v>
      </c>
      <c r="I24" s="6">
        <f>_xlfn.XLOOKUP(E24,道具表!$B:$B,道具表!$E:$E)</f>
        <v>10000</v>
      </c>
      <c r="J24" s="6">
        <f>_xlfn.XLOOKUP(G24,道具表!$B:$B,道具表!$E:$E)</f>
        <v>100</v>
      </c>
      <c r="K24" s="6">
        <f t="shared" si="4"/>
        <v>11500</v>
      </c>
      <c r="L24" s="19"/>
      <c r="M24" s="19">
        <f t="shared" si="5"/>
        <v>800</v>
      </c>
    </row>
    <row r="25" spans="3:13">
      <c r="C25" s="57"/>
      <c r="D25" s="6">
        <v>4000</v>
      </c>
      <c r="E25" s="6" t="s">
        <v>319</v>
      </c>
      <c r="F25" s="6">
        <v>1</v>
      </c>
      <c r="G25" s="29" t="s">
        <v>54</v>
      </c>
      <c r="H25" s="6">
        <v>200</v>
      </c>
      <c r="I25" s="6">
        <f>_xlfn.XLOOKUP(E25,道具表!$B:$B,道具表!$E:$E)</f>
        <v>25000</v>
      </c>
      <c r="J25" s="6">
        <f>_xlfn.XLOOKUP(G25,道具表!$B:$B,道具表!$E:$E)</f>
        <v>50</v>
      </c>
      <c r="K25" s="6">
        <f t="shared" si="4"/>
        <v>35000</v>
      </c>
      <c r="L25" s="19"/>
      <c r="M25" s="19">
        <f>D25-(H24*10)-D24</f>
        <v>1350</v>
      </c>
    </row>
    <row r="26" spans="3:13">
      <c r="C26" s="56" t="s">
        <v>949</v>
      </c>
      <c r="D26" s="6" t="s">
        <v>378</v>
      </c>
      <c r="E26" s="6" t="s">
        <v>815</v>
      </c>
      <c r="F26" s="6" t="s">
        <v>942</v>
      </c>
      <c r="G26" s="6" t="s">
        <v>816</v>
      </c>
      <c r="H26" s="6" t="s">
        <v>943</v>
      </c>
      <c r="I26" s="6" t="s">
        <v>339</v>
      </c>
      <c r="J26" s="6" t="s">
        <v>340</v>
      </c>
      <c r="K26" s="6" t="s">
        <v>341</v>
      </c>
      <c r="L26" s="19" t="s">
        <v>950</v>
      </c>
      <c r="M26" s="19">
        <f>SUM(M27:M32)</f>
        <v>3250</v>
      </c>
    </row>
    <row r="27" spans="3:13">
      <c r="C27" s="57"/>
      <c r="D27" s="6">
        <v>150</v>
      </c>
      <c r="E27" s="6" t="s">
        <v>10</v>
      </c>
      <c r="F27" s="6">
        <v>5</v>
      </c>
      <c r="G27" s="6"/>
      <c r="H27" s="6"/>
      <c r="I27" s="6">
        <f>_xlfn.XLOOKUP(E27,道具表!$B:$B,道具表!$E:$E)</f>
        <v>100</v>
      </c>
      <c r="J27" s="6">
        <f>_xlfn.XLOOKUP(G27,道具表!$B:$B,道具表!$E:$E)</f>
        <v>0</v>
      </c>
      <c r="K27" s="6">
        <f t="shared" ref="K27:K32" si="6">I27*F27+J27*H27</f>
        <v>500</v>
      </c>
      <c r="L27" s="19"/>
      <c r="M27" s="19">
        <f>D27</f>
        <v>150</v>
      </c>
    </row>
    <row r="28" spans="3:13">
      <c r="C28" s="57"/>
      <c r="D28" s="6">
        <v>400</v>
      </c>
      <c r="E28" s="6" t="s">
        <v>10</v>
      </c>
      <c r="F28" s="6">
        <v>10</v>
      </c>
      <c r="G28" s="6"/>
      <c r="H28" s="6"/>
      <c r="I28" s="6">
        <f>_xlfn.XLOOKUP(E28,道具表!$B:$B,道具表!$E:$E)</f>
        <v>100</v>
      </c>
      <c r="J28" s="6">
        <f>_xlfn.XLOOKUP(G28,道具表!$B:$B,道具表!$E:$E)</f>
        <v>0</v>
      </c>
      <c r="K28" s="6">
        <f t="shared" si="6"/>
        <v>1000</v>
      </c>
      <c r="L28" s="19"/>
      <c r="M28" s="19">
        <f t="shared" ref="M28:M31" si="7">D28-(F27*10)-D27</f>
        <v>200</v>
      </c>
    </row>
    <row r="29" spans="3:13">
      <c r="C29" s="57"/>
      <c r="D29" s="6">
        <v>800</v>
      </c>
      <c r="E29" s="6" t="s">
        <v>10</v>
      </c>
      <c r="F29" s="6">
        <v>15</v>
      </c>
      <c r="G29" s="6"/>
      <c r="H29" s="6"/>
      <c r="I29" s="6">
        <f>_xlfn.XLOOKUP(E29,道具表!$B:$B,道具表!$E:$E)</f>
        <v>100</v>
      </c>
      <c r="J29" s="6">
        <f>_xlfn.XLOOKUP(G29,道具表!$B:$B,道具表!$E:$E)</f>
        <v>0</v>
      </c>
      <c r="K29" s="6">
        <f t="shared" si="6"/>
        <v>1500</v>
      </c>
      <c r="L29" s="19"/>
      <c r="M29" s="19">
        <f t="shared" si="7"/>
        <v>300</v>
      </c>
    </row>
    <row r="30" spans="3:13">
      <c r="C30" s="57"/>
      <c r="D30" s="6">
        <v>1400</v>
      </c>
      <c r="E30" s="6" t="s">
        <v>10</v>
      </c>
      <c r="F30" s="6">
        <v>30</v>
      </c>
      <c r="G30" s="6"/>
      <c r="H30" s="6"/>
      <c r="I30" s="6">
        <f>_xlfn.XLOOKUP(E30,道具表!$B:$B,道具表!$E:$E)</f>
        <v>100</v>
      </c>
      <c r="J30" s="6">
        <f>_xlfn.XLOOKUP(G30,道具表!$B:$B,道具表!$E:$E)</f>
        <v>0</v>
      </c>
      <c r="K30" s="6">
        <f t="shared" si="6"/>
        <v>3000</v>
      </c>
      <c r="L30" s="19"/>
      <c r="M30" s="19">
        <f t="shared" si="7"/>
        <v>450</v>
      </c>
    </row>
    <row r="31" spans="3:13">
      <c r="C31" s="57"/>
      <c r="D31" s="6">
        <v>2500</v>
      </c>
      <c r="E31" s="6" t="s">
        <v>320</v>
      </c>
      <c r="F31" s="6">
        <v>1</v>
      </c>
      <c r="G31" s="6" t="s">
        <v>10</v>
      </c>
      <c r="H31" s="6">
        <v>15</v>
      </c>
      <c r="I31" s="6">
        <f>_xlfn.XLOOKUP(E31,道具表!$B:$B,道具表!$E:$E)</f>
        <v>10000</v>
      </c>
      <c r="J31" s="6">
        <f>_xlfn.XLOOKUP(G31,道具表!$B:$B,道具表!$E:$E)</f>
        <v>100</v>
      </c>
      <c r="K31" s="6">
        <f t="shared" si="6"/>
        <v>11500</v>
      </c>
      <c r="L31" s="19"/>
      <c r="M31" s="19">
        <f t="shared" si="7"/>
        <v>800</v>
      </c>
    </row>
    <row r="32" spans="3:13">
      <c r="C32" s="58"/>
      <c r="D32" s="6">
        <v>4000</v>
      </c>
      <c r="E32" s="6" t="s">
        <v>319</v>
      </c>
      <c r="F32" s="6">
        <v>1</v>
      </c>
      <c r="G32" s="29" t="s">
        <v>54</v>
      </c>
      <c r="H32" s="6">
        <v>200</v>
      </c>
      <c r="I32" s="6">
        <f>_xlfn.XLOOKUP(E32,道具表!$B:$B,道具表!$E:$E)</f>
        <v>25000</v>
      </c>
      <c r="J32" s="6">
        <f>_xlfn.XLOOKUP(G32,道具表!$B:$B,道具表!$E:$E)</f>
        <v>50</v>
      </c>
      <c r="K32" s="6">
        <f t="shared" si="6"/>
        <v>35000</v>
      </c>
      <c r="L32" s="19"/>
      <c r="M32" s="19">
        <f>D32-(H31*10)-D31</f>
        <v>1350</v>
      </c>
    </row>
    <row r="35" spans="3:14">
      <c r="C35" s="6" t="s">
        <v>951</v>
      </c>
      <c r="D35" s="6" t="s">
        <v>338</v>
      </c>
      <c r="E35" s="6" t="s">
        <v>952</v>
      </c>
      <c r="F35" s="6" t="s">
        <v>815</v>
      </c>
      <c r="G35" s="6" t="s">
        <v>942</v>
      </c>
      <c r="H35" s="6" t="s">
        <v>816</v>
      </c>
      <c r="I35" s="6" t="s">
        <v>943</v>
      </c>
      <c r="J35" s="6" t="s">
        <v>339</v>
      </c>
      <c r="K35" s="6" t="s">
        <v>340</v>
      </c>
      <c r="L35" s="6" t="s">
        <v>341</v>
      </c>
      <c r="M35" s="6" t="s">
        <v>895</v>
      </c>
      <c r="N35" s="6" t="s">
        <v>342</v>
      </c>
    </row>
    <row r="36" spans="3:14">
      <c r="C36" s="6"/>
      <c r="D36" s="6" t="s">
        <v>953</v>
      </c>
      <c r="E36" s="6">
        <v>1</v>
      </c>
      <c r="F36" s="29" t="s">
        <v>17</v>
      </c>
      <c r="G36" s="6">
        <v>1</v>
      </c>
      <c r="H36" s="6"/>
      <c r="I36" s="6"/>
      <c r="J36" s="6">
        <f>_xlfn.XLOOKUP(F36,道具表!$B:$B,道具表!$E:$E)</f>
        <v>0</v>
      </c>
      <c r="K36" s="6"/>
      <c r="L36" s="6">
        <f t="shared" ref="L36:L42" si="8">K36*I36+J36*G36</f>
        <v>0</v>
      </c>
      <c r="M36" s="11"/>
      <c r="N36" s="6"/>
    </row>
    <row r="37" spans="3:14">
      <c r="C37" s="6"/>
      <c r="D37" s="6">
        <v>30</v>
      </c>
      <c r="E37" s="6">
        <v>1</v>
      </c>
      <c r="F37" s="6" t="s">
        <v>10</v>
      </c>
      <c r="G37" s="6">
        <v>12</v>
      </c>
      <c r="H37" s="6"/>
      <c r="I37" s="6"/>
      <c r="J37" s="6">
        <f>_xlfn.XLOOKUP(F37,道具表!$B:$B,道具表!$E:$E)</f>
        <v>100</v>
      </c>
      <c r="K37" s="6">
        <f>_xlfn.XLOOKUP(H37,道具表!$B:$B,道具表!$E:$E)</f>
        <v>0</v>
      </c>
      <c r="L37" s="6">
        <f t="shared" si="8"/>
        <v>1200</v>
      </c>
      <c r="M37" s="11">
        <f t="shared" ref="M37:M42" si="9">L37/(D37*10)</f>
        <v>4</v>
      </c>
      <c r="N37" s="59">
        <f t="shared" ref="N37:N42" si="10">10/M37</f>
        <v>2.5</v>
      </c>
    </row>
    <row r="38" spans="3:14">
      <c r="C38" s="6"/>
      <c r="D38" s="6">
        <v>68</v>
      </c>
      <c r="E38" s="6">
        <v>2</v>
      </c>
      <c r="F38" s="6" t="s">
        <v>10</v>
      </c>
      <c r="G38" s="6">
        <v>25</v>
      </c>
      <c r="H38" s="6"/>
      <c r="I38" s="6"/>
      <c r="J38" s="6">
        <f>_xlfn.XLOOKUP(F38,道具表!$B:$B,道具表!$E:$E)</f>
        <v>100</v>
      </c>
      <c r="K38" s="6">
        <f>_xlfn.XLOOKUP(H38,道具表!$B:$B,道具表!$E:$E)</f>
        <v>0</v>
      </c>
      <c r="L38" s="6">
        <f t="shared" si="8"/>
        <v>2500</v>
      </c>
      <c r="M38" s="11">
        <f t="shared" si="9"/>
        <v>3.67647058823529</v>
      </c>
      <c r="N38" s="59">
        <f t="shared" si="10"/>
        <v>2.72</v>
      </c>
    </row>
    <row r="39" spans="3:14">
      <c r="C39" s="6"/>
      <c r="D39" s="6">
        <v>128</v>
      </c>
      <c r="E39" s="6">
        <v>3</v>
      </c>
      <c r="F39" s="6" t="s">
        <v>10</v>
      </c>
      <c r="G39" s="6">
        <v>50</v>
      </c>
      <c r="H39" s="6"/>
      <c r="I39" s="6"/>
      <c r="J39" s="6">
        <f>_xlfn.XLOOKUP(F39,道具表!$B:$B,道具表!$E:$E)</f>
        <v>100</v>
      </c>
      <c r="K39" s="6">
        <f>_xlfn.XLOOKUP(H39,道具表!$B:$B,道具表!$E:$E)</f>
        <v>0</v>
      </c>
      <c r="L39" s="6">
        <f t="shared" si="8"/>
        <v>5000</v>
      </c>
      <c r="M39" s="11">
        <f t="shared" si="9"/>
        <v>3.90625</v>
      </c>
      <c r="N39" s="59">
        <f t="shared" si="10"/>
        <v>2.56</v>
      </c>
    </row>
    <row r="40" spans="3:14">
      <c r="C40" s="6"/>
      <c r="D40" s="6">
        <v>198</v>
      </c>
      <c r="E40" s="6">
        <v>5</v>
      </c>
      <c r="F40" s="6" t="s">
        <v>10</v>
      </c>
      <c r="G40" s="6">
        <v>80</v>
      </c>
      <c r="H40" s="6"/>
      <c r="I40" s="6"/>
      <c r="J40" s="6">
        <f>_xlfn.XLOOKUP(F40,道具表!$B:$B,道具表!$E:$E)</f>
        <v>100</v>
      </c>
      <c r="K40" s="6">
        <f>_xlfn.XLOOKUP(H40,道具表!$B:$B,道具表!$E:$E)</f>
        <v>0</v>
      </c>
      <c r="L40" s="6">
        <f t="shared" si="8"/>
        <v>8000</v>
      </c>
      <c r="M40" s="11">
        <f t="shared" si="9"/>
        <v>4.04040404040404</v>
      </c>
      <c r="N40" s="59">
        <f t="shared" si="10"/>
        <v>2.475</v>
      </c>
    </row>
    <row r="41" spans="3:14">
      <c r="C41" s="6"/>
      <c r="D41" s="6">
        <v>328</v>
      </c>
      <c r="E41" s="6">
        <v>5</v>
      </c>
      <c r="F41" s="6" t="s">
        <v>10</v>
      </c>
      <c r="G41" s="6">
        <v>140</v>
      </c>
      <c r="H41" s="6"/>
      <c r="I41" s="6"/>
      <c r="J41" s="6">
        <f>_xlfn.XLOOKUP(F41,道具表!$B:$B,道具表!$E:$E)</f>
        <v>100</v>
      </c>
      <c r="K41" s="6">
        <f>_xlfn.XLOOKUP(H41,道具表!$B:$B,道具表!$E:$E)</f>
        <v>0</v>
      </c>
      <c r="L41" s="6">
        <f t="shared" si="8"/>
        <v>14000</v>
      </c>
      <c r="M41" s="11">
        <f t="shared" si="9"/>
        <v>4.26829268292683</v>
      </c>
      <c r="N41" s="59">
        <f t="shared" si="10"/>
        <v>2.34285714285714</v>
      </c>
    </row>
    <row r="42" spans="3:14">
      <c r="C42" s="6"/>
      <c r="D42" s="6">
        <v>648</v>
      </c>
      <c r="E42" s="6">
        <v>5</v>
      </c>
      <c r="F42" s="6" t="s">
        <v>10</v>
      </c>
      <c r="G42" s="6">
        <v>280</v>
      </c>
      <c r="H42" s="6"/>
      <c r="I42" s="6"/>
      <c r="J42" s="6">
        <f>_xlfn.XLOOKUP(F42,道具表!$B:$B,道具表!$E:$E)</f>
        <v>100</v>
      </c>
      <c r="K42" s="6">
        <f>_xlfn.XLOOKUP(H42,道具表!$B:$B,道具表!$E:$E)</f>
        <v>0</v>
      </c>
      <c r="L42" s="6">
        <f t="shared" si="8"/>
        <v>28000</v>
      </c>
      <c r="M42" s="11">
        <f t="shared" si="9"/>
        <v>4.32098765432099</v>
      </c>
      <c r="N42" s="59">
        <f t="shared" si="10"/>
        <v>2.31428571428571</v>
      </c>
    </row>
    <row r="45" spans="11:11">
      <c r="K45" s="55" t="s">
        <v>954</v>
      </c>
    </row>
    <row r="47" spans="13:13">
      <c r="M47" s="55">
        <f>12*10*5</f>
        <v>600</v>
      </c>
    </row>
    <row r="48" spans="13:13">
      <c r="M48" s="55">
        <v>300</v>
      </c>
    </row>
    <row r="49" spans="3:11">
      <c r="C49" s="6" t="s">
        <v>941</v>
      </c>
      <c r="D49" s="6" t="s">
        <v>378</v>
      </c>
      <c r="E49" s="6" t="s">
        <v>815</v>
      </c>
      <c r="F49" s="6" t="str">
        <f>F6</f>
        <v>数量1</v>
      </c>
      <c r="G49" s="6" t="s">
        <v>816</v>
      </c>
      <c r="H49" s="6" t="str">
        <f>H6</f>
        <v>数量2</v>
      </c>
      <c r="I49" s="6" t="s">
        <v>327</v>
      </c>
      <c r="J49" s="6"/>
      <c r="K49" s="6"/>
    </row>
    <row r="50" spans="3:13">
      <c r="C50" s="6"/>
      <c r="D50" s="6">
        <v>150</v>
      </c>
      <c r="E50" s="6" t="str">
        <f>_xlfn.XLOOKUP(E7,道具表!$B:$B,道具表!$C:$C)&amp;"|"&amp;_xlfn.XLOOKUP(E7,道具表!$B:$B,道具表!$A:$A)&amp;"|"</f>
        <v>1|6|</v>
      </c>
      <c r="F50" s="6">
        <f>F7</f>
        <v>5</v>
      </c>
      <c r="G50" s="6"/>
      <c r="H50" s="6"/>
      <c r="I50" s="6" t="str">
        <f t="shared" ref="I50:I53" si="11">E50&amp;F50</f>
        <v>1|6|5</v>
      </c>
      <c r="J50" s="6"/>
      <c r="K50" s="6"/>
      <c r="M50" s="55">
        <f>200/20</f>
        <v>10</v>
      </c>
    </row>
    <row r="51" spans="3:13">
      <c r="C51" s="6"/>
      <c r="D51" s="6">
        <v>500</v>
      </c>
      <c r="E51" s="6" t="str">
        <f>_xlfn.XLOOKUP(E8,道具表!$B:$B,道具表!$C:$C)&amp;"|"&amp;_xlfn.XLOOKUP(E8,道具表!$B:$B,道具表!$A:$A)&amp;"|"</f>
        <v>1|6|</v>
      </c>
      <c r="F51" s="6">
        <f t="shared" ref="F50:F75" si="12">F8</f>
        <v>10</v>
      </c>
      <c r="G51" s="6"/>
      <c r="H51" s="6"/>
      <c r="I51" s="6" t="str">
        <f t="shared" si="11"/>
        <v>1|6|10</v>
      </c>
      <c r="J51" s="6"/>
      <c r="K51" s="6"/>
      <c r="M51" s="55">
        <f>300/20</f>
        <v>15</v>
      </c>
    </row>
    <row r="52" spans="3:11">
      <c r="C52" s="6"/>
      <c r="D52" s="6">
        <v>1000</v>
      </c>
      <c r="E52" s="6" t="str">
        <f>_xlfn.XLOOKUP(E9,道具表!$B:$B,道具表!$C:$C)&amp;"|"&amp;_xlfn.XLOOKUP(E9,道具表!$B:$B,道具表!$A:$A)&amp;"|"</f>
        <v>1|6|</v>
      </c>
      <c r="F52" s="6">
        <f t="shared" si="12"/>
        <v>15</v>
      </c>
      <c r="G52" s="6"/>
      <c r="H52" s="6"/>
      <c r="I52" s="6" t="str">
        <f t="shared" si="11"/>
        <v>1|6|15</v>
      </c>
      <c r="J52" s="6"/>
      <c r="K52" s="6"/>
    </row>
    <row r="53" spans="3:11">
      <c r="C53" s="6"/>
      <c r="D53" s="6">
        <v>1500</v>
      </c>
      <c r="E53" s="6" t="str">
        <f>_xlfn.XLOOKUP(E10,道具表!$B:$B,道具表!$C:$C)&amp;"|"&amp;_xlfn.XLOOKUP(E10,道具表!$B:$B,道具表!$A:$A)&amp;"|"</f>
        <v>1|6|</v>
      </c>
      <c r="F53" s="6">
        <f t="shared" si="12"/>
        <v>30</v>
      </c>
      <c r="G53" s="6"/>
      <c r="H53" s="6"/>
      <c r="I53" s="6" t="str">
        <f t="shared" si="11"/>
        <v>1|6|30</v>
      </c>
      <c r="J53" s="6"/>
      <c r="K53" s="6"/>
    </row>
    <row r="54" spans="3:11">
      <c r="C54" s="6"/>
      <c r="D54" s="6">
        <v>2000</v>
      </c>
      <c r="E54" s="6" t="str">
        <f>_xlfn.XLOOKUP(E11,道具表!$B:$B,道具表!$C:$C)&amp;"|"&amp;_xlfn.XLOOKUP(E11,道具表!$B:$B,道具表!$A:$A)&amp;"|"</f>
        <v>16|402|</v>
      </c>
      <c r="F54" s="6">
        <f t="shared" si="12"/>
        <v>1</v>
      </c>
      <c r="G54" s="6" t="str">
        <f>_xlfn.XLOOKUP(G11,道具表!$B:$B,道具表!$C:$C)&amp;"|"&amp;_xlfn.XLOOKUP(G11,道具表!$B:$B,道具表!$A:$A)&amp;"|"</f>
        <v>1|6|</v>
      </c>
      <c r="H54" s="6">
        <f>H11</f>
        <v>15</v>
      </c>
      <c r="I54" s="6" t="str">
        <f>E54&amp;F54&amp;","&amp;G54&amp;H54</f>
        <v>16|402|1,1|6|15</v>
      </c>
      <c r="J54" s="6"/>
      <c r="K54" s="6"/>
    </row>
    <row r="55" spans="3:11">
      <c r="C55" s="62" t="s">
        <v>945</v>
      </c>
      <c r="D55" s="6" t="s">
        <v>378</v>
      </c>
      <c r="E55" s="6" t="s">
        <v>815</v>
      </c>
      <c r="F55" s="6" t="str">
        <f t="shared" si="12"/>
        <v>数量1</v>
      </c>
      <c r="G55" s="6" t="s">
        <v>816</v>
      </c>
      <c r="H55" s="6" t="str">
        <f>H12</f>
        <v>数量2</v>
      </c>
      <c r="I55" s="6" t="s">
        <v>327</v>
      </c>
      <c r="J55" s="6"/>
      <c r="K55" s="6"/>
    </row>
    <row r="56" spans="3:11">
      <c r="C56" s="63"/>
      <c r="D56" s="6">
        <v>150</v>
      </c>
      <c r="E56" s="6" t="str">
        <f>_xlfn.XLOOKUP(E13,道具表!$B:$B,道具表!$C:$C)&amp;"|"&amp;_xlfn.XLOOKUP(E13,道具表!$B:$B,道具表!$A:$A)&amp;"|"</f>
        <v>1|6|</v>
      </c>
      <c r="F56" s="6">
        <f t="shared" si="12"/>
        <v>5</v>
      </c>
      <c r="G56" s="6"/>
      <c r="H56" s="6"/>
      <c r="I56" s="6" t="str">
        <f t="shared" ref="I56:I60" si="13">E56&amp;F56</f>
        <v>1|6|5</v>
      </c>
      <c r="J56" s="6"/>
      <c r="K56" s="6"/>
    </row>
    <row r="57" spans="3:11">
      <c r="C57" s="63"/>
      <c r="D57" s="6">
        <v>500</v>
      </c>
      <c r="E57" s="6" t="str">
        <f>_xlfn.XLOOKUP(E14,道具表!$B:$B,道具表!$C:$C)&amp;"|"&amp;_xlfn.XLOOKUP(E14,道具表!$B:$B,道具表!$A:$A)&amp;"|"</f>
        <v>1|6|</v>
      </c>
      <c r="F57" s="6">
        <f t="shared" si="12"/>
        <v>10</v>
      </c>
      <c r="G57" s="6"/>
      <c r="H57" s="6"/>
      <c r="I57" s="6" t="str">
        <f t="shared" si="13"/>
        <v>1|6|10</v>
      </c>
      <c r="J57" s="6"/>
      <c r="K57" s="6"/>
    </row>
    <row r="58" spans="3:11">
      <c r="C58" s="63"/>
      <c r="D58" s="6">
        <v>1000</v>
      </c>
      <c r="E58" s="6" t="str">
        <f>_xlfn.XLOOKUP(E15,道具表!$B:$B,道具表!$C:$C)&amp;"|"&amp;_xlfn.XLOOKUP(E15,道具表!$B:$B,道具表!$A:$A)&amp;"|"</f>
        <v>1|6|</v>
      </c>
      <c r="F58" s="6">
        <f t="shared" si="12"/>
        <v>15</v>
      </c>
      <c r="G58" s="6"/>
      <c r="H58" s="6"/>
      <c r="I58" s="6" t="str">
        <f t="shared" si="13"/>
        <v>1|6|15</v>
      </c>
      <c r="J58" s="6"/>
      <c r="K58" s="6"/>
    </row>
    <row r="59" spans="3:11">
      <c r="C59" s="63"/>
      <c r="D59" s="6">
        <v>1500</v>
      </c>
      <c r="E59" s="6" t="str">
        <f>_xlfn.XLOOKUP(E16,道具表!$B:$B,道具表!$C:$C)&amp;"|"&amp;_xlfn.XLOOKUP(E16,道具表!$B:$B,道具表!$A:$A)&amp;"|"</f>
        <v>1|6|</v>
      </c>
      <c r="F59" s="6">
        <f t="shared" si="12"/>
        <v>30</v>
      </c>
      <c r="G59" s="6"/>
      <c r="H59" s="6"/>
      <c r="I59" s="6" t="str">
        <f t="shared" si="13"/>
        <v>1|6|30</v>
      </c>
      <c r="J59" s="6"/>
      <c r="K59" s="6"/>
    </row>
    <row r="60" spans="3:11">
      <c r="C60" s="63"/>
      <c r="D60" s="6">
        <v>2000</v>
      </c>
      <c r="E60" s="6" t="str">
        <f>_xlfn.XLOOKUP(E17,道具表!$B:$B,道具表!$C:$C)&amp;"|"&amp;_xlfn.XLOOKUP(E17,道具表!$B:$B,道具表!$A:$A)&amp;"|"</f>
        <v>16|402|</v>
      </c>
      <c r="F60" s="6">
        <f t="shared" si="12"/>
        <v>1</v>
      </c>
      <c r="G60" s="6"/>
      <c r="H60" s="6"/>
      <c r="I60" s="6" t="str">
        <f t="shared" si="13"/>
        <v>16|402|1</v>
      </c>
      <c r="J60" s="6"/>
      <c r="K60" s="6"/>
    </row>
    <row r="61" spans="3:11">
      <c r="C61" s="64"/>
      <c r="D61" s="6">
        <v>3000</v>
      </c>
      <c r="E61" s="6" t="str">
        <f>_xlfn.XLOOKUP(E18,道具表!$B:$B,道具表!$C:$C)&amp;"|"&amp;_xlfn.XLOOKUP(E18,道具表!$B:$B,道具表!$A:$A)&amp;"|"</f>
        <v>16|401|</v>
      </c>
      <c r="F61" s="6">
        <f t="shared" si="12"/>
        <v>1</v>
      </c>
      <c r="G61" s="6" t="str">
        <f>_xlfn.XLOOKUP(G18,道具表!$B:$B,道具表!$C:$C)&amp;"|"&amp;_xlfn.XLOOKUP(G18,道具表!$B:$B,道具表!$A:$A)&amp;"|"</f>
        <v>1|10015|</v>
      </c>
      <c r="H61" s="6">
        <f t="shared" ref="H60:H62" si="14">H18</f>
        <v>200</v>
      </c>
      <c r="I61" s="6" t="str">
        <f>E61&amp;F61&amp;","&amp;G61&amp;H61</f>
        <v>16|401|1,1|10015|200</v>
      </c>
      <c r="J61" s="6"/>
      <c r="K61" s="6"/>
    </row>
    <row r="62" spans="3:11">
      <c r="C62" s="56" t="s">
        <v>947</v>
      </c>
      <c r="D62" s="6" t="s">
        <v>378</v>
      </c>
      <c r="E62" s="6" t="s">
        <v>815</v>
      </c>
      <c r="F62" s="6" t="str">
        <f t="shared" si="12"/>
        <v>数量1</v>
      </c>
      <c r="G62" s="6" t="s">
        <v>816</v>
      </c>
      <c r="H62" s="6" t="str">
        <f t="shared" si="14"/>
        <v>数量2</v>
      </c>
      <c r="I62" s="6" t="s">
        <v>327</v>
      </c>
      <c r="J62" s="6"/>
      <c r="K62" s="6"/>
    </row>
    <row r="63" spans="3:11">
      <c r="C63" s="57"/>
      <c r="D63" s="6">
        <v>150</v>
      </c>
      <c r="E63" s="6" t="str">
        <f>_xlfn.XLOOKUP(E20,道具表!$B:$B,道具表!$C:$C)&amp;"|"&amp;_xlfn.XLOOKUP(E20,道具表!$B:$B,道具表!$A:$A)&amp;"|"</f>
        <v>1|6|</v>
      </c>
      <c r="F63" s="6">
        <f t="shared" si="12"/>
        <v>5</v>
      </c>
      <c r="G63" s="6"/>
      <c r="H63" s="6"/>
      <c r="I63" s="6" t="str">
        <f t="shared" ref="I63:I66" si="15">E63&amp;F63</f>
        <v>1|6|5</v>
      </c>
      <c r="J63" s="6"/>
      <c r="K63" s="6"/>
    </row>
    <row r="64" spans="3:11">
      <c r="C64" s="57"/>
      <c r="D64" s="6">
        <v>500</v>
      </c>
      <c r="E64" s="6" t="str">
        <f>_xlfn.XLOOKUP(E21,道具表!$B:$B,道具表!$C:$C)&amp;"|"&amp;_xlfn.XLOOKUP(E21,道具表!$B:$B,道具表!$A:$A)&amp;"|"</f>
        <v>1|6|</v>
      </c>
      <c r="F64" s="6">
        <f t="shared" si="12"/>
        <v>10</v>
      </c>
      <c r="G64" s="6"/>
      <c r="H64" s="6"/>
      <c r="I64" s="6" t="str">
        <f t="shared" si="15"/>
        <v>1|6|10</v>
      </c>
      <c r="J64" s="6"/>
      <c r="K64" s="6"/>
    </row>
    <row r="65" spans="3:11">
      <c r="C65" s="57"/>
      <c r="D65" s="6">
        <v>1000</v>
      </c>
      <c r="E65" s="6" t="str">
        <f>_xlfn.XLOOKUP(E22,道具表!$B:$B,道具表!$C:$C)&amp;"|"&amp;_xlfn.XLOOKUP(E22,道具表!$B:$B,道具表!$A:$A)&amp;"|"</f>
        <v>1|6|</v>
      </c>
      <c r="F65" s="6">
        <f t="shared" si="12"/>
        <v>15</v>
      </c>
      <c r="G65" s="6"/>
      <c r="H65" s="6"/>
      <c r="I65" s="6" t="str">
        <f t="shared" si="15"/>
        <v>1|6|15</v>
      </c>
      <c r="J65" s="6"/>
      <c r="K65" s="6"/>
    </row>
    <row r="66" spans="3:11">
      <c r="C66" s="57"/>
      <c r="D66" s="6">
        <v>1500</v>
      </c>
      <c r="E66" s="6" t="str">
        <f>_xlfn.XLOOKUP(E23,道具表!$B:$B,道具表!$C:$C)&amp;"|"&amp;_xlfn.XLOOKUP(E23,道具表!$B:$B,道具表!$A:$A)&amp;"|"</f>
        <v>1|6|</v>
      </c>
      <c r="F66" s="6">
        <f t="shared" si="12"/>
        <v>30</v>
      </c>
      <c r="G66" s="6"/>
      <c r="H66" s="6"/>
      <c r="I66" s="6" t="str">
        <f t="shared" ref="I66:I74" si="16">E66&amp;F66</f>
        <v>1|6|30</v>
      </c>
      <c r="J66" s="6"/>
      <c r="K66" s="6"/>
    </row>
    <row r="67" spans="3:11">
      <c r="C67" s="57"/>
      <c r="D67" s="6">
        <v>2000</v>
      </c>
      <c r="E67" s="6" t="str">
        <f>_xlfn.XLOOKUP(E24,道具表!$B:$B,道具表!$C:$C)&amp;"|"&amp;_xlfn.XLOOKUP(E24,道具表!$B:$B,道具表!$A:$A)&amp;"|"</f>
        <v>16|402|</v>
      </c>
      <c r="F67" s="6">
        <f t="shared" si="12"/>
        <v>1</v>
      </c>
      <c r="G67" s="6"/>
      <c r="H67" s="6"/>
      <c r="I67" s="6" t="str">
        <f t="shared" si="16"/>
        <v>16|402|1</v>
      </c>
      <c r="J67" s="6"/>
      <c r="K67" s="6"/>
    </row>
    <row r="68" spans="3:11">
      <c r="C68" s="57"/>
      <c r="D68" s="6">
        <v>3000</v>
      </c>
      <c r="E68" s="6" t="str">
        <f>_xlfn.XLOOKUP(E25,道具表!$B:$B,道具表!$C:$C)&amp;"|"&amp;_xlfn.XLOOKUP(E25,道具表!$B:$B,道具表!$A:$A)&amp;"|"</f>
        <v>16|401|</v>
      </c>
      <c r="F68" s="6">
        <f t="shared" si="12"/>
        <v>1</v>
      </c>
      <c r="G68" s="6" t="str">
        <f>_xlfn.XLOOKUP(G25,道具表!$B:$B,道具表!$C:$C)&amp;"|"&amp;_xlfn.XLOOKUP(G25,道具表!$B:$B,道具表!$A:$A)&amp;"|"</f>
        <v>1|10015|</v>
      </c>
      <c r="H68" s="6">
        <f t="shared" ref="H67:H69" si="17">H25</f>
        <v>200</v>
      </c>
      <c r="I68" s="6" t="str">
        <f>E68&amp;F68&amp;","&amp;G68&amp;H68</f>
        <v>16|401|1,1|10015|200</v>
      </c>
      <c r="J68" s="6"/>
      <c r="K68" s="6"/>
    </row>
    <row r="69" spans="3:11">
      <c r="C69" s="56" t="s">
        <v>949</v>
      </c>
      <c r="D69" s="6" t="s">
        <v>378</v>
      </c>
      <c r="E69" s="6" t="s">
        <v>815</v>
      </c>
      <c r="F69" s="6" t="str">
        <f t="shared" si="12"/>
        <v>数量1</v>
      </c>
      <c r="G69" s="6" t="s">
        <v>816</v>
      </c>
      <c r="H69" s="6" t="str">
        <f t="shared" si="17"/>
        <v>数量2</v>
      </c>
      <c r="I69" s="6" t="s">
        <v>327</v>
      </c>
      <c r="J69" s="6"/>
      <c r="K69" s="6"/>
    </row>
    <row r="70" spans="3:11">
      <c r="C70" s="57"/>
      <c r="D70" s="6">
        <v>150</v>
      </c>
      <c r="E70" s="6" t="str">
        <f>_xlfn.XLOOKUP(E27,道具表!$B:$B,道具表!$C:$C)&amp;"|"&amp;_xlfn.XLOOKUP(E27,道具表!$B:$B,道具表!$A:$A)&amp;"|"</f>
        <v>1|6|</v>
      </c>
      <c r="F70" s="6">
        <f t="shared" si="12"/>
        <v>5</v>
      </c>
      <c r="G70" s="6"/>
      <c r="H70" s="6"/>
      <c r="I70" s="6" t="str">
        <f t="shared" si="16"/>
        <v>1|6|5</v>
      </c>
      <c r="J70" s="6"/>
      <c r="K70" s="6"/>
    </row>
    <row r="71" spans="3:11">
      <c r="C71" s="57"/>
      <c r="D71" s="6">
        <v>500</v>
      </c>
      <c r="E71" s="6" t="str">
        <f>_xlfn.XLOOKUP(E28,道具表!$B:$B,道具表!$C:$C)&amp;"|"&amp;_xlfn.XLOOKUP(E28,道具表!$B:$B,道具表!$A:$A)&amp;"|"</f>
        <v>1|6|</v>
      </c>
      <c r="F71" s="6">
        <f t="shared" si="12"/>
        <v>10</v>
      </c>
      <c r="G71" s="6"/>
      <c r="H71" s="6"/>
      <c r="I71" s="6" t="str">
        <f t="shared" si="16"/>
        <v>1|6|10</v>
      </c>
      <c r="J71" s="6"/>
      <c r="K71" s="6"/>
    </row>
    <row r="72" spans="3:11">
      <c r="C72" s="57"/>
      <c r="D72" s="6">
        <v>1000</v>
      </c>
      <c r="E72" s="6" t="str">
        <f>_xlfn.XLOOKUP(E29,道具表!$B:$B,道具表!$C:$C)&amp;"|"&amp;_xlfn.XLOOKUP(E29,道具表!$B:$B,道具表!$A:$A)&amp;"|"</f>
        <v>1|6|</v>
      </c>
      <c r="F72" s="6">
        <f t="shared" si="12"/>
        <v>15</v>
      </c>
      <c r="G72" s="6"/>
      <c r="H72" s="6"/>
      <c r="I72" s="6" t="str">
        <f t="shared" si="16"/>
        <v>1|6|15</v>
      </c>
      <c r="J72" s="6"/>
      <c r="K72" s="6"/>
    </row>
    <row r="73" spans="3:11">
      <c r="C73" s="57"/>
      <c r="D73" s="6">
        <v>1500</v>
      </c>
      <c r="E73" s="6" t="str">
        <f>_xlfn.XLOOKUP(E30,道具表!$B:$B,道具表!$C:$C)&amp;"|"&amp;_xlfn.XLOOKUP(E30,道具表!$B:$B,道具表!$A:$A)&amp;"|"</f>
        <v>1|6|</v>
      </c>
      <c r="F73" s="6">
        <f t="shared" si="12"/>
        <v>30</v>
      </c>
      <c r="G73" s="6"/>
      <c r="H73" s="6"/>
      <c r="I73" s="6" t="str">
        <f t="shared" si="16"/>
        <v>1|6|30</v>
      </c>
      <c r="J73" s="6"/>
      <c r="K73" s="6"/>
    </row>
    <row r="74" spans="3:11">
      <c r="C74" s="57"/>
      <c r="D74" s="6">
        <v>2000</v>
      </c>
      <c r="E74" s="6" t="str">
        <f>_xlfn.XLOOKUP(E31,道具表!$B:$B,道具表!$C:$C)&amp;"|"&amp;_xlfn.XLOOKUP(E31,道具表!$B:$B,道具表!$A:$A)&amp;"|"</f>
        <v>16|402|</v>
      </c>
      <c r="F74" s="6">
        <f t="shared" si="12"/>
        <v>1</v>
      </c>
      <c r="G74" s="6"/>
      <c r="H74" s="6"/>
      <c r="I74" s="6" t="str">
        <f t="shared" si="16"/>
        <v>16|402|1</v>
      </c>
      <c r="J74" s="6"/>
      <c r="K74" s="6"/>
    </row>
    <row r="75" spans="3:11">
      <c r="C75" s="58"/>
      <c r="D75" s="6">
        <v>3000</v>
      </c>
      <c r="E75" s="6" t="str">
        <f>_xlfn.XLOOKUP(E32,道具表!$B:$B,道具表!$C:$C)&amp;"|"&amp;_xlfn.XLOOKUP(E32,道具表!$B:$B,道具表!$A:$A)&amp;"|"</f>
        <v>16|401|</v>
      </c>
      <c r="F75" s="6">
        <f t="shared" si="12"/>
        <v>1</v>
      </c>
      <c r="G75" s="6" t="str">
        <f>_xlfn.XLOOKUP(G32,道具表!$B:$B,道具表!$C:$C)&amp;"|"&amp;_xlfn.XLOOKUP(G32,道具表!$B:$B,道具表!$A:$A)&amp;"|"</f>
        <v>1|10015|</v>
      </c>
      <c r="H75" s="6">
        <f>H32</f>
        <v>200</v>
      </c>
      <c r="I75" s="6" t="str">
        <f>E75&amp;F75&amp;","&amp;G75&amp;H75</f>
        <v>16|401|1,1|10015|200</v>
      </c>
      <c r="J75" s="6"/>
      <c r="K75" s="6"/>
    </row>
    <row r="78" spans="3:12">
      <c r="C78" s="6" t="s">
        <v>951</v>
      </c>
      <c r="D78" s="6" t="str">
        <f t="shared" ref="D78:G78" si="18">D35</f>
        <v>价格</v>
      </c>
      <c r="E78" s="6" t="str">
        <f t="shared" si="18"/>
        <v>限购次数</v>
      </c>
      <c r="F78" s="6" t="str">
        <f t="shared" si="18"/>
        <v>道具1</v>
      </c>
      <c r="G78" s="6" t="str">
        <f t="shared" si="18"/>
        <v>数量1</v>
      </c>
      <c r="H78" s="6" t="s">
        <v>816</v>
      </c>
      <c r="I78" s="6" t="str">
        <f t="shared" ref="I78:I85" si="19">I35</f>
        <v>数量2</v>
      </c>
      <c r="J78" s="6" t="s">
        <v>327</v>
      </c>
      <c r="K78" s="6"/>
      <c r="L78" s="6"/>
    </row>
    <row r="79" spans="3:12">
      <c r="C79" s="6"/>
      <c r="D79" s="6" t="str">
        <f t="shared" ref="D79:G79" si="20">D36</f>
        <v>免费</v>
      </c>
      <c r="E79" s="6">
        <f t="shared" si="20"/>
        <v>1</v>
      </c>
      <c r="F79" s="6" t="str">
        <f>_xlfn.XLOOKUP(F36,道具表!$B:$B,道具表!$C:$C)&amp;"|"&amp;_xlfn.XLOOKUP(F36,道具表!$B:$B,道具表!$A:$A)&amp;"|"</f>
        <v>1|13|</v>
      </c>
      <c r="G79" s="6">
        <f t="shared" si="20"/>
        <v>1</v>
      </c>
      <c r="H79" s="6"/>
      <c r="I79" s="6"/>
      <c r="J79" s="6" t="str">
        <f>F79&amp;G79</f>
        <v>1|13|1</v>
      </c>
      <c r="K79" s="6"/>
      <c r="L79" s="6"/>
    </row>
    <row r="80" spans="3:12">
      <c r="C80" s="6"/>
      <c r="D80" s="6">
        <f t="shared" ref="D80:G80" si="21">D37</f>
        <v>30</v>
      </c>
      <c r="E80" s="6">
        <f t="shared" si="21"/>
        <v>1</v>
      </c>
      <c r="F80" s="6" t="str">
        <f>_xlfn.XLOOKUP(F37,道具表!$B:$B,道具表!$C:$C)&amp;"|"&amp;_xlfn.XLOOKUP(F37,道具表!$B:$B,道具表!$A:$A)&amp;"|"</f>
        <v>1|6|</v>
      </c>
      <c r="G80" s="6">
        <f t="shared" si="21"/>
        <v>12</v>
      </c>
      <c r="H80" s="6" t="str">
        <f>_xlfn.XLOOKUP(H37,道具表!$B:$B,道具表!$C:$C)&amp;"|"&amp;_xlfn.XLOOKUP(H37,道具表!$B:$B,道具表!$A:$A)&amp;"|"</f>
        <v>||</v>
      </c>
      <c r="I80" s="6">
        <f t="shared" si="19"/>
        <v>0</v>
      </c>
      <c r="J80" s="6" t="str">
        <f t="shared" ref="J80:J85" si="22">F80&amp;G80&amp;","&amp;H80&amp;I80</f>
        <v>1|6|12,||0</v>
      </c>
      <c r="K80" s="6"/>
      <c r="L80" s="6"/>
    </row>
    <row r="81" spans="3:12">
      <c r="C81" s="6"/>
      <c r="D81" s="6">
        <f t="shared" ref="D81:G81" si="23">D38</f>
        <v>68</v>
      </c>
      <c r="E81" s="6">
        <f t="shared" si="23"/>
        <v>2</v>
      </c>
      <c r="F81" s="6" t="str">
        <f>_xlfn.XLOOKUP(F38,道具表!$B:$B,道具表!$C:$C)&amp;"|"&amp;_xlfn.XLOOKUP(F38,道具表!$B:$B,道具表!$A:$A)&amp;"|"</f>
        <v>1|6|</v>
      </c>
      <c r="G81" s="6">
        <f t="shared" si="23"/>
        <v>25</v>
      </c>
      <c r="H81" s="6" t="str">
        <f>_xlfn.XLOOKUP(H38,道具表!$B:$B,道具表!$C:$C)&amp;"|"&amp;_xlfn.XLOOKUP(H38,道具表!$B:$B,道具表!$A:$A)&amp;"|"</f>
        <v>||</v>
      </c>
      <c r="I81" s="6">
        <f t="shared" si="19"/>
        <v>0</v>
      </c>
      <c r="J81" s="6" t="str">
        <f t="shared" si="22"/>
        <v>1|6|25,||0</v>
      </c>
      <c r="K81" s="6"/>
      <c r="L81" s="6"/>
    </row>
    <row r="82" spans="3:12">
      <c r="C82" s="6"/>
      <c r="D82" s="6">
        <f t="shared" ref="D82:G82" si="24">D39</f>
        <v>128</v>
      </c>
      <c r="E82" s="6">
        <f t="shared" si="24"/>
        <v>3</v>
      </c>
      <c r="F82" s="6" t="str">
        <f>_xlfn.XLOOKUP(F39,道具表!$B:$B,道具表!$C:$C)&amp;"|"&amp;_xlfn.XLOOKUP(F39,道具表!$B:$B,道具表!$A:$A)&amp;"|"</f>
        <v>1|6|</v>
      </c>
      <c r="G82" s="6">
        <f t="shared" si="24"/>
        <v>50</v>
      </c>
      <c r="H82" s="6" t="str">
        <f>_xlfn.XLOOKUP(H39,道具表!$B:$B,道具表!$C:$C)&amp;"|"&amp;_xlfn.XLOOKUP(H39,道具表!$B:$B,道具表!$A:$A)&amp;"|"</f>
        <v>||</v>
      </c>
      <c r="I82" s="6">
        <f t="shared" si="19"/>
        <v>0</v>
      </c>
      <c r="J82" s="6" t="str">
        <f t="shared" si="22"/>
        <v>1|6|50,||0</v>
      </c>
      <c r="K82" s="6"/>
      <c r="L82" s="6"/>
    </row>
    <row r="83" spans="3:12">
      <c r="C83" s="6"/>
      <c r="D83" s="6">
        <f t="shared" ref="D83:G83" si="25">D40</f>
        <v>198</v>
      </c>
      <c r="E83" s="6">
        <f t="shared" si="25"/>
        <v>5</v>
      </c>
      <c r="F83" s="6" t="str">
        <f>_xlfn.XLOOKUP(F40,道具表!$B:$B,道具表!$C:$C)&amp;"|"&amp;_xlfn.XLOOKUP(F40,道具表!$B:$B,道具表!$A:$A)&amp;"|"</f>
        <v>1|6|</v>
      </c>
      <c r="G83" s="6">
        <f t="shared" si="25"/>
        <v>80</v>
      </c>
      <c r="H83" s="6" t="str">
        <f>_xlfn.XLOOKUP(H40,道具表!$B:$B,道具表!$C:$C)&amp;"|"&amp;_xlfn.XLOOKUP(H40,道具表!$B:$B,道具表!$A:$A)&amp;"|"</f>
        <v>||</v>
      </c>
      <c r="I83" s="6">
        <f t="shared" si="19"/>
        <v>0</v>
      </c>
      <c r="J83" s="6" t="str">
        <f t="shared" si="22"/>
        <v>1|6|80,||0</v>
      </c>
      <c r="K83" s="6"/>
      <c r="L83" s="6"/>
    </row>
    <row r="84" spans="3:12">
      <c r="C84" s="6"/>
      <c r="D84" s="6">
        <f t="shared" ref="D84:G84" si="26">D41</f>
        <v>328</v>
      </c>
      <c r="E84" s="6">
        <f t="shared" si="26"/>
        <v>5</v>
      </c>
      <c r="F84" s="6" t="str">
        <f>_xlfn.XLOOKUP(F41,道具表!$B:$B,道具表!$C:$C)&amp;"|"&amp;_xlfn.XLOOKUP(F41,道具表!$B:$B,道具表!$A:$A)&amp;"|"</f>
        <v>1|6|</v>
      </c>
      <c r="G84" s="6">
        <f t="shared" si="26"/>
        <v>140</v>
      </c>
      <c r="H84" s="6" t="str">
        <f>_xlfn.XLOOKUP(H41,道具表!$B:$B,道具表!$C:$C)&amp;"|"&amp;_xlfn.XLOOKUP(H41,道具表!$B:$B,道具表!$A:$A)&amp;"|"</f>
        <v>||</v>
      </c>
      <c r="I84" s="6">
        <f t="shared" si="19"/>
        <v>0</v>
      </c>
      <c r="J84" s="6" t="str">
        <f t="shared" si="22"/>
        <v>1|6|140,||0</v>
      </c>
      <c r="K84" s="6"/>
      <c r="L84" s="6"/>
    </row>
    <row r="85" spans="3:12">
      <c r="C85" s="6"/>
      <c r="D85" s="6">
        <f t="shared" ref="D85:G85" si="27">D42</f>
        <v>648</v>
      </c>
      <c r="E85" s="6">
        <f t="shared" si="27"/>
        <v>5</v>
      </c>
      <c r="F85" s="6" t="str">
        <f>_xlfn.XLOOKUP(F42,道具表!$B:$B,道具表!$C:$C)&amp;"|"&amp;_xlfn.XLOOKUP(F42,道具表!$B:$B,道具表!$A:$A)&amp;"|"</f>
        <v>1|6|</v>
      </c>
      <c r="G85" s="6">
        <f t="shared" si="27"/>
        <v>280</v>
      </c>
      <c r="H85" s="6" t="str">
        <f>_xlfn.XLOOKUP(H42,道具表!$B:$B,道具表!$C:$C)&amp;"|"&amp;_xlfn.XLOOKUP(H42,道具表!$B:$B,道具表!$A:$A)&amp;"|"</f>
        <v>||</v>
      </c>
      <c r="I85" s="6">
        <f t="shared" si="19"/>
        <v>0</v>
      </c>
      <c r="J85" s="6" t="str">
        <f t="shared" si="22"/>
        <v>1|6|280,||0</v>
      </c>
      <c r="K85" s="6"/>
      <c r="L85" s="6"/>
    </row>
  </sheetData>
  <mergeCells count="11">
    <mergeCell ref="C1:C3"/>
    <mergeCell ref="C6:C11"/>
    <mergeCell ref="C12:C18"/>
    <mergeCell ref="C19:C25"/>
    <mergeCell ref="C26:C32"/>
    <mergeCell ref="C35:C42"/>
    <mergeCell ref="C49:C54"/>
    <mergeCell ref="C55:C61"/>
    <mergeCell ref="C62:C68"/>
    <mergeCell ref="C69:C75"/>
    <mergeCell ref="C78:C85"/>
  </mergeCells>
  <pageMargins left="0.75" right="0.75" top="1" bottom="1" header="0.5" footer="0.5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R85"/>
  <sheetViews>
    <sheetView topLeftCell="A19" workbookViewId="0">
      <selection activeCell="E78" sqref="D78:E85"/>
    </sheetView>
  </sheetViews>
  <sheetFormatPr defaultColWidth="8.88888888888889" defaultRowHeight="15.6"/>
  <cols>
    <col min="1" max="3" width="8.88888888888889" style="55"/>
    <col min="4" max="4" width="26.1111111111111" style="55" customWidth="1"/>
    <col min="5" max="5" width="15.1111111111111" style="55" customWidth="1"/>
    <col min="6" max="7" width="8.88888888888889" style="55"/>
    <col min="8" max="8" width="16.3333333333333" style="55" customWidth="1"/>
    <col min="9" max="9" width="18.3333333333333" style="55" customWidth="1"/>
    <col min="10" max="12" width="8.88888888888889" style="55"/>
    <col min="13" max="13" width="15.6666666666667" style="55"/>
    <col min="14" max="14" width="19.6666666666667" style="55"/>
    <col min="15" max="18" width="8.88888888888889" style="55"/>
  </cols>
  <sheetData>
    <row r="1" spans="3:17">
      <c r="C1" s="6" t="s">
        <v>928</v>
      </c>
      <c r="D1" s="6" t="s">
        <v>929</v>
      </c>
      <c r="E1" s="6" t="s">
        <v>378</v>
      </c>
      <c r="M1" s="55" t="s">
        <v>930</v>
      </c>
      <c r="N1" s="55" t="s">
        <v>931</v>
      </c>
      <c r="O1" s="55" t="s">
        <v>932</v>
      </c>
      <c r="P1" s="55" t="s">
        <v>933</v>
      </c>
      <c r="Q1" s="55" t="s">
        <v>6</v>
      </c>
    </row>
    <row r="2" spans="3:17">
      <c r="C2" s="6"/>
      <c r="D2" s="6" t="s">
        <v>969</v>
      </c>
      <c r="E2" s="6">
        <v>10</v>
      </c>
      <c r="L2" s="55" t="s">
        <v>45</v>
      </c>
      <c r="M2" s="55">
        <v>30</v>
      </c>
      <c r="N2" s="55">
        <v>30</v>
      </c>
      <c r="O2" s="55">
        <v>9</v>
      </c>
      <c r="P2" s="55">
        <v>1</v>
      </c>
      <c r="Q2" s="55">
        <v>20</v>
      </c>
    </row>
    <row r="3" spans="3:5">
      <c r="C3" s="6"/>
      <c r="D3" s="6"/>
      <c r="E3" s="6"/>
    </row>
    <row r="4" spans="3:5">
      <c r="C4" s="8"/>
      <c r="D4" s="6"/>
      <c r="E4" s="8"/>
    </row>
    <row r="5" spans="12:13">
      <c r="L5" s="55" t="s">
        <v>940</v>
      </c>
      <c r="M5" s="55">
        <f>(M2+N2+O2+P2+Q2)*10</f>
        <v>900</v>
      </c>
    </row>
    <row r="6" spans="3:15">
      <c r="C6" s="6" t="s">
        <v>941</v>
      </c>
      <c r="D6" s="6" t="s">
        <v>378</v>
      </c>
      <c r="E6" s="6" t="s">
        <v>815</v>
      </c>
      <c r="F6" s="6" t="s">
        <v>942</v>
      </c>
      <c r="G6" s="6" t="s">
        <v>816</v>
      </c>
      <c r="H6" s="6" t="s">
        <v>943</v>
      </c>
      <c r="I6" s="6" t="s">
        <v>339</v>
      </c>
      <c r="J6" s="6" t="s">
        <v>340</v>
      </c>
      <c r="K6" s="6" t="s">
        <v>341</v>
      </c>
      <c r="L6" s="19" t="s">
        <v>944</v>
      </c>
      <c r="M6" s="19">
        <f>SUM(M7:M11)</f>
        <v>1900</v>
      </c>
      <c r="O6" s="55"/>
    </row>
    <row r="7" spans="3:13">
      <c r="C7" s="6"/>
      <c r="D7" s="6">
        <v>150</v>
      </c>
      <c r="E7" s="6" t="s">
        <v>45</v>
      </c>
      <c r="F7" s="6">
        <v>5</v>
      </c>
      <c r="G7" s="6"/>
      <c r="H7" s="6"/>
      <c r="I7" s="6">
        <f>_xlfn.XLOOKUP(E7,道具表!$B:$B,道具表!$E:$E)</f>
        <v>100</v>
      </c>
      <c r="J7" s="6">
        <f>_xlfn.XLOOKUP(G7,道具表!$B:$B,道具表!$E:$E)</f>
        <v>0</v>
      </c>
      <c r="K7" s="6">
        <f t="shared" ref="K7:K11" si="0">I7*F7+J7*H7</f>
        <v>500</v>
      </c>
      <c r="L7" s="19"/>
      <c r="M7" s="19">
        <f>D7</f>
        <v>150</v>
      </c>
    </row>
    <row r="8" spans="3:18">
      <c r="C8" s="6"/>
      <c r="D8" s="6">
        <v>400</v>
      </c>
      <c r="E8" s="6" t="s">
        <v>45</v>
      </c>
      <c r="F8" s="6">
        <v>10</v>
      </c>
      <c r="G8" s="6"/>
      <c r="H8" s="6"/>
      <c r="I8" s="6">
        <f>_xlfn.XLOOKUP(E8,道具表!$B:$B,道具表!$E:$E)</f>
        <v>100</v>
      </c>
      <c r="J8" s="6">
        <f>_xlfn.XLOOKUP(G8,道具表!$B:$B,道具表!$E:$E)</f>
        <v>0</v>
      </c>
      <c r="K8" s="6">
        <f t="shared" si="0"/>
        <v>1000</v>
      </c>
      <c r="L8" s="19"/>
      <c r="M8" s="19">
        <f>D8-(F7*10)-D7</f>
        <v>200</v>
      </c>
      <c r="N8" s="55">
        <v>18</v>
      </c>
      <c r="O8" s="55">
        <v>20</v>
      </c>
      <c r="P8" s="55">
        <v>6</v>
      </c>
      <c r="Q8" s="55">
        <v>11</v>
      </c>
      <c r="R8" s="55">
        <v>30</v>
      </c>
    </row>
    <row r="9" spans="3:13">
      <c r="C9" s="6"/>
      <c r="D9" s="6">
        <v>800</v>
      </c>
      <c r="E9" s="6" t="s">
        <v>45</v>
      </c>
      <c r="F9" s="6">
        <v>15</v>
      </c>
      <c r="G9" s="6"/>
      <c r="H9" s="6"/>
      <c r="I9" s="6">
        <f>_xlfn.XLOOKUP(E9,道具表!$B:$B,道具表!$E:$E)</f>
        <v>100</v>
      </c>
      <c r="J9" s="6">
        <f>_xlfn.XLOOKUP(G9,道具表!$B:$B,道具表!$E:$E)</f>
        <v>0</v>
      </c>
      <c r="K9" s="6">
        <f t="shared" si="0"/>
        <v>1500</v>
      </c>
      <c r="L9" s="19"/>
      <c r="M9" s="19">
        <f t="shared" ref="M8:M11" si="1">D9-(F8*10)-D8</f>
        <v>300</v>
      </c>
    </row>
    <row r="10" spans="3:13">
      <c r="C10" s="6"/>
      <c r="D10" s="6">
        <v>1400</v>
      </c>
      <c r="E10" s="6" t="s">
        <v>45</v>
      </c>
      <c r="F10" s="6">
        <v>30</v>
      </c>
      <c r="G10" s="6"/>
      <c r="H10" s="6"/>
      <c r="I10" s="6">
        <f>_xlfn.XLOOKUP(E10,道具表!$B:$B,道具表!$E:$E)</f>
        <v>100</v>
      </c>
      <c r="J10" s="6">
        <f>_xlfn.XLOOKUP(G10,道具表!$B:$B,道具表!$E:$E)</f>
        <v>0</v>
      </c>
      <c r="K10" s="6">
        <f t="shared" si="0"/>
        <v>3000</v>
      </c>
      <c r="L10" s="19"/>
      <c r="M10" s="19">
        <f t="shared" si="1"/>
        <v>450</v>
      </c>
    </row>
    <row r="11" spans="3:13">
      <c r="C11" s="6"/>
      <c r="D11" s="6">
        <v>2500</v>
      </c>
      <c r="E11" s="6" t="s">
        <v>320</v>
      </c>
      <c r="F11" s="6">
        <v>1</v>
      </c>
      <c r="G11" s="6" t="s">
        <v>45</v>
      </c>
      <c r="H11" s="6">
        <v>15</v>
      </c>
      <c r="I11" s="6">
        <f>_xlfn.XLOOKUP(E11,道具表!$B:$B,道具表!$E:$E)</f>
        <v>10000</v>
      </c>
      <c r="J11" s="6">
        <f>_xlfn.XLOOKUP(G11,道具表!$B:$B,道具表!$E:$E)</f>
        <v>100</v>
      </c>
      <c r="K11" s="6">
        <f t="shared" si="0"/>
        <v>11500</v>
      </c>
      <c r="L11" s="19"/>
      <c r="M11" s="19">
        <f>D11-(F10*10)-D10</f>
        <v>800</v>
      </c>
    </row>
    <row r="12" spans="3:13">
      <c r="C12" s="56" t="s">
        <v>945</v>
      </c>
      <c r="D12" s="6" t="s">
        <v>378</v>
      </c>
      <c r="E12" s="6" t="s">
        <v>815</v>
      </c>
      <c r="F12" s="6" t="s">
        <v>942</v>
      </c>
      <c r="G12" s="6" t="s">
        <v>816</v>
      </c>
      <c r="H12" s="6" t="s">
        <v>943</v>
      </c>
      <c r="I12" s="6" t="s">
        <v>339</v>
      </c>
      <c r="J12" s="6" t="s">
        <v>340</v>
      </c>
      <c r="K12" s="6" t="s">
        <v>341</v>
      </c>
      <c r="L12" s="19" t="s">
        <v>946</v>
      </c>
      <c r="M12" s="19">
        <f>SUM(M13:M18)</f>
        <v>3100</v>
      </c>
    </row>
    <row r="13" spans="3:13">
      <c r="C13" s="57"/>
      <c r="D13" s="6">
        <v>150</v>
      </c>
      <c r="E13" s="6" t="s">
        <v>45</v>
      </c>
      <c r="F13" s="6">
        <v>5</v>
      </c>
      <c r="G13" s="6"/>
      <c r="H13" s="6"/>
      <c r="I13" s="6">
        <f>_xlfn.XLOOKUP(E13,道具表!$B:$B,道具表!$E:$E)</f>
        <v>100</v>
      </c>
      <c r="J13" s="6">
        <f>_xlfn.XLOOKUP(G13,道具表!$B:$B,道具表!$E:$E)</f>
        <v>0</v>
      </c>
      <c r="K13" s="6">
        <f t="shared" ref="K13:K18" si="2">I13*F13+J13*H13</f>
        <v>500</v>
      </c>
      <c r="L13" s="19"/>
      <c r="M13" s="19">
        <f>D13-(H11*10)</f>
        <v>0</v>
      </c>
    </row>
    <row r="14" spans="3:13">
      <c r="C14" s="57"/>
      <c r="D14" s="6">
        <v>400</v>
      </c>
      <c r="E14" s="6" t="s">
        <v>45</v>
      </c>
      <c r="F14" s="6">
        <v>10</v>
      </c>
      <c r="G14" s="6"/>
      <c r="H14" s="6"/>
      <c r="I14" s="6">
        <f>_xlfn.XLOOKUP(E14,道具表!$B:$B,道具表!$E:$E)</f>
        <v>100</v>
      </c>
      <c r="J14" s="6">
        <f>_xlfn.XLOOKUP(G14,道具表!$B:$B,道具表!$E:$E)</f>
        <v>0</v>
      </c>
      <c r="K14" s="6">
        <f t="shared" si="2"/>
        <v>1000</v>
      </c>
      <c r="L14" s="19"/>
      <c r="M14" s="19">
        <f t="shared" ref="M14:M17" si="3">D14-(F13*10)-D13</f>
        <v>200</v>
      </c>
    </row>
    <row r="15" spans="3:13">
      <c r="C15" s="57"/>
      <c r="D15" s="6">
        <v>800</v>
      </c>
      <c r="E15" s="6" t="s">
        <v>45</v>
      </c>
      <c r="F15" s="6">
        <v>15</v>
      </c>
      <c r="G15" s="6"/>
      <c r="H15" s="6"/>
      <c r="I15" s="6">
        <f>_xlfn.XLOOKUP(E15,道具表!$B:$B,道具表!$E:$E)</f>
        <v>100</v>
      </c>
      <c r="J15" s="6">
        <f>_xlfn.XLOOKUP(G15,道具表!$B:$B,道具表!$E:$E)</f>
        <v>0</v>
      </c>
      <c r="K15" s="6">
        <f t="shared" si="2"/>
        <v>1500</v>
      </c>
      <c r="L15" s="19"/>
      <c r="M15" s="19">
        <f t="shared" si="3"/>
        <v>300</v>
      </c>
    </row>
    <row r="16" spans="3:13">
      <c r="C16" s="57"/>
      <c r="D16" s="6">
        <v>1400</v>
      </c>
      <c r="E16" s="6" t="s">
        <v>45</v>
      </c>
      <c r="F16" s="6">
        <v>30</v>
      </c>
      <c r="G16" s="6"/>
      <c r="H16" s="6"/>
      <c r="I16" s="6">
        <f>_xlfn.XLOOKUP(E16,道具表!$B:$B,道具表!$E:$E)</f>
        <v>100</v>
      </c>
      <c r="J16" s="6">
        <f>_xlfn.XLOOKUP(G16,道具表!$B:$B,道具表!$E:$E)</f>
        <v>0</v>
      </c>
      <c r="K16" s="6">
        <f t="shared" si="2"/>
        <v>3000</v>
      </c>
      <c r="L16" s="19"/>
      <c r="M16" s="19">
        <f t="shared" si="3"/>
        <v>450</v>
      </c>
    </row>
    <row r="17" spans="3:13">
      <c r="C17" s="57"/>
      <c r="D17" s="6">
        <v>2500</v>
      </c>
      <c r="E17" s="6" t="s">
        <v>320</v>
      </c>
      <c r="F17" s="6">
        <v>1</v>
      </c>
      <c r="G17" s="6" t="s">
        <v>45</v>
      </c>
      <c r="H17" s="6">
        <v>15</v>
      </c>
      <c r="I17" s="6">
        <f>_xlfn.XLOOKUP(E17,道具表!$B:$B,道具表!$E:$E)</f>
        <v>10000</v>
      </c>
      <c r="J17" s="6">
        <f>_xlfn.XLOOKUP(G17,道具表!$B:$B,道具表!$E:$E)</f>
        <v>100</v>
      </c>
      <c r="K17" s="6">
        <f t="shared" si="2"/>
        <v>11500</v>
      </c>
      <c r="L17" s="19"/>
      <c r="M17" s="19">
        <f t="shared" si="3"/>
        <v>800</v>
      </c>
    </row>
    <row r="18" spans="3:13">
      <c r="C18" s="58"/>
      <c r="D18" s="6">
        <v>4000</v>
      </c>
      <c r="E18" s="6" t="s">
        <v>319</v>
      </c>
      <c r="F18" s="6">
        <v>1</v>
      </c>
      <c r="G18" s="6" t="s">
        <v>278</v>
      </c>
      <c r="H18" s="6">
        <v>5</v>
      </c>
      <c r="I18" s="6">
        <f>_xlfn.XLOOKUP(E18,道具表!$B:$B,道具表!$E:$E)</f>
        <v>25000</v>
      </c>
      <c r="J18" s="6">
        <f>_xlfn.XLOOKUP(G18,道具表!$B:$B,道具表!$E:$E)</f>
        <v>2625</v>
      </c>
      <c r="K18" s="6">
        <f t="shared" si="2"/>
        <v>38125</v>
      </c>
      <c r="L18" s="19"/>
      <c r="M18" s="19">
        <f>D18-(H17*10)-D17</f>
        <v>1350</v>
      </c>
    </row>
    <row r="19" spans="3:13">
      <c r="C19" s="56" t="s">
        <v>947</v>
      </c>
      <c r="D19" s="6" t="s">
        <v>378</v>
      </c>
      <c r="E19" s="6" t="s">
        <v>815</v>
      </c>
      <c r="F19" s="6" t="s">
        <v>942</v>
      </c>
      <c r="G19" s="6" t="s">
        <v>816</v>
      </c>
      <c r="H19" s="6" t="s">
        <v>943</v>
      </c>
      <c r="I19" s="6" t="s">
        <v>339</v>
      </c>
      <c r="J19" s="6" t="s">
        <v>340</v>
      </c>
      <c r="K19" s="6" t="s">
        <v>341</v>
      </c>
      <c r="L19" s="19" t="s">
        <v>948</v>
      </c>
      <c r="M19" s="19">
        <f>SUM(M20:M25)</f>
        <v>3250</v>
      </c>
    </row>
    <row r="20" spans="3:13">
      <c r="C20" s="57"/>
      <c r="D20" s="6">
        <v>150</v>
      </c>
      <c r="E20" s="6" t="s">
        <v>45</v>
      </c>
      <c r="F20" s="6">
        <v>5</v>
      </c>
      <c r="G20" s="6"/>
      <c r="H20" s="6"/>
      <c r="I20" s="6">
        <f>_xlfn.XLOOKUP(E20,道具表!$B:$B,道具表!$E:$E)</f>
        <v>100</v>
      </c>
      <c r="J20" s="6">
        <f>_xlfn.XLOOKUP(G20,道具表!$B:$B,道具表!$E:$E)</f>
        <v>0</v>
      </c>
      <c r="K20" s="6">
        <f t="shared" ref="K20:K25" si="4">I20*F20+J20*H20</f>
        <v>500</v>
      </c>
      <c r="L20" s="19"/>
      <c r="M20" s="19">
        <f>D20</f>
        <v>150</v>
      </c>
    </row>
    <row r="21" spans="3:13">
      <c r="C21" s="57"/>
      <c r="D21" s="6">
        <v>400</v>
      </c>
      <c r="E21" s="6" t="s">
        <v>45</v>
      </c>
      <c r="F21" s="6">
        <v>10</v>
      </c>
      <c r="G21" s="6"/>
      <c r="H21" s="6"/>
      <c r="I21" s="6">
        <f>_xlfn.XLOOKUP(E21,道具表!$B:$B,道具表!$E:$E)</f>
        <v>100</v>
      </c>
      <c r="J21" s="6">
        <f>_xlfn.XLOOKUP(G21,道具表!$B:$B,道具表!$E:$E)</f>
        <v>0</v>
      </c>
      <c r="K21" s="6">
        <f t="shared" si="4"/>
        <v>1000</v>
      </c>
      <c r="L21" s="19"/>
      <c r="M21" s="19">
        <f t="shared" ref="M21:M24" si="5">D21-(F20*10)-D20</f>
        <v>200</v>
      </c>
    </row>
    <row r="22" spans="3:13">
      <c r="C22" s="57"/>
      <c r="D22" s="6">
        <v>800</v>
      </c>
      <c r="E22" s="6" t="s">
        <v>45</v>
      </c>
      <c r="F22" s="6">
        <v>15</v>
      </c>
      <c r="G22" s="6"/>
      <c r="H22" s="6"/>
      <c r="I22" s="6">
        <f>_xlfn.XLOOKUP(E22,道具表!$B:$B,道具表!$E:$E)</f>
        <v>100</v>
      </c>
      <c r="J22" s="6">
        <f>_xlfn.XLOOKUP(G22,道具表!$B:$B,道具表!$E:$E)</f>
        <v>0</v>
      </c>
      <c r="K22" s="6">
        <f t="shared" si="4"/>
        <v>1500</v>
      </c>
      <c r="L22" s="19"/>
      <c r="M22" s="19">
        <f t="shared" si="5"/>
        <v>300</v>
      </c>
    </row>
    <row r="23" spans="3:13">
      <c r="C23" s="57"/>
      <c r="D23" s="6">
        <v>1400</v>
      </c>
      <c r="E23" s="6" t="s">
        <v>45</v>
      </c>
      <c r="F23" s="6">
        <v>30</v>
      </c>
      <c r="G23" s="6"/>
      <c r="H23" s="6"/>
      <c r="I23" s="6">
        <f>_xlfn.XLOOKUP(E23,道具表!$B:$B,道具表!$E:$E)</f>
        <v>100</v>
      </c>
      <c r="J23" s="6">
        <f>_xlfn.XLOOKUP(G23,道具表!$B:$B,道具表!$E:$E)</f>
        <v>0</v>
      </c>
      <c r="K23" s="6">
        <f t="shared" si="4"/>
        <v>3000</v>
      </c>
      <c r="L23" s="19"/>
      <c r="M23" s="19">
        <f t="shared" si="5"/>
        <v>450</v>
      </c>
    </row>
    <row r="24" spans="3:13">
      <c r="C24" s="57"/>
      <c r="D24" s="6">
        <v>2500</v>
      </c>
      <c r="E24" s="6" t="s">
        <v>320</v>
      </c>
      <c r="F24" s="6">
        <v>1</v>
      </c>
      <c r="G24" s="6" t="s">
        <v>45</v>
      </c>
      <c r="H24" s="6">
        <v>15</v>
      </c>
      <c r="I24" s="6">
        <f>_xlfn.XLOOKUP(E24,道具表!$B:$B,道具表!$E:$E)</f>
        <v>10000</v>
      </c>
      <c r="J24" s="6">
        <f>_xlfn.XLOOKUP(G24,道具表!$B:$B,道具表!$E:$E)</f>
        <v>100</v>
      </c>
      <c r="K24" s="6">
        <f t="shared" si="4"/>
        <v>11500</v>
      </c>
      <c r="L24" s="19"/>
      <c r="M24" s="19">
        <f t="shared" si="5"/>
        <v>800</v>
      </c>
    </row>
    <row r="25" spans="3:13">
      <c r="C25" s="57"/>
      <c r="D25" s="6">
        <v>4000</v>
      </c>
      <c r="E25" s="6" t="s">
        <v>319</v>
      </c>
      <c r="F25" s="6">
        <v>1</v>
      </c>
      <c r="G25" s="6" t="s">
        <v>278</v>
      </c>
      <c r="H25" s="6">
        <v>5</v>
      </c>
      <c r="I25" s="6">
        <f>_xlfn.XLOOKUP(E25,道具表!$B:$B,道具表!$E:$E)</f>
        <v>25000</v>
      </c>
      <c r="J25" s="6">
        <f>_xlfn.XLOOKUP(G25,道具表!$B:$B,道具表!$E:$E)</f>
        <v>2625</v>
      </c>
      <c r="K25" s="6">
        <f t="shared" si="4"/>
        <v>38125</v>
      </c>
      <c r="L25" s="19"/>
      <c r="M25" s="19">
        <f>D25-(H24*10)-D24</f>
        <v>1350</v>
      </c>
    </row>
    <row r="26" spans="3:13">
      <c r="C26" s="56" t="s">
        <v>949</v>
      </c>
      <c r="D26" s="6" t="s">
        <v>378</v>
      </c>
      <c r="E26" s="6" t="s">
        <v>815</v>
      </c>
      <c r="F26" s="6" t="s">
        <v>942</v>
      </c>
      <c r="G26" s="6" t="s">
        <v>816</v>
      </c>
      <c r="H26" s="6" t="s">
        <v>943</v>
      </c>
      <c r="I26" s="6" t="s">
        <v>339</v>
      </c>
      <c r="J26" s="6" t="s">
        <v>340</v>
      </c>
      <c r="K26" s="6" t="s">
        <v>341</v>
      </c>
      <c r="L26" s="19" t="s">
        <v>950</v>
      </c>
      <c r="M26" s="19">
        <f>SUM(M27:M32)</f>
        <v>3250</v>
      </c>
    </row>
    <row r="27" spans="3:13">
      <c r="C27" s="57"/>
      <c r="D27" s="6">
        <v>150</v>
      </c>
      <c r="E27" s="6" t="s">
        <v>45</v>
      </c>
      <c r="F27" s="6">
        <v>5</v>
      </c>
      <c r="G27" s="6"/>
      <c r="H27" s="6"/>
      <c r="I27" s="6">
        <f>_xlfn.XLOOKUP(E27,道具表!$B:$B,道具表!$E:$E)</f>
        <v>100</v>
      </c>
      <c r="J27" s="6">
        <f>_xlfn.XLOOKUP(G27,道具表!$B:$B,道具表!$E:$E)</f>
        <v>0</v>
      </c>
      <c r="K27" s="6">
        <f t="shared" ref="K27:K32" si="6">I27*F27+J27*H27</f>
        <v>500</v>
      </c>
      <c r="L27" s="19"/>
      <c r="M27" s="19">
        <f>D27</f>
        <v>150</v>
      </c>
    </row>
    <row r="28" spans="3:13">
      <c r="C28" s="57"/>
      <c r="D28" s="6">
        <v>400</v>
      </c>
      <c r="E28" s="6" t="s">
        <v>45</v>
      </c>
      <c r="F28" s="6">
        <v>10</v>
      </c>
      <c r="G28" s="6"/>
      <c r="H28" s="6"/>
      <c r="I28" s="6">
        <f>_xlfn.XLOOKUP(E28,道具表!$B:$B,道具表!$E:$E)</f>
        <v>100</v>
      </c>
      <c r="J28" s="6">
        <f>_xlfn.XLOOKUP(G28,道具表!$B:$B,道具表!$E:$E)</f>
        <v>0</v>
      </c>
      <c r="K28" s="6">
        <f t="shared" si="6"/>
        <v>1000</v>
      </c>
      <c r="L28" s="19"/>
      <c r="M28" s="19">
        <f t="shared" ref="M28:M31" si="7">D28-(F27*10)-D27</f>
        <v>200</v>
      </c>
    </row>
    <row r="29" spans="3:13">
      <c r="C29" s="57"/>
      <c r="D29" s="6">
        <v>800</v>
      </c>
      <c r="E29" s="6" t="s">
        <v>45</v>
      </c>
      <c r="F29" s="6">
        <v>15</v>
      </c>
      <c r="G29" s="6"/>
      <c r="H29" s="6"/>
      <c r="I29" s="6">
        <f>_xlfn.XLOOKUP(E29,道具表!$B:$B,道具表!$E:$E)</f>
        <v>100</v>
      </c>
      <c r="J29" s="6">
        <f>_xlfn.XLOOKUP(G29,道具表!$B:$B,道具表!$E:$E)</f>
        <v>0</v>
      </c>
      <c r="K29" s="6">
        <f t="shared" si="6"/>
        <v>1500</v>
      </c>
      <c r="L29" s="19"/>
      <c r="M29" s="19">
        <f t="shared" si="7"/>
        <v>300</v>
      </c>
    </row>
    <row r="30" spans="3:13">
      <c r="C30" s="57"/>
      <c r="D30" s="6">
        <v>1400</v>
      </c>
      <c r="E30" s="6" t="s">
        <v>45</v>
      </c>
      <c r="F30" s="6">
        <v>30</v>
      </c>
      <c r="G30" s="6"/>
      <c r="H30" s="6"/>
      <c r="I30" s="6">
        <f>_xlfn.XLOOKUP(E30,道具表!$B:$B,道具表!$E:$E)</f>
        <v>100</v>
      </c>
      <c r="J30" s="6">
        <f>_xlfn.XLOOKUP(G30,道具表!$B:$B,道具表!$E:$E)</f>
        <v>0</v>
      </c>
      <c r="K30" s="6">
        <f t="shared" si="6"/>
        <v>3000</v>
      </c>
      <c r="L30" s="19"/>
      <c r="M30" s="19">
        <f t="shared" si="7"/>
        <v>450</v>
      </c>
    </row>
    <row r="31" spans="3:13">
      <c r="C31" s="57"/>
      <c r="D31" s="6">
        <v>2500</v>
      </c>
      <c r="E31" s="6" t="s">
        <v>320</v>
      </c>
      <c r="F31" s="6">
        <v>1</v>
      </c>
      <c r="G31" s="6" t="s">
        <v>45</v>
      </c>
      <c r="H31" s="6">
        <v>15</v>
      </c>
      <c r="I31" s="6">
        <f>_xlfn.XLOOKUP(E31,道具表!$B:$B,道具表!$E:$E)</f>
        <v>10000</v>
      </c>
      <c r="J31" s="6">
        <f>_xlfn.XLOOKUP(G31,道具表!$B:$B,道具表!$E:$E)</f>
        <v>100</v>
      </c>
      <c r="K31" s="6">
        <f t="shared" si="6"/>
        <v>11500</v>
      </c>
      <c r="L31" s="19"/>
      <c r="M31" s="19">
        <f t="shared" si="7"/>
        <v>800</v>
      </c>
    </row>
    <row r="32" spans="3:13">
      <c r="C32" s="58"/>
      <c r="D32" s="6">
        <v>4000</v>
      </c>
      <c r="E32" s="6" t="s">
        <v>319</v>
      </c>
      <c r="F32" s="6">
        <v>1</v>
      </c>
      <c r="G32" s="6" t="s">
        <v>278</v>
      </c>
      <c r="H32" s="6">
        <v>5</v>
      </c>
      <c r="I32" s="6">
        <f>_xlfn.XLOOKUP(E32,道具表!$B:$B,道具表!$E:$E)</f>
        <v>25000</v>
      </c>
      <c r="J32" s="6">
        <f>_xlfn.XLOOKUP(G32,道具表!$B:$B,道具表!$E:$E)</f>
        <v>2625</v>
      </c>
      <c r="K32" s="6">
        <f t="shared" si="6"/>
        <v>38125</v>
      </c>
      <c r="L32" s="19"/>
      <c r="M32" s="19">
        <f>D32-(H31*10)-D31</f>
        <v>1350</v>
      </c>
    </row>
    <row r="35" spans="3:14">
      <c r="C35" s="6" t="s">
        <v>951</v>
      </c>
      <c r="D35" s="6" t="s">
        <v>338</v>
      </c>
      <c r="E35" s="6" t="s">
        <v>952</v>
      </c>
      <c r="F35" s="6" t="s">
        <v>815</v>
      </c>
      <c r="G35" s="6" t="s">
        <v>942</v>
      </c>
      <c r="H35" s="6" t="s">
        <v>816</v>
      </c>
      <c r="I35" s="6" t="s">
        <v>943</v>
      </c>
      <c r="J35" s="6" t="s">
        <v>339</v>
      </c>
      <c r="K35" s="6" t="s">
        <v>340</v>
      </c>
      <c r="L35" s="6" t="s">
        <v>341</v>
      </c>
      <c r="M35" s="6" t="s">
        <v>895</v>
      </c>
      <c r="N35" s="6" t="s">
        <v>342</v>
      </c>
    </row>
    <row r="36" spans="3:14">
      <c r="C36" s="6"/>
      <c r="D36" s="6" t="s">
        <v>953</v>
      </c>
      <c r="E36" s="6">
        <v>1</v>
      </c>
      <c r="F36" s="29" t="s">
        <v>16</v>
      </c>
      <c r="G36" s="6">
        <v>1</v>
      </c>
      <c r="H36" s="6"/>
      <c r="I36" s="6"/>
      <c r="J36" s="6">
        <f>_xlfn.XLOOKUP(F36,道具表!$B:$B,道具表!$E:$E)</f>
        <v>0</v>
      </c>
      <c r="K36" s="6"/>
      <c r="L36" s="6">
        <f t="shared" ref="L36:L42" si="8">K36*I36+J36*G36</f>
        <v>0</v>
      </c>
      <c r="M36" s="11"/>
      <c r="N36" s="6"/>
    </row>
    <row r="37" spans="3:14">
      <c r="C37" s="6"/>
      <c r="D37" s="6">
        <v>30</v>
      </c>
      <c r="E37" s="6">
        <v>1</v>
      </c>
      <c r="F37" s="6" t="s">
        <v>45</v>
      </c>
      <c r="G37" s="6">
        <v>12</v>
      </c>
      <c r="H37" s="6"/>
      <c r="I37" s="6"/>
      <c r="J37" s="6">
        <f>_xlfn.XLOOKUP(F37,道具表!$B:$B,道具表!$E:$E)</f>
        <v>100</v>
      </c>
      <c r="K37" s="6">
        <f>_xlfn.XLOOKUP(H37,道具表!$B:$B,道具表!$E:$E)</f>
        <v>0</v>
      </c>
      <c r="L37" s="6">
        <f t="shared" si="8"/>
        <v>1200</v>
      </c>
      <c r="M37" s="11">
        <f t="shared" ref="M37:M42" si="9">L37/(D37*10)</f>
        <v>4</v>
      </c>
      <c r="N37" s="59">
        <f t="shared" ref="N37:N42" si="10">10/M37</f>
        <v>2.5</v>
      </c>
    </row>
    <row r="38" spans="3:14">
      <c r="C38" s="6"/>
      <c r="D38" s="6">
        <v>68</v>
      </c>
      <c r="E38" s="6">
        <v>1</v>
      </c>
      <c r="F38" s="6" t="s">
        <v>45</v>
      </c>
      <c r="G38" s="6">
        <v>25</v>
      </c>
      <c r="H38" s="6"/>
      <c r="I38" s="6"/>
      <c r="J38" s="6">
        <f>_xlfn.XLOOKUP(F38,道具表!$B:$B,道具表!$E:$E)</f>
        <v>100</v>
      </c>
      <c r="K38" s="6">
        <f>_xlfn.XLOOKUP(H38,道具表!$B:$B,道具表!$E:$E)</f>
        <v>0</v>
      </c>
      <c r="L38" s="6">
        <f t="shared" si="8"/>
        <v>2500</v>
      </c>
      <c r="M38" s="11">
        <f t="shared" si="9"/>
        <v>3.67647058823529</v>
      </c>
      <c r="N38" s="59">
        <f t="shared" si="10"/>
        <v>2.72</v>
      </c>
    </row>
    <row r="39" spans="3:14">
      <c r="C39" s="6"/>
      <c r="D39" s="6">
        <v>128</v>
      </c>
      <c r="E39" s="6">
        <v>2</v>
      </c>
      <c r="F39" s="6" t="s">
        <v>45</v>
      </c>
      <c r="G39" s="6">
        <v>50</v>
      </c>
      <c r="H39" s="6"/>
      <c r="I39" s="6"/>
      <c r="J39" s="6">
        <f>_xlfn.XLOOKUP(F39,道具表!$B:$B,道具表!$E:$E)</f>
        <v>100</v>
      </c>
      <c r="K39" s="6">
        <f>_xlfn.XLOOKUP(H39,道具表!$B:$B,道具表!$E:$E)</f>
        <v>0</v>
      </c>
      <c r="L39" s="6">
        <f t="shared" si="8"/>
        <v>5000</v>
      </c>
      <c r="M39" s="11">
        <f t="shared" si="9"/>
        <v>3.90625</v>
      </c>
      <c r="N39" s="59">
        <f t="shared" si="10"/>
        <v>2.56</v>
      </c>
    </row>
    <row r="40" spans="3:14">
      <c r="C40" s="6"/>
      <c r="D40" s="6">
        <v>198</v>
      </c>
      <c r="E40" s="6">
        <v>2</v>
      </c>
      <c r="F40" s="6" t="s">
        <v>45</v>
      </c>
      <c r="G40" s="6">
        <v>80</v>
      </c>
      <c r="H40" s="6"/>
      <c r="I40" s="6"/>
      <c r="J40" s="6">
        <f>_xlfn.XLOOKUP(F40,道具表!$B:$B,道具表!$E:$E)</f>
        <v>100</v>
      </c>
      <c r="K40" s="6">
        <f>_xlfn.XLOOKUP(H40,道具表!$B:$B,道具表!$E:$E)</f>
        <v>0</v>
      </c>
      <c r="L40" s="6">
        <f t="shared" si="8"/>
        <v>8000</v>
      </c>
      <c r="M40" s="11">
        <f t="shared" si="9"/>
        <v>4.04040404040404</v>
      </c>
      <c r="N40" s="59">
        <f t="shared" si="10"/>
        <v>2.475</v>
      </c>
    </row>
    <row r="41" spans="3:14">
      <c r="C41" s="6"/>
      <c r="D41" s="6">
        <v>328</v>
      </c>
      <c r="E41" s="6">
        <v>5</v>
      </c>
      <c r="F41" s="6" t="s">
        <v>45</v>
      </c>
      <c r="G41" s="6">
        <v>140</v>
      </c>
      <c r="H41" s="6"/>
      <c r="I41" s="6"/>
      <c r="J41" s="6">
        <f>_xlfn.XLOOKUP(F41,道具表!$B:$B,道具表!$E:$E)</f>
        <v>100</v>
      </c>
      <c r="K41" s="6">
        <f>_xlfn.XLOOKUP(H41,道具表!$B:$B,道具表!$E:$E)</f>
        <v>0</v>
      </c>
      <c r="L41" s="6">
        <f t="shared" si="8"/>
        <v>14000</v>
      </c>
      <c r="M41" s="11">
        <f t="shared" si="9"/>
        <v>4.26829268292683</v>
      </c>
      <c r="N41" s="59">
        <f t="shared" si="10"/>
        <v>2.34285714285714</v>
      </c>
    </row>
    <row r="42" spans="3:14">
      <c r="C42" s="6"/>
      <c r="D42" s="6">
        <v>648</v>
      </c>
      <c r="E42" s="6">
        <v>5</v>
      </c>
      <c r="F42" s="6" t="s">
        <v>45</v>
      </c>
      <c r="G42" s="6">
        <v>280</v>
      </c>
      <c r="H42" s="6"/>
      <c r="I42" s="6"/>
      <c r="J42" s="6">
        <f>_xlfn.XLOOKUP(F42,道具表!$B:$B,道具表!$E:$E)</f>
        <v>100</v>
      </c>
      <c r="K42" s="6">
        <f>_xlfn.XLOOKUP(H42,道具表!$B:$B,道具表!$E:$E)</f>
        <v>0</v>
      </c>
      <c r="L42" s="6">
        <f t="shared" si="8"/>
        <v>28000</v>
      </c>
      <c r="M42" s="11">
        <f t="shared" si="9"/>
        <v>4.32098765432099</v>
      </c>
      <c r="N42" s="59">
        <f t="shared" si="10"/>
        <v>2.31428571428571</v>
      </c>
    </row>
    <row r="45" spans="11:11">
      <c r="K45" s="55" t="s">
        <v>954</v>
      </c>
    </row>
    <row r="47" spans="13:13">
      <c r="M47" s="55">
        <f>12*10*5</f>
        <v>600</v>
      </c>
    </row>
    <row r="48" spans="13:13">
      <c r="M48" s="55">
        <v>300</v>
      </c>
    </row>
    <row r="49" spans="3:11">
      <c r="C49" s="6" t="s">
        <v>941</v>
      </c>
      <c r="D49" s="6" t="str">
        <f>D6</f>
        <v>积分</v>
      </c>
      <c r="E49" s="6" t="s">
        <v>815</v>
      </c>
      <c r="F49" s="6" t="str">
        <f>IF(F6="","",F6&amp;",")</f>
        <v>数量1,</v>
      </c>
      <c r="G49" s="6" t="s">
        <v>816</v>
      </c>
      <c r="H49" s="6" t="str">
        <f t="shared" ref="H49:H75" si="11">IF(H6="","",H6&amp;",")</f>
        <v>数量2,</v>
      </c>
      <c r="I49" s="6" t="s">
        <v>327</v>
      </c>
      <c r="J49" s="6"/>
      <c r="K49" s="6"/>
    </row>
    <row r="50" spans="3:13">
      <c r="C50" s="6"/>
      <c r="D50" s="6">
        <f t="shared" ref="D50:D75" si="12">D7</f>
        <v>150</v>
      </c>
      <c r="E50" s="6" t="str">
        <f>IF(E7="","",(_xlfn.XLOOKUP(E7,道具表!$B:$B,道具表!$C:$C)&amp;"|"&amp;_xlfn.XLOOKUP(E7,道具表!$B:$B,道具表!$A:$A)&amp;"|"))</f>
        <v>1|10005|</v>
      </c>
      <c r="F50" s="6" t="str">
        <f t="shared" ref="F50:F75" si="13">IF(F7="","",F7&amp;",")</f>
        <v>5,</v>
      </c>
      <c r="G50" s="6" t="str">
        <f>IF(G7="","",(_xlfn.XLOOKUP(G7,道具表!$B:$B,道具表!$C:$C)&amp;"|"&amp;_xlfn.XLOOKUP(G7,道具表!$B:$B,道具表!$A:$A)&amp;"|"))</f>
        <v/>
      </c>
      <c r="H50" s="6" t="str">
        <f t="shared" si="11"/>
        <v/>
      </c>
      <c r="I50" s="54" t="str">
        <f>LEFT(E50&amp;F50&amp;G50&amp;H50,LEN(E50&amp;F50&amp;G50&amp;H50)-1)</f>
        <v>1|10005|5</v>
      </c>
      <c r="J50" s="6"/>
      <c r="K50" s="6"/>
      <c r="M50" s="55">
        <f>200/20</f>
        <v>10</v>
      </c>
    </row>
    <row r="51" spans="3:13">
      <c r="C51" s="6"/>
      <c r="D51" s="6">
        <f t="shared" si="12"/>
        <v>400</v>
      </c>
      <c r="E51" s="6" t="str">
        <f>IF(E8="","",(_xlfn.XLOOKUP(E8,道具表!$B:$B,道具表!$C:$C)&amp;"|"&amp;_xlfn.XLOOKUP(E8,道具表!$B:$B,道具表!$A:$A)&amp;"|"))</f>
        <v>1|10005|</v>
      </c>
      <c r="F51" s="6" t="str">
        <f t="shared" si="13"/>
        <v>10,</v>
      </c>
      <c r="G51" s="6" t="str">
        <f>IF(G8="","",(_xlfn.XLOOKUP(G8,道具表!$B:$B,道具表!$C:$C)&amp;"|"&amp;_xlfn.XLOOKUP(G8,道具表!$B:$B,道具表!$A:$A)&amp;"|"))</f>
        <v/>
      </c>
      <c r="H51" s="6" t="str">
        <f t="shared" si="11"/>
        <v/>
      </c>
      <c r="I51" s="54" t="str">
        <f t="shared" ref="I51:I61" si="14">LEFT(E51&amp;F51&amp;G51&amp;H51,LEN(E51&amp;F51&amp;G51&amp;H51)-1)</f>
        <v>1|10005|10</v>
      </c>
      <c r="J51" s="6"/>
      <c r="K51" s="6"/>
      <c r="M51" s="55">
        <f>300/20</f>
        <v>15</v>
      </c>
    </row>
    <row r="52" spans="3:11">
      <c r="C52" s="6"/>
      <c r="D52" s="6">
        <f t="shared" si="12"/>
        <v>800</v>
      </c>
      <c r="E52" s="6" t="str">
        <f>IF(E9="","",(_xlfn.XLOOKUP(E9,道具表!$B:$B,道具表!$C:$C)&amp;"|"&amp;_xlfn.XLOOKUP(E9,道具表!$B:$B,道具表!$A:$A)&amp;"|"))</f>
        <v>1|10005|</v>
      </c>
      <c r="F52" s="6" t="str">
        <f t="shared" si="13"/>
        <v>15,</v>
      </c>
      <c r="G52" s="6" t="str">
        <f>IF(G9="","",(_xlfn.XLOOKUP(G9,道具表!$B:$B,道具表!$C:$C)&amp;"|"&amp;_xlfn.XLOOKUP(G9,道具表!$B:$B,道具表!$A:$A)&amp;"|"))</f>
        <v/>
      </c>
      <c r="H52" s="6" t="str">
        <f t="shared" si="11"/>
        <v/>
      </c>
      <c r="I52" s="54" t="str">
        <f t="shared" si="14"/>
        <v>1|10005|15</v>
      </c>
      <c r="J52" s="6"/>
      <c r="K52" s="6"/>
    </row>
    <row r="53" spans="3:11">
      <c r="C53" s="6"/>
      <c r="D53" s="6">
        <f t="shared" si="12"/>
        <v>1400</v>
      </c>
      <c r="E53" s="6" t="str">
        <f>IF(E10="","",(_xlfn.XLOOKUP(E10,道具表!$B:$B,道具表!$C:$C)&amp;"|"&amp;_xlfn.XLOOKUP(E10,道具表!$B:$B,道具表!$A:$A)&amp;"|"))</f>
        <v>1|10005|</v>
      </c>
      <c r="F53" s="6" t="str">
        <f t="shared" si="13"/>
        <v>30,</v>
      </c>
      <c r="G53" s="6" t="str">
        <f>IF(G10="","",(_xlfn.XLOOKUP(G10,道具表!$B:$B,道具表!$C:$C)&amp;"|"&amp;_xlfn.XLOOKUP(G10,道具表!$B:$B,道具表!$A:$A)&amp;"|"))</f>
        <v/>
      </c>
      <c r="H53" s="6" t="str">
        <f t="shared" si="11"/>
        <v/>
      </c>
      <c r="I53" s="54" t="str">
        <f t="shared" si="14"/>
        <v>1|10005|30</v>
      </c>
      <c r="J53" s="6"/>
      <c r="K53" s="6"/>
    </row>
    <row r="54" spans="3:11">
      <c r="C54" s="6"/>
      <c r="D54" s="6">
        <f t="shared" si="12"/>
        <v>2500</v>
      </c>
      <c r="E54" s="6" t="str">
        <f>IF(E11="","",(_xlfn.XLOOKUP(E11,道具表!$B:$B,道具表!$C:$C)&amp;"|"&amp;_xlfn.XLOOKUP(E11,道具表!$B:$B,道具表!$A:$A)&amp;"|"))</f>
        <v>16|402|</v>
      </c>
      <c r="F54" s="6" t="str">
        <f t="shared" si="13"/>
        <v>1,</v>
      </c>
      <c r="G54" s="6" t="str">
        <f>IF(G11="","",(_xlfn.XLOOKUP(G11,道具表!$B:$B,道具表!$C:$C)&amp;"|"&amp;_xlfn.XLOOKUP(G11,道具表!$B:$B,道具表!$A:$A)&amp;"|"))</f>
        <v>1|10005|</v>
      </c>
      <c r="H54" s="6" t="str">
        <f t="shared" si="11"/>
        <v>15,</v>
      </c>
      <c r="I54" s="54" t="str">
        <f t="shared" si="14"/>
        <v>16|402|1,1|10005|15</v>
      </c>
      <c r="J54" s="6"/>
      <c r="K54" s="6"/>
    </row>
    <row r="55" spans="3:11">
      <c r="C55" s="62" t="s">
        <v>945</v>
      </c>
      <c r="D55" s="6" t="str">
        <f t="shared" si="12"/>
        <v>积分</v>
      </c>
      <c r="E55" s="6" t="s">
        <v>815</v>
      </c>
      <c r="F55" s="6" t="str">
        <f t="shared" si="13"/>
        <v>数量1,</v>
      </c>
      <c r="G55" s="6" t="s">
        <v>816</v>
      </c>
      <c r="H55" s="6" t="str">
        <f t="shared" si="11"/>
        <v>数量2,</v>
      </c>
      <c r="I55" s="6" t="s">
        <v>327</v>
      </c>
      <c r="J55" s="6"/>
      <c r="K55" s="6"/>
    </row>
    <row r="56" spans="3:11">
      <c r="C56" s="63"/>
      <c r="D56" s="6">
        <f t="shared" si="12"/>
        <v>150</v>
      </c>
      <c r="E56" s="6" t="str">
        <f>IF(E13="","",(_xlfn.XLOOKUP(E13,道具表!$B:$B,道具表!$C:$C)&amp;"|"&amp;_xlfn.XLOOKUP(E13,道具表!$B:$B,道具表!$A:$A)&amp;"|"))</f>
        <v>1|10005|</v>
      </c>
      <c r="F56" s="6" t="str">
        <f t="shared" si="13"/>
        <v>5,</v>
      </c>
      <c r="G56" s="6" t="str">
        <f>IF(G13="","",(_xlfn.XLOOKUP(G13,道具表!$B:$B,道具表!$C:$C)&amp;"|"&amp;_xlfn.XLOOKUP(G13,道具表!$B:$B,道具表!$A:$A)&amp;"|"))</f>
        <v/>
      </c>
      <c r="H56" s="6" t="str">
        <f t="shared" si="11"/>
        <v/>
      </c>
      <c r="I56" s="54" t="str">
        <f t="shared" si="14"/>
        <v>1|10005|5</v>
      </c>
      <c r="J56" s="6"/>
      <c r="K56" s="6"/>
    </row>
    <row r="57" spans="3:11">
      <c r="C57" s="63"/>
      <c r="D57" s="6">
        <f t="shared" si="12"/>
        <v>400</v>
      </c>
      <c r="E57" s="6" t="str">
        <f>IF(E14="","",(_xlfn.XLOOKUP(E14,道具表!$B:$B,道具表!$C:$C)&amp;"|"&amp;_xlfn.XLOOKUP(E14,道具表!$B:$B,道具表!$A:$A)&amp;"|"))</f>
        <v>1|10005|</v>
      </c>
      <c r="F57" s="6" t="str">
        <f t="shared" si="13"/>
        <v>10,</v>
      </c>
      <c r="G57" s="6" t="str">
        <f>IF(G14="","",(_xlfn.XLOOKUP(G14,道具表!$B:$B,道具表!$C:$C)&amp;"|"&amp;_xlfn.XLOOKUP(G14,道具表!$B:$B,道具表!$A:$A)&amp;"|"))</f>
        <v/>
      </c>
      <c r="H57" s="6" t="str">
        <f t="shared" si="11"/>
        <v/>
      </c>
      <c r="I57" s="54" t="str">
        <f t="shared" si="14"/>
        <v>1|10005|10</v>
      </c>
      <c r="J57" s="6"/>
      <c r="K57" s="6"/>
    </row>
    <row r="58" spans="3:11">
      <c r="C58" s="63"/>
      <c r="D58" s="6">
        <f t="shared" si="12"/>
        <v>800</v>
      </c>
      <c r="E58" s="6" t="str">
        <f>IF(E15="","",(_xlfn.XLOOKUP(E15,道具表!$B:$B,道具表!$C:$C)&amp;"|"&amp;_xlfn.XLOOKUP(E15,道具表!$B:$B,道具表!$A:$A)&amp;"|"))</f>
        <v>1|10005|</v>
      </c>
      <c r="F58" s="6" t="str">
        <f t="shared" si="13"/>
        <v>15,</v>
      </c>
      <c r="G58" s="6" t="str">
        <f>IF(G15="","",(_xlfn.XLOOKUP(G15,道具表!$B:$B,道具表!$C:$C)&amp;"|"&amp;_xlfn.XLOOKUP(G15,道具表!$B:$B,道具表!$A:$A)&amp;"|"))</f>
        <v/>
      </c>
      <c r="H58" s="6" t="str">
        <f t="shared" si="11"/>
        <v/>
      </c>
      <c r="I58" s="54" t="str">
        <f t="shared" si="14"/>
        <v>1|10005|15</v>
      </c>
      <c r="J58" s="6"/>
      <c r="K58" s="6"/>
    </row>
    <row r="59" spans="3:11">
      <c r="C59" s="63"/>
      <c r="D59" s="6">
        <f t="shared" si="12"/>
        <v>1400</v>
      </c>
      <c r="E59" s="6" t="str">
        <f>IF(E16="","",(_xlfn.XLOOKUP(E16,道具表!$B:$B,道具表!$C:$C)&amp;"|"&amp;_xlfn.XLOOKUP(E16,道具表!$B:$B,道具表!$A:$A)&amp;"|"))</f>
        <v>1|10005|</v>
      </c>
      <c r="F59" s="6" t="str">
        <f t="shared" si="13"/>
        <v>30,</v>
      </c>
      <c r="G59" s="6" t="str">
        <f>IF(G16="","",(_xlfn.XLOOKUP(G16,道具表!$B:$B,道具表!$C:$C)&amp;"|"&amp;_xlfn.XLOOKUP(G16,道具表!$B:$B,道具表!$A:$A)&amp;"|"))</f>
        <v/>
      </c>
      <c r="H59" s="6" t="str">
        <f t="shared" si="11"/>
        <v/>
      </c>
      <c r="I59" s="54" t="str">
        <f t="shared" si="14"/>
        <v>1|10005|30</v>
      </c>
      <c r="J59" s="6"/>
      <c r="K59" s="6"/>
    </row>
    <row r="60" spans="3:11">
      <c r="C60" s="63"/>
      <c r="D60" s="6">
        <f t="shared" si="12"/>
        <v>2500</v>
      </c>
      <c r="E60" s="6" t="str">
        <f>IF(E17="","",(_xlfn.XLOOKUP(E17,道具表!$B:$B,道具表!$C:$C)&amp;"|"&amp;_xlfn.XLOOKUP(E17,道具表!$B:$B,道具表!$A:$A)&amp;"|"))</f>
        <v>16|402|</v>
      </c>
      <c r="F60" s="6" t="str">
        <f t="shared" si="13"/>
        <v>1,</v>
      </c>
      <c r="G60" s="6" t="str">
        <f>IF(G17="","",(_xlfn.XLOOKUP(G17,道具表!$B:$B,道具表!$C:$C)&amp;"|"&amp;_xlfn.XLOOKUP(G17,道具表!$B:$B,道具表!$A:$A)&amp;"|"))</f>
        <v>1|10005|</v>
      </c>
      <c r="H60" s="6" t="str">
        <f t="shared" si="11"/>
        <v>15,</v>
      </c>
      <c r="I60" s="54" t="str">
        <f t="shared" si="14"/>
        <v>16|402|1,1|10005|15</v>
      </c>
      <c r="J60" s="6"/>
      <c r="K60" s="6"/>
    </row>
    <row r="61" spans="3:11">
      <c r="C61" s="64"/>
      <c r="D61" s="6">
        <f t="shared" si="12"/>
        <v>4000</v>
      </c>
      <c r="E61" s="6" t="str">
        <f>IF(E18="","",(_xlfn.XLOOKUP(E18,道具表!$B:$B,道具表!$C:$C)&amp;"|"&amp;_xlfn.XLOOKUP(E18,道具表!$B:$B,道具表!$A:$A)&amp;"|"))</f>
        <v>16|401|</v>
      </c>
      <c r="F61" s="6" t="str">
        <f t="shared" si="13"/>
        <v>1,</v>
      </c>
      <c r="G61" s="6" t="str">
        <f>IF(G18="","",(_xlfn.XLOOKUP(G18,道具表!$B:$B,道具表!$C:$C)&amp;"|"&amp;_xlfn.XLOOKUP(G18,道具表!$B:$B,道具表!$A:$A)&amp;"|"))</f>
        <v>11|5200|</v>
      </c>
      <c r="H61" s="6" t="str">
        <f t="shared" si="11"/>
        <v>5,</v>
      </c>
      <c r="I61" s="54" t="str">
        <f t="shared" si="14"/>
        <v>16|401|1,11|5200|5</v>
      </c>
      <c r="J61" s="6"/>
      <c r="K61" s="6"/>
    </row>
    <row r="62" spans="3:11">
      <c r="C62" s="56" t="s">
        <v>947</v>
      </c>
      <c r="D62" s="6" t="str">
        <f t="shared" si="12"/>
        <v>积分</v>
      </c>
      <c r="E62" s="6" t="s">
        <v>815</v>
      </c>
      <c r="F62" s="6" t="str">
        <f t="shared" si="13"/>
        <v>数量1,</v>
      </c>
      <c r="G62" s="6" t="s">
        <v>816</v>
      </c>
      <c r="H62" s="6" t="str">
        <f t="shared" si="11"/>
        <v>数量2,</v>
      </c>
      <c r="I62" s="6" t="s">
        <v>327</v>
      </c>
      <c r="J62" s="6"/>
      <c r="K62" s="6"/>
    </row>
    <row r="63" spans="3:11">
      <c r="C63" s="57"/>
      <c r="D63" s="6">
        <f t="shared" si="12"/>
        <v>150</v>
      </c>
      <c r="E63" s="6" t="str">
        <f>IF(E20="","",(_xlfn.XLOOKUP(E20,道具表!$B:$B,道具表!$C:$C)&amp;"|"&amp;_xlfn.XLOOKUP(E20,道具表!$B:$B,道具表!$A:$A)&amp;"|"))</f>
        <v>1|10005|</v>
      </c>
      <c r="F63" s="6" t="str">
        <f t="shared" si="13"/>
        <v>5,</v>
      </c>
      <c r="G63" s="6" t="str">
        <f>IF(G20="","",(_xlfn.XLOOKUP(G20,道具表!$B:$B,道具表!$C:$C)&amp;"|"&amp;_xlfn.XLOOKUP(G20,道具表!$B:$B,道具表!$A:$A)&amp;"|"))</f>
        <v/>
      </c>
      <c r="H63" s="6" t="str">
        <f t="shared" si="11"/>
        <v/>
      </c>
      <c r="I63" s="54" t="str">
        <f t="shared" ref="I63:I68" si="15">LEFT(E63&amp;F63&amp;G63&amp;H63,LEN(E63&amp;F63&amp;G63&amp;H63)-1)</f>
        <v>1|10005|5</v>
      </c>
      <c r="J63" s="6"/>
      <c r="K63" s="6"/>
    </row>
    <row r="64" spans="3:11">
      <c r="C64" s="57"/>
      <c r="D64" s="6">
        <f t="shared" si="12"/>
        <v>400</v>
      </c>
      <c r="E64" s="6" t="str">
        <f>IF(E21="","",(_xlfn.XLOOKUP(E21,道具表!$B:$B,道具表!$C:$C)&amp;"|"&amp;_xlfn.XLOOKUP(E21,道具表!$B:$B,道具表!$A:$A)&amp;"|"))</f>
        <v>1|10005|</v>
      </c>
      <c r="F64" s="6" t="str">
        <f t="shared" si="13"/>
        <v>10,</v>
      </c>
      <c r="G64" s="6" t="str">
        <f>IF(G21="","",(_xlfn.XLOOKUP(G21,道具表!$B:$B,道具表!$C:$C)&amp;"|"&amp;_xlfn.XLOOKUP(G21,道具表!$B:$B,道具表!$A:$A)&amp;"|"))</f>
        <v/>
      </c>
      <c r="H64" s="6" t="str">
        <f t="shared" si="11"/>
        <v/>
      </c>
      <c r="I64" s="54" t="str">
        <f t="shared" si="15"/>
        <v>1|10005|10</v>
      </c>
      <c r="J64" s="6"/>
      <c r="K64" s="6"/>
    </row>
    <row r="65" spans="3:11">
      <c r="C65" s="57"/>
      <c r="D65" s="6">
        <f t="shared" si="12"/>
        <v>800</v>
      </c>
      <c r="E65" s="6" t="str">
        <f>IF(E22="","",(_xlfn.XLOOKUP(E22,道具表!$B:$B,道具表!$C:$C)&amp;"|"&amp;_xlfn.XLOOKUP(E22,道具表!$B:$B,道具表!$A:$A)&amp;"|"))</f>
        <v>1|10005|</v>
      </c>
      <c r="F65" s="6" t="str">
        <f t="shared" si="13"/>
        <v>15,</v>
      </c>
      <c r="G65" s="6" t="str">
        <f>IF(G22="","",(_xlfn.XLOOKUP(G22,道具表!$B:$B,道具表!$C:$C)&amp;"|"&amp;_xlfn.XLOOKUP(G22,道具表!$B:$B,道具表!$A:$A)&amp;"|"))</f>
        <v/>
      </c>
      <c r="H65" s="6" t="str">
        <f t="shared" si="11"/>
        <v/>
      </c>
      <c r="I65" s="54" t="str">
        <f t="shared" si="15"/>
        <v>1|10005|15</v>
      </c>
      <c r="J65" s="6"/>
      <c r="K65" s="6"/>
    </row>
    <row r="66" spans="3:11">
      <c r="C66" s="57"/>
      <c r="D66" s="6">
        <f t="shared" si="12"/>
        <v>1400</v>
      </c>
      <c r="E66" s="6" t="str">
        <f>IF(E23="","",(_xlfn.XLOOKUP(E23,道具表!$B:$B,道具表!$C:$C)&amp;"|"&amp;_xlfn.XLOOKUP(E23,道具表!$B:$B,道具表!$A:$A)&amp;"|"))</f>
        <v>1|10005|</v>
      </c>
      <c r="F66" s="6" t="str">
        <f t="shared" si="13"/>
        <v>30,</v>
      </c>
      <c r="G66" s="6" t="str">
        <f>IF(G23="","",(_xlfn.XLOOKUP(G23,道具表!$B:$B,道具表!$C:$C)&amp;"|"&amp;_xlfn.XLOOKUP(G23,道具表!$B:$B,道具表!$A:$A)&amp;"|"))</f>
        <v/>
      </c>
      <c r="H66" s="6" t="str">
        <f t="shared" si="11"/>
        <v/>
      </c>
      <c r="I66" s="54" t="str">
        <f t="shared" si="15"/>
        <v>1|10005|30</v>
      </c>
      <c r="J66" s="6"/>
      <c r="K66" s="6"/>
    </row>
    <row r="67" spans="3:11">
      <c r="C67" s="57"/>
      <c r="D67" s="6">
        <f t="shared" si="12"/>
        <v>2500</v>
      </c>
      <c r="E67" s="6" t="str">
        <f>IF(E24="","",(_xlfn.XLOOKUP(E24,道具表!$B:$B,道具表!$C:$C)&amp;"|"&amp;_xlfn.XLOOKUP(E24,道具表!$B:$B,道具表!$A:$A)&amp;"|"))</f>
        <v>16|402|</v>
      </c>
      <c r="F67" s="6" t="str">
        <f t="shared" si="13"/>
        <v>1,</v>
      </c>
      <c r="G67" s="6" t="str">
        <f>IF(G24="","",(_xlfn.XLOOKUP(G24,道具表!$B:$B,道具表!$C:$C)&amp;"|"&amp;_xlfn.XLOOKUP(G24,道具表!$B:$B,道具表!$A:$A)&amp;"|"))</f>
        <v>1|10005|</v>
      </c>
      <c r="H67" s="6" t="str">
        <f t="shared" si="11"/>
        <v>15,</v>
      </c>
      <c r="I67" s="54" t="str">
        <f t="shared" si="15"/>
        <v>16|402|1,1|10005|15</v>
      </c>
      <c r="J67" s="6"/>
      <c r="K67" s="6"/>
    </row>
    <row r="68" spans="3:11">
      <c r="C68" s="57"/>
      <c r="D68" s="6">
        <f t="shared" si="12"/>
        <v>4000</v>
      </c>
      <c r="E68" s="6" t="str">
        <f>IF(E25="","",(_xlfn.XLOOKUP(E25,道具表!$B:$B,道具表!$C:$C)&amp;"|"&amp;_xlfn.XLOOKUP(E25,道具表!$B:$B,道具表!$A:$A)&amp;"|"))</f>
        <v>16|401|</v>
      </c>
      <c r="F68" s="6" t="str">
        <f t="shared" si="13"/>
        <v>1,</v>
      </c>
      <c r="G68" s="6" t="str">
        <f>IF(G25="","",(_xlfn.XLOOKUP(G25,道具表!$B:$B,道具表!$C:$C)&amp;"|"&amp;_xlfn.XLOOKUP(G25,道具表!$B:$B,道具表!$A:$A)&amp;"|"))</f>
        <v>11|5200|</v>
      </c>
      <c r="H68" s="6" t="str">
        <f t="shared" si="11"/>
        <v>5,</v>
      </c>
      <c r="I68" s="54" t="str">
        <f t="shared" si="15"/>
        <v>16|401|1,11|5200|5</v>
      </c>
      <c r="J68" s="6"/>
      <c r="K68" s="6"/>
    </row>
    <row r="69" spans="3:11">
      <c r="C69" s="56" t="s">
        <v>949</v>
      </c>
      <c r="D69" s="6" t="str">
        <f t="shared" si="12"/>
        <v>积分</v>
      </c>
      <c r="E69" s="6" t="s">
        <v>815</v>
      </c>
      <c r="F69" s="6" t="str">
        <f t="shared" si="13"/>
        <v>数量1,</v>
      </c>
      <c r="G69" s="6" t="s">
        <v>816</v>
      </c>
      <c r="H69" s="6" t="str">
        <f t="shared" si="11"/>
        <v>数量2,</v>
      </c>
      <c r="I69" s="6" t="s">
        <v>327</v>
      </c>
      <c r="J69" s="6"/>
      <c r="K69" s="6"/>
    </row>
    <row r="70" spans="3:11">
      <c r="C70" s="57"/>
      <c r="D70" s="6">
        <f t="shared" si="12"/>
        <v>150</v>
      </c>
      <c r="E70" s="6" t="str">
        <f>IF(E27="","",(_xlfn.XLOOKUP(E27,道具表!$B:$B,道具表!$C:$C)&amp;"|"&amp;_xlfn.XLOOKUP(E27,道具表!$B:$B,道具表!$A:$A)&amp;"|"))</f>
        <v>1|10005|</v>
      </c>
      <c r="F70" s="6" t="str">
        <f t="shared" si="13"/>
        <v>5,</v>
      </c>
      <c r="G70" s="6" t="str">
        <f>IF(G27="","",(_xlfn.XLOOKUP(G27,道具表!$B:$B,道具表!$C:$C)&amp;"|"&amp;_xlfn.XLOOKUP(G27,道具表!$B:$B,道具表!$A:$A)&amp;"|"))</f>
        <v/>
      </c>
      <c r="H70" s="6" t="str">
        <f t="shared" si="11"/>
        <v/>
      </c>
      <c r="I70" s="54" t="str">
        <f t="shared" ref="I70:I75" si="16">LEFT(E70&amp;F70&amp;G70&amp;H70,LEN(E70&amp;F70&amp;G70&amp;H70)-1)</f>
        <v>1|10005|5</v>
      </c>
      <c r="J70" s="6"/>
      <c r="K70" s="6"/>
    </row>
    <row r="71" spans="3:11">
      <c r="C71" s="57"/>
      <c r="D71" s="6">
        <f t="shared" si="12"/>
        <v>400</v>
      </c>
      <c r="E71" s="6" t="str">
        <f>IF(E28="","",(_xlfn.XLOOKUP(E28,道具表!$B:$B,道具表!$C:$C)&amp;"|"&amp;_xlfn.XLOOKUP(E28,道具表!$B:$B,道具表!$A:$A)&amp;"|"))</f>
        <v>1|10005|</v>
      </c>
      <c r="F71" s="6" t="str">
        <f t="shared" si="13"/>
        <v>10,</v>
      </c>
      <c r="G71" s="6" t="str">
        <f>IF(G28="","",(_xlfn.XLOOKUP(G28,道具表!$B:$B,道具表!$C:$C)&amp;"|"&amp;_xlfn.XLOOKUP(G28,道具表!$B:$B,道具表!$A:$A)&amp;"|"))</f>
        <v/>
      </c>
      <c r="H71" s="6" t="str">
        <f t="shared" si="11"/>
        <v/>
      </c>
      <c r="I71" s="54" t="str">
        <f t="shared" si="16"/>
        <v>1|10005|10</v>
      </c>
      <c r="J71" s="6"/>
      <c r="K71" s="6"/>
    </row>
    <row r="72" spans="3:11">
      <c r="C72" s="57"/>
      <c r="D72" s="6">
        <f t="shared" si="12"/>
        <v>800</v>
      </c>
      <c r="E72" s="6" t="str">
        <f>IF(E29="","",(_xlfn.XLOOKUP(E29,道具表!$B:$B,道具表!$C:$C)&amp;"|"&amp;_xlfn.XLOOKUP(E29,道具表!$B:$B,道具表!$A:$A)&amp;"|"))</f>
        <v>1|10005|</v>
      </c>
      <c r="F72" s="6" t="str">
        <f t="shared" si="13"/>
        <v>15,</v>
      </c>
      <c r="G72" s="6" t="str">
        <f>IF(G29="","",(_xlfn.XLOOKUP(G29,道具表!$B:$B,道具表!$C:$C)&amp;"|"&amp;_xlfn.XLOOKUP(G29,道具表!$B:$B,道具表!$A:$A)&amp;"|"))</f>
        <v/>
      </c>
      <c r="H72" s="6" t="str">
        <f t="shared" si="11"/>
        <v/>
      </c>
      <c r="I72" s="54" t="str">
        <f t="shared" si="16"/>
        <v>1|10005|15</v>
      </c>
      <c r="J72" s="6"/>
      <c r="K72" s="6"/>
    </row>
    <row r="73" spans="3:11">
      <c r="C73" s="57"/>
      <c r="D73" s="6">
        <f t="shared" si="12"/>
        <v>1400</v>
      </c>
      <c r="E73" s="6" t="str">
        <f>IF(E30="","",(_xlfn.XLOOKUP(E30,道具表!$B:$B,道具表!$C:$C)&amp;"|"&amp;_xlfn.XLOOKUP(E30,道具表!$B:$B,道具表!$A:$A)&amp;"|"))</f>
        <v>1|10005|</v>
      </c>
      <c r="F73" s="6" t="str">
        <f t="shared" si="13"/>
        <v>30,</v>
      </c>
      <c r="G73" s="6" t="str">
        <f>IF(G30="","",(_xlfn.XLOOKUP(G30,道具表!$B:$B,道具表!$C:$C)&amp;"|"&amp;_xlfn.XLOOKUP(G30,道具表!$B:$B,道具表!$A:$A)&amp;"|"))</f>
        <v/>
      </c>
      <c r="H73" s="6" t="str">
        <f t="shared" si="11"/>
        <v/>
      </c>
      <c r="I73" s="54" t="str">
        <f t="shared" si="16"/>
        <v>1|10005|30</v>
      </c>
      <c r="J73" s="6"/>
      <c r="K73" s="6"/>
    </row>
    <row r="74" spans="3:11">
      <c r="C74" s="57"/>
      <c r="D74" s="6">
        <f t="shared" si="12"/>
        <v>2500</v>
      </c>
      <c r="E74" s="6" t="str">
        <f>IF(E31="","",(_xlfn.XLOOKUP(E31,道具表!$B:$B,道具表!$C:$C)&amp;"|"&amp;_xlfn.XLOOKUP(E31,道具表!$B:$B,道具表!$A:$A)&amp;"|"))</f>
        <v>16|402|</v>
      </c>
      <c r="F74" s="6" t="str">
        <f t="shared" si="13"/>
        <v>1,</v>
      </c>
      <c r="G74" s="6" t="str">
        <f>IF(G31="","",(_xlfn.XLOOKUP(G31,道具表!$B:$B,道具表!$C:$C)&amp;"|"&amp;_xlfn.XLOOKUP(G31,道具表!$B:$B,道具表!$A:$A)&amp;"|"))</f>
        <v>1|10005|</v>
      </c>
      <c r="H74" s="6" t="str">
        <f t="shared" si="11"/>
        <v>15,</v>
      </c>
      <c r="I74" s="54" t="str">
        <f t="shared" si="16"/>
        <v>16|402|1,1|10005|15</v>
      </c>
      <c r="J74" s="6"/>
      <c r="K74" s="6"/>
    </row>
    <row r="75" spans="3:11">
      <c r="C75" s="58"/>
      <c r="D75" s="6">
        <f t="shared" si="12"/>
        <v>4000</v>
      </c>
      <c r="E75" s="6" t="str">
        <f>IF(E32="","",(_xlfn.XLOOKUP(E32,道具表!$B:$B,道具表!$C:$C)&amp;"|"&amp;_xlfn.XLOOKUP(E32,道具表!$B:$B,道具表!$A:$A)&amp;"|"))</f>
        <v>16|401|</v>
      </c>
      <c r="F75" s="6" t="str">
        <f t="shared" si="13"/>
        <v>1,</v>
      </c>
      <c r="G75" s="6" t="str">
        <f>IF(G32="","",(_xlfn.XLOOKUP(G32,道具表!$B:$B,道具表!$C:$C)&amp;"|"&amp;_xlfn.XLOOKUP(G32,道具表!$B:$B,道具表!$A:$A)&amp;"|"))</f>
        <v>11|5200|</v>
      </c>
      <c r="H75" s="6" t="str">
        <f t="shared" si="11"/>
        <v>5,</v>
      </c>
      <c r="I75" s="54" t="str">
        <f t="shared" si="16"/>
        <v>16|401|1,11|5200|5</v>
      </c>
      <c r="J75" s="6"/>
      <c r="K75" s="6"/>
    </row>
    <row r="78" spans="3:12">
      <c r="C78" s="6" t="s">
        <v>951</v>
      </c>
      <c r="D78" s="6" t="str">
        <f t="shared" ref="D78:G78" si="17">D35</f>
        <v>价格</v>
      </c>
      <c r="E78" s="6" t="str">
        <f>E35</f>
        <v>限购次数</v>
      </c>
      <c r="F78" s="6" t="str">
        <f t="shared" si="17"/>
        <v>道具1</v>
      </c>
      <c r="G78" s="6" t="str">
        <f t="shared" si="17"/>
        <v>数量1</v>
      </c>
      <c r="H78" s="6" t="s">
        <v>816</v>
      </c>
      <c r="I78" s="6" t="str">
        <f>I35</f>
        <v>数量2</v>
      </c>
      <c r="J78" s="6" t="s">
        <v>327</v>
      </c>
      <c r="K78" s="6"/>
      <c r="L78" s="6"/>
    </row>
    <row r="79" spans="3:12">
      <c r="C79" s="6"/>
      <c r="D79" s="6" t="str">
        <f t="shared" ref="D79:G79" si="18">D36</f>
        <v>免费</v>
      </c>
      <c r="E79" s="6">
        <f t="shared" si="18"/>
        <v>1</v>
      </c>
      <c r="F79" s="6" t="str">
        <f>IF(F36="","",(_xlfn.XLOOKUP(F36,道具表!$B:$B,道具表!$C:$C)&amp;"|"&amp;_xlfn.XLOOKUP(F36,道具表!$B:$B,道具表!$A:$A)&amp;"|"))</f>
        <v>1|12|</v>
      </c>
      <c r="G79" s="6" t="str">
        <f t="shared" ref="G79:G84" si="19">IF(G36="","",G36&amp;",")</f>
        <v>1,</v>
      </c>
      <c r="H79" s="6" t="str">
        <f>IF(H36="","",(_xlfn.XLOOKUP(H36,道具表!$B:$B,道具表!$C:$C)&amp;"|"&amp;_xlfn.XLOOKUP(H36,道具表!$B:$B,道具表!$A:$A)&amp;"|"))</f>
        <v/>
      </c>
      <c r="I79" s="6" t="str">
        <f t="shared" ref="I79:I84" si="20">IF(I36="","",I36&amp;",")</f>
        <v/>
      </c>
      <c r="J79" s="54" t="str">
        <f>LEFT(F79&amp;G79&amp;H79&amp;I79,LEN(F79&amp;G79&amp;H79&amp;I79)-1)</f>
        <v>1|12|1</v>
      </c>
      <c r="K79" s="6"/>
      <c r="L79" s="6"/>
    </row>
    <row r="80" spans="3:12">
      <c r="C80" s="6"/>
      <c r="D80" s="6">
        <f t="shared" ref="D80:G80" si="21">D37</f>
        <v>30</v>
      </c>
      <c r="E80" s="6">
        <f t="shared" si="21"/>
        <v>1</v>
      </c>
      <c r="F80" s="6" t="str">
        <f>IF(F37="","",(_xlfn.XLOOKUP(F37,道具表!$B:$B,道具表!$C:$C)&amp;"|"&amp;_xlfn.XLOOKUP(F37,道具表!$B:$B,道具表!$A:$A)&amp;"|"))</f>
        <v>1|10005|</v>
      </c>
      <c r="G80" s="6" t="str">
        <f t="shared" si="19"/>
        <v>12,</v>
      </c>
      <c r="H80" s="6" t="str">
        <f>IF(H37="","",(_xlfn.XLOOKUP(H37,道具表!$B:$B,道具表!$C:$C)&amp;"|"&amp;_xlfn.XLOOKUP(H37,道具表!$B:$B,道具表!$A:$A)&amp;"|"))</f>
        <v/>
      </c>
      <c r="I80" s="6" t="str">
        <f t="shared" si="20"/>
        <v/>
      </c>
      <c r="J80" s="54" t="str">
        <f t="shared" ref="J79:J84" si="22">LEFT(F80&amp;G80&amp;H80&amp;I80,LEN(F80&amp;G80&amp;H80&amp;I80)-1)</f>
        <v>1|10005|12</v>
      </c>
      <c r="K80" s="6"/>
      <c r="L80" s="6"/>
    </row>
    <row r="81" spans="3:12">
      <c r="C81" s="6"/>
      <c r="D81" s="6">
        <f t="shared" ref="D81:G81" si="23">D38</f>
        <v>68</v>
      </c>
      <c r="E81" s="6">
        <f t="shared" si="23"/>
        <v>1</v>
      </c>
      <c r="F81" s="6" t="str">
        <f>IF(F38="","",(_xlfn.XLOOKUP(F38,道具表!$B:$B,道具表!$C:$C)&amp;"|"&amp;_xlfn.XLOOKUP(F38,道具表!$B:$B,道具表!$A:$A)&amp;"|"))</f>
        <v>1|10005|</v>
      </c>
      <c r="G81" s="6" t="str">
        <f t="shared" si="19"/>
        <v>25,</v>
      </c>
      <c r="H81" s="6" t="str">
        <f>IF(H38="","",(_xlfn.XLOOKUP(H38,道具表!$B:$B,道具表!$C:$C)&amp;"|"&amp;_xlfn.XLOOKUP(H38,道具表!$B:$B,道具表!$A:$A)&amp;"|"))</f>
        <v/>
      </c>
      <c r="I81" s="6" t="str">
        <f t="shared" si="20"/>
        <v/>
      </c>
      <c r="J81" s="54" t="str">
        <f t="shared" si="22"/>
        <v>1|10005|25</v>
      </c>
      <c r="K81" s="6"/>
      <c r="L81" s="6"/>
    </row>
    <row r="82" spans="3:12">
      <c r="C82" s="6"/>
      <c r="D82" s="6">
        <f t="shared" ref="D82:G82" si="24">D39</f>
        <v>128</v>
      </c>
      <c r="E82" s="6">
        <f t="shared" si="24"/>
        <v>2</v>
      </c>
      <c r="F82" s="6" t="str">
        <f>IF(F39="","",(_xlfn.XLOOKUP(F39,道具表!$B:$B,道具表!$C:$C)&amp;"|"&amp;_xlfn.XLOOKUP(F39,道具表!$B:$B,道具表!$A:$A)&amp;"|"))</f>
        <v>1|10005|</v>
      </c>
      <c r="G82" s="6" t="str">
        <f t="shared" si="19"/>
        <v>50,</v>
      </c>
      <c r="H82" s="6" t="str">
        <f>IF(H39="","",(_xlfn.XLOOKUP(H39,道具表!$B:$B,道具表!$C:$C)&amp;"|"&amp;_xlfn.XLOOKUP(H39,道具表!$B:$B,道具表!$A:$A)&amp;"|"))</f>
        <v/>
      </c>
      <c r="I82" s="6" t="str">
        <f t="shared" si="20"/>
        <v/>
      </c>
      <c r="J82" s="54" t="str">
        <f t="shared" si="22"/>
        <v>1|10005|50</v>
      </c>
      <c r="K82" s="6"/>
      <c r="L82" s="6"/>
    </row>
    <row r="83" spans="3:12">
      <c r="C83" s="6"/>
      <c r="D83" s="6">
        <f t="shared" ref="D83:G83" si="25">D40</f>
        <v>198</v>
      </c>
      <c r="E83" s="6">
        <f t="shared" si="25"/>
        <v>2</v>
      </c>
      <c r="F83" s="6" t="str">
        <f>IF(F40="","",(_xlfn.XLOOKUP(F40,道具表!$B:$B,道具表!$C:$C)&amp;"|"&amp;_xlfn.XLOOKUP(F40,道具表!$B:$B,道具表!$A:$A)&amp;"|"))</f>
        <v>1|10005|</v>
      </c>
      <c r="G83" s="6" t="str">
        <f t="shared" si="19"/>
        <v>80,</v>
      </c>
      <c r="H83" s="6" t="str">
        <f>IF(H40="","",(_xlfn.XLOOKUP(H40,道具表!$B:$B,道具表!$C:$C)&amp;"|"&amp;_xlfn.XLOOKUP(H40,道具表!$B:$B,道具表!$A:$A)&amp;"|"))</f>
        <v/>
      </c>
      <c r="I83" s="6" t="str">
        <f t="shared" si="20"/>
        <v/>
      </c>
      <c r="J83" s="54" t="str">
        <f t="shared" si="22"/>
        <v>1|10005|80</v>
      </c>
      <c r="K83" s="6"/>
      <c r="L83" s="6"/>
    </row>
    <row r="84" spans="3:12">
      <c r="C84" s="6"/>
      <c r="D84" s="6">
        <f t="shared" ref="D84:G84" si="26">D41</f>
        <v>328</v>
      </c>
      <c r="E84" s="6">
        <f t="shared" si="26"/>
        <v>5</v>
      </c>
      <c r="F84" s="6" t="str">
        <f>IF(F41="","",(_xlfn.XLOOKUP(F41,道具表!$B:$B,道具表!$C:$C)&amp;"|"&amp;_xlfn.XLOOKUP(F41,道具表!$B:$B,道具表!$A:$A)&amp;"|"))</f>
        <v>1|10005|</v>
      </c>
      <c r="G84" s="6" t="str">
        <f t="shared" si="19"/>
        <v>140,</v>
      </c>
      <c r="H84" s="6" t="str">
        <f>IF(H41="","",(_xlfn.XLOOKUP(H41,道具表!$B:$B,道具表!$C:$C)&amp;"|"&amp;_xlfn.XLOOKUP(H41,道具表!$B:$B,道具表!$A:$A)&amp;"|"))</f>
        <v/>
      </c>
      <c r="I84" s="6" t="str">
        <f t="shared" si="20"/>
        <v/>
      </c>
      <c r="J84" s="54" t="str">
        <f t="shared" si="22"/>
        <v>1|10005|140</v>
      </c>
      <c r="K84" s="6"/>
      <c r="L84" s="6"/>
    </row>
    <row r="85" spans="3:12">
      <c r="C85" s="6"/>
      <c r="D85" s="6">
        <f t="shared" ref="D85:G85" si="27">D42</f>
        <v>648</v>
      </c>
      <c r="E85" s="6">
        <f t="shared" si="27"/>
        <v>5</v>
      </c>
      <c r="F85" s="6" t="str">
        <f>IF(F42="","",(_xlfn.XLOOKUP(F42,道具表!$B:$B,道具表!$C:$C)&amp;"|"&amp;_xlfn.XLOOKUP(F42,道具表!$B:$B,道具表!$A:$A)&amp;"|"))</f>
        <v>1|10005|</v>
      </c>
      <c r="G85" s="6" t="str">
        <f>IF(G42="","",G42&amp;",")</f>
        <v>280,</v>
      </c>
      <c r="H85" s="6" t="str">
        <f>IF(H42="","",(_xlfn.XLOOKUP(H42,道具表!$B:$B,道具表!$C:$C)&amp;"|"&amp;_xlfn.XLOOKUP(H42,道具表!$B:$B,道具表!$A:$A)&amp;"|"))</f>
        <v/>
      </c>
      <c r="I85" s="6" t="str">
        <f>IF(I42="","",I42&amp;",")</f>
        <v/>
      </c>
      <c r="J85" s="54" t="str">
        <f>LEFT(F85&amp;G85&amp;H85&amp;I85,LEN(F85&amp;G85&amp;H85&amp;I85)-1)</f>
        <v>1|10005|280</v>
      </c>
      <c r="K85" s="6"/>
      <c r="L85" s="6"/>
    </row>
  </sheetData>
  <mergeCells count="11">
    <mergeCell ref="C1:C3"/>
    <mergeCell ref="C6:C11"/>
    <mergeCell ref="C12:C18"/>
    <mergeCell ref="C19:C25"/>
    <mergeCell ref="C26:C32"/>
    <mergeCell ref="C35:C42"/>
    <mergeCell ref="C49:C54"/>
    <mergeCell ref="C55:C61"/>
    <mergeCell ref="C62:C68"/>
    <mergeCell ref="C69:C75"/>
    <mergeCell ref="C78:C85"/>
  </mergeCells>
  <pageMargins left="0.75" right="0.75" top="1" bottom="1" header="0.5" footer="0.5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Z84"/>
  <sheetViews>
    <sheetView zoomScale="85" zoomScaleNormal="85" workbookViewId="0">
      <selection activeCell="C48" sqref="C48:N74"/>
    </sheetView>
  </sheetViews>
  <sheetFormatPr defaultColWidth="8.88888888888889" defaultRowHeight="15.6"/>
  <cols>
    <col min="3" max="3" width="8.88888888888889" style="55"/>
    <col min="4" max="4" width="26.1111111111111" style="55" customWidth="1"/>
    <col min="5" max="5" width="15.1111111111111" style="55" customWidth="1"/>
    <col min="6" max="8" width="8.88888888888889" style="55"/>
    <col min="9" max="9" width="11" style="55" customWidth="1"/>
    <col min="10" max="12" width="8.88888888888889" style="55"/>
    <col min="13" max="14" width="12.8888888888889" style="55"/>
    <col min="15" max="15" width="15.6666666666667" style="55"/>
    <col min="16" max="16" width="12.8888888888889"/>
  </cols>
  <sheetData>
    <row r="1" spans="3:5">
      <c r="C1" s="6" t="s">
        <v>928</v>
      </c>
      <c r="D1" s="6" t="s">
        <v>929</v>
      </c>
      <c r="E1" s="6" t="s">
        <v>378</v>
      </c>
    </row>
    <row r="2" spans="3:5">
      <c r="C2" s="6"/>
      <c r="D2" s="6" t="s">
        <v>970</v>
      </c>
      <c r="E2" s="6">
        <v>1</v>
      </c>
    </row>
    <row r="3" spans="3:16">
      <c r="C3" s="8"/>
      <c r="D3" s="8"/>
      <c r="E3" s="8"/>
      <c r="O3" s="55" t="s">
        <v>940</v>
      </c>
      <c r="P3" s="55">
        <v>3600</v>
      </c>
    </row>
    <row r="4" spans="15:15">
      <c r="O4" t="s">
        <v>971</v>
      </c>
    </row>
    <row r="5" spans="3:16">
      <c r="C5" s="6" t="s">
        <v>941</v>
      </c>
      <c r="D5" s="6" t="s">
        <v>378</v>
      </c>
      <c r="E5" s="6" t="s">
        <v>815</v>
      </c>
      <c r="F5" s="6" t="s">
        <v>942</v>
      </c>
      <c r="G5" s="6" t="s">
        <v>816</v>
      </c>
      <c r="H5" s="6" t="s">
        <v>943</v>
      </c>
      <c r="I5" s="6" t="s">
        <v>817</v>
      </c>
      <c r="J5" s="6" t="s">
        <v>965</v>
      </c>
      <c r="K5" s="6" t="s">
        <v>339</v>
      </c>
      <c r="L5" s="6" t="s">
        <v>340</v>
      </c>
      <c r="M5" s="6" t="s">
        <v>818</v>
      </c>
      <c r="N5" s="6" t="s">
        <v>341</v>
      </c>
      <c r="O5" s="19" t="s">
        <v>944</v>
      </c>
      <c r="P5">
        <f>SUM(P6:P10)</f>
        <v>15500</v>
      </c>
    </row>
    <row r="6" spans="3:26">
      <c r="C6" s="6"/>
      <c r="D6" s="6">
        <v>1000</v>
      </c>
      <c r="E6" s="6" t="s">
        <v>6</v>
      </c>
      <c r="F6" s="6">
        <v>200</v>
      </c>
      <c r="G6" s="6" t="s">
        <v>46</v>
      </c>
      <c r="H6" s="6">
        <v>1000</v>
      </c>
      <c r="I6" s="6" t="s">
        <v>66</v>
      </c>
      <c r="J6" s="6">
        <v>5</v>
      </c>
      <c r="K6" s="6">
        <f>_xlfn.XLOOKUP(E6,道具表!$B:$B,道具表!$E:$E)</f>
        <v>1</v>
      </c>
      <c r="L6" s="6">
        <f>_xlfn.XLOOKUP(G6,道具表!$B:$B,道具表!$E:$E)</f>
        <v>0.5</v>
      </c>
      <c r="M6" s="6">
        <f>_xlfn.XLOOKUP(I6,道具表!$B:$B,道具表!$E:$E)</f>
        <v>0</v>
      </c>
      <c r="N6" s="6">
        <f>K6*F6+L6*H6+M6*J6</f>
        <v>700</v>
      </c>
      <c r="O6" s="19"/>
      <c r="P6">
        <f>D6</f>
        <v>1000</v>
      </c>
      <c r="S6" s="7" t="s">
        <v>972</v>
      </c>
      <c r="T6" s="7"/>
      <c r="U6" s="7"/>
      <c r="V6" s="7"/>
      <c r="W6" s="7"/>
      <c r="X6" s="7"/>
      <c r="Y6" s="7"/>
      <c r="Z6" s="7"/>
    </row>
    <row r="7" spans="3:26">
      <c r="C7" s="6"/>
      <c r="D7" s="6">
        <v>2500</v>
      </c>
      <c r="E7" s="6" t="s">
        <v>6</v>
      </c>
      <c r="F7" s="6">
        <v>500</v>
      </c>
      <c r="G7" s="6" t="s">
        <v>42</v>
      </c>
      <c r="H7" s="6">
        <v>20</v>
      </c>
      <c r="I7" s="6" t="s">
        <v>66</v>
      </c>
      <c r="J7" s="6">
        <v>10</v>
      </c>
      <c r="K7" s="6">
        <f>_xlfn.XLOOKUP(E7,道具表!$B:$B,道具表!$E:$E)</f>
        <v>1</v>
      </c>
      <c r="L7" s="6">
        <f>_xlfn.XLOOKUP(G7,道具表!$B:$B,道具表!$E:$E)</f>
        <v>40</v>
      </c>
      <c r="M7" s="6">
        <f>_xlfn.XLOOKUP(I7,道具表!$B:$B,道具表!$E:$E)</f>
        <v>0</v>
      </c>
      <c r="N7" s="6">
        <f t="shared" ref="N7:N16" si="0">K7*F7+L7*H7+M7*J7</f>
        <v>1300</v>
      </c>
      <c r="O7" s="19"/>
      <c r="P7">
        <f>D7-F6-D6</f>
        <v>1300</v>
      </c>
      <c r="S7" s="60" t="s">
        <v>973</v>
      </c>
      <c r="T7" s="60" t="s">
        <v>974</v>
      </c>
      <c r="U7" s="60" t="s">
        <v>975</v>
      </c>
      <c r="V7" s="60" t="s">
        <v>976</v>
      </c>
      <c r="W7" s="60" t="s">
        <v>977</v>
      </c>
      <c r="X7" s="61"/>
      <c r="Y7" s="61"/>
      <c r="Z7" s="61"/>
    </row>
    <row r="8" spans="3:26">
      <c r="C8" s="6"/>
      <c r="D8" s="6">
        <v>5000</v>
      </c>
      <c r="E8" s="6" t="s">
        <v>6</v>
      </c>
      <c r="F8" s="6">
        <v>800</v>
      </c>
      <c r="G8" s="6" t="s">
        <v>46</v>
      </c>
      <c r="H8" s="6">
        <v>3000</v>
      </c>
      <c r="I8" s="6" t="s">
        <v>66</v>
      </c>
      <c r="J8" s="6">
        <v>15</v>
      </c>
      <c r="K8" s="6">
        <f>_xlfn.XLOOKUP(E8,道具表!$B:$B,道具表!$E:$E)</f>
        <v>1</v>
      </c>
      <c r="L8" s="6">
        <f>_xlfn.XLOOKUP(G8,道具表!$B:$B,道具表!$E:$E)</f>
        <v>0.5</v>
      </c>
      <c r="M8" s="6">
        <f>_xlfn.XLOOKUP(I8,道具表!$B:$B,道具表!$E:$E)</f>
        <v>0</v>
      </c>
      <c r="N8" s="6">
        <f t="shared" si="0"/>
        <v>2300</v>
      </c>
      <c r="O8" s="19"/>
      <c r="P8">
        <f t="shared" ref="P8:P16" si="1">D8-F7-D7</f>
        <v>2000</v>
      </c>
      <c r="S8" s="60" t="s">
        <v>901</v>
      </c>
      <c r="T8" s="60" t="s">
        <v>901</v>
      </c>
      <c r="U8" s="60" t="s">
        <v>901</v>
      </c>
      <c r="V8" s="60" t="s">
        <v>978</v>
      </c>
      <c r="W8" s="60" t="s">
        <v>978</v>
      </c>
      <c r="X8" s="61"/>
      <c r="Y8" s="61"/>
      <c r="Z8" s="61"/>
    </row>
    <row r="9" spans="3:26">
      <c r="C9" s="6"/>
      <c r="D9" s="6">
        <v>10000</v>
      </c>
      <c r="E9" s="6" t="s">
        <v>6</v>
      </c>
      <c r="F9" s="6">
        <v>1000</v>
      </c>
      <c r="G9" s="6" t="s">
        <v>42</v>
      </c>
      <c r="H9" s="6">
        <v>50</v>
      </c>
      <c r="I9" s="6" t="s">
        <v>66</v>
      </c>
      <c r="J9" s="6">
        <v>30</v>
      </c>
      <c r="K9" s="6">
        <f>_xlfn.XLOOKUP(E9,道具表!$B:$B,道具表!$E:$E)</f>
        <v>1</v>
      </c>
      <c r="L9" s="6">
        <f>_xlfn.XLOOKUP(G9,道具表!$B:$B,道具表!$E:$E)</f>
        <v>40</v>
      </c>
      <c r="M9" s="6">
        <f>_xlfn.XLOOKUP(I9,道具表!$B:$B,道具表!$E:$E)</f>
        <v>0</v>
      </c>
      <c r="N9" s="6">
        <f t="shared" si="0"/>
        <v>3000</v>
      </c>
      <c r="O9" s="19"/>
      <c r="P9">
        <f t="shared" si="1"/>
        <v>4200</v>
      </c>
      <c r="S9" s="60" t="s">
        <v>979</v>
      </c>
      <c r="T9" s="60" t="s">
        <v>980</v>
      </c>
      <c r="U9" s="60" t="s">
        <v>981</v>
      </c>
      <c r="V9" s="60" t="s">
        <v>982</v>
      </c>
      <c r="W9" s="60" t="s">
        <v>983</v>
      </c>
      <c r="X9" s="61" t="s">
        <v>984</v>
      </c>
      <c r="Y9" s="61" t="s">
        <v>43</v>
      </c>
      <c r="Z9" s="61" t="s">
        <v>985</v>
      </c>
    </row>
    <row r="10" spans="3:26">
      <c r="C10" s="6"/>
      <c r="D10" s="6">
        <v>18000</v>
      </c>
      <c r="E10" s="6" t="s">
        <v>320</v>
      </c>
      <c r="F10" s="6">
        <v>1</v>
      </c>
      <c r="G10" s="6" t="s">
        <v>43</v>
      </c>
      <c r="H10" s="6">
        <v>2</v>
      </c>
      <c r="I10" s="6" t="s">
        <v>6</v>
      </c>
      <c r="J10" s="6">
        <v>500</v>
      </c>
      <c r="K10" s="6">
        <f>_xlfn.XLOOKUP(E10,道具表!$B:$B,道具表!$E:$E)</f>
        <v>10000</v>
      </c>
      <c r="L10" s="6">
        <f>_xlfn.XLOOKUP(G10,道具表!$B:$B,道具表!$E:$E)</f>
        <v>500</v>
      </c>
      <c r="M10" s="6">
        <f>_xlfn.XLOOKUP(I10,道具表!$B:$B,道具表!$E:$E)</f>
        <v>1</v>
      </c>
      <c r="N10" s="6">
        <f t="shared" si="0"/>
        <v>11500</v>
      </c>
      <c r="O10" s="19"/>
      <c r="P10">
        <f>D10-F9-D9</f>
        <v>7000</v>
      </c>
      <c r="S10" s="60">
        <v>0</v>
      </c>
      <c r="T10" s="60">
        <v>5</v>
      </c>
      <c r="U10" s="60">
        <v>5</v>
      </c>
      <c r="V10" s="60" t="s">
        <v>986</v>
      </c>
      <c r="W10" s="60" t="s">
        <v>987</v>
      </c>
      <c r="X10" s="61">
        <f t="shared" ref="X10:X20" si="2">T10*U10</f>
        <v>25</v>
      </c>
      <c r="Y10" s="61">
        <v>1</v>
      </c>
      <c r="Z10" s="61">
        <f t="shared" ref="Z10:Z20" si="3">X10/Y10</f>
        <v>25</v>
      </c>
    </row>
    <row r="11" spans="3:26">
      <c r="C11" s="6" t="s">
        <v>945</v>
      </c>
      <c r="D11" s="6" t="s">
        <v>378</v>
      </c>
      <c r="E11" s="6" t="s">
        <v>815</v>
      </c>
      <c r="F11" s="6" t="s">
        <v>942</v>
      </c>
      <c r="G11" s="6" t="s">
        <v>816</v>
      </c>
      <c r="H11" s="6" t="s">
        <v>943</v>
      </c>
      <c r="I11" s="6" t="s">
        <v>339</v>
      </c>
      <c r="J11" s="6" t="s">
        <v>340</v>
      </c>
      <c r="K11" s="6" t="s">
        <v>339</v>
      </c>
      <c r="L11" s="6" t="s">
        <v>340</v>
      </c>
      <c r="M11" s="6" t="s">
        <v>341</v>
      </c>
      <c r="N11" s="6" t="s">
        <v>341</v>
      </c>
      <c r="O11" s="19" t="s">
        <v>946</v>
      </c>
      <c r="P11">
        <f>SUM(P12:P17)</f>
        <v>25478</v>
      </c>
      <c r="S11" s="60">
        <v>1</v>
      </c>
      <c r="T11" s="60">
        <v>10</v>
      </c>
      <c r="U11" s="60">
        <v>10</v>
      </c>
      <c r="V11" s="60" t="s">
        <v>988</v>
      </c>
      <c r="W11" s="60" t="s">
        <v>989</v>
      </c>
      <c r="X11" s="61">
        <f t="shared" si="2"/>
        <v>100</v>
      </c>
      <c r="Y11" s="61">
        <v>4</v>
      </c>
      <c r="Z11" s="61">
        <f t="shared" si="3"/>
        <v>25</v>
      </c>
    </row>
    <row r="12" spans="3:26">
      <c r="C12" s="6"/>
      <c r="D12" s="6">
        <v>1000</v>
      </c>
      <c r="E12" s="6" t="s">
        <v>6</v>
      </c>
      <c r="F12" s="6">
        <v>200</v>
      </c>
      <c r="G12" s="6" t="s">
        <v>46</v>
      </c>
      <c r="H12" s="6">
        <v>1000</v>
      </c>
      <c r="I12" s="6" t="s">
        <v>66</v>
      </c>
      <c r="J12" s="6">
        <v>5</v>
      </c>
      <c r="K12" s="6">
        <f>_xlfn.XLOOKUP(E12,道具表!$B:$B,道具表!$E:$E)</f>
        <v>1</v>
      </c>
      <c r="L12" s="6">
        <f>_xlfn.XLOOKUP(G12,道具表!$B:$B,道具表!$E:$E)</f>
        <v>0.5</v>
      </c>
      <c r="M12" s="6">
        <f>_xlfn.XLOOKUP(I12,道具表!$B:$B,道具表!$E:$E)</f>
        <v>0</v>
      </c>
      <c r="N12" s="6">
        <f t="shared" si="0"/>
        <v>700</v>
      </c>
      <c r="O12" s="19"/>
      <c r="P12">
        <f>D12-H10</f>
        <v>998</v>
      </c>
      <c r="S12" s="60">
        <v>2</v>
      </c>
      <c r="T12" s="60">
        <v>15</v>
      </c>
      <c r="U12" s="60">
        <v>15</v>
      </c>
      <c r="V12" s="60" t="s">
        <v>990</v>
      </c>
      <c r="W12" s="60" t="s">
        <v>991</v>
      </c>
      <c r="X12" s="61">
        <f t="shared" si="2"/>
        <v>225</v>
      </c>
      <c r="Y12" s="61">
        <v>8</v>
      </c>
      <c r="Z12" s="61">
        <f t="shared" si="3"/>
        <v>28.125</v>
      </c>
    </row>
    <row r="13" spans="3:26">
      <c r="C13" s="6"/>
      <c r="D13" s="6">
        <v>2500</v>
      </c>
      <c r="E13" s="6" t="s">
        <v>6</v>
      </c>
      <c r="F13" s="6">
        <v>500</v>
      </c>
      <c r="G13" s="6" t="s">
        <v>42</v>
      </c>
      <c r="H13" s="6">
        <v>20</v>
      </c>
      <c r="I13" s="6" t="s">
        <v>66</v>
      </c>
      <c r="J13" s="6">
        <v>10</v>
      </c>
      <c r="K13" s="6">
        <f>_xlfn.XLOOKUP(E13,道具表!$B:$B,道具表!$E:$E)</f>
        <v>1</v>
      </c>
      <c r="L13" s="6">
        <f>_xlfn.XLOOKUP(G13,道具表!$B:$B,道具表!$E:$E)</f>
        <v>40</v>
      </c>
      <c r="M13" s="6">
        <f>_xlfn.XLOOKUP(I13,道具表!$B:$B,道具表!$E:$E)</f>
        <v>0</v>
      </c>
      <c r="N13" s="6">
        <f t="shared" si="0"/>
        <v>1300</v>
      </c>
      <c r="O13" s="19"/>
      <c r="P13">
        <f t="shared" si="1"/>
        <v>1300</v>
      </c>
      <c r="S13" s="60">
        <v>3</v>
      </c>
      <c r="T13" s="60">
        <v>20</v>
      </c>
      <c r="U13" s="60">
        <v>20</v>
      </c>
      <c r="V13" s="60" t="s">
        <v>992</v>
      </c>
      <c r="W13" s="60" t="s">
        <v>993</v>
      </c>
      <c r="X13" s="61">
        <f t="shared" si="2"/>
        <v>400</v>
      </c>
      <c r="Y13" s="61">
        <v>14</v>
      </c>
      <c r="Z13" s="61">
        <f t="shared" si="3"/>
        <v>28.5714285714286</v>
      </c>
    </row>
    <row r="14" spans="3:26">
      <c r="C14" s="6"/>
      <c r="D14" s="6">
        <v>5000</v>
      </c>
      <c r="E14" s="6" t="s">
        <v>6</v>
      </c>
      <c r="F14" s="6">
        <v>800</v>
      </c>
      <c r="G14" s="6" t="s">
        <v>46</v>
      </c>
      <c r="H14" s="6">
        <v>3000</v>
      </c>
      <c r="I14" s="6" t="s">
        <v>66</v>
      </c>
      <c r="J14" s="6">
        <v>15</v>
      </c>
      <c r="K14" s="6">
        <f>_xlfn.XLOOKUP(E14,道具表!$B:$B,道具表!$E:$E)</f>
        <v>1</v>
      </c>
      <c r="L14" s="6">
        <f>_xlfn.XLOOKUP(G14,道具表!$B:$B,道具表!$E:$E)</f>
        <v>0.5</v>
      </c>
      <c r="M14" s="6">
        <f>_xlfn.XLOOKUP(I14,道具表!$B:$B,道具表!$E:$E)</f>
        <v>0</v>
      </c>
      <c r="N14" s="6">
        <f t="shared" si="0"/>
        <v>2300</v>
      </c>
      <c r="O14" s="19"/>
      <c r="P14">
        <f t="shared" si="1"/>
        <v>2000</v>
      </c>
      <c r="S14" s="60">
        <v>4</v>
      </c>
      <c r="T14" s="60">
        <v>25</v>
      </c>
      <c r="U14" s="60">
        <v>40</v>
      </c>
      <c r="V14" s="60" t="s">
        <v>994</v>
      </c>
      <c r="W14" s="60" t="s">
        <v>995</v>
      </c>
      <c r="X14" s="61">
        <f t="shared" si="2"/>
        <v>1000</v>
      </c>
      <c r="Y14" s="61">
        <v>20</v>
      </c>
      <c r="Z14" s="61">
        <f t="shared" si="3"/>
        <v>50</v>
      </c>
    </row>
    <row r="15" spans="3:26">
      <c r="C15" s="6"/>
      <c r="D15" s="6">
        <v>10000</v>
      </c>
      <c r="E15" s="6" t="s">
        <v>6</v>
      </c>
      <c r="F15" s="6">
        <v>1000</v>
      </c>
      <c r="G15" s="6" t="s">
        <v>42</v>
      </c>
      <c r="H15" s="6">
        <v>40</v>
      </c>
      <c r="I15" s="6" t="s">
        <v>66</v>
      </c>
      <c r="J15" s="6">
        <v>30</v>
      </c>
      <c r="K15" s="6">
        <f>_xlfn.XLOOKUP(E15,道具表!$B:$B,道具表!$E:$E)</f>
        <v>1</v>
      </c>
      <c r="L15" s="6">
        <f>_xlfn.XLOOKUP(G15,道具表!$B:$B,道具表!$E:$E)</f>
        <v>40</v>
      </c>
      <c r="M15" s="6">
        <f>_xlfn.XLOOKUP(I15,道具表!$B:$B,道具表!$E:$E)</f>
        <v>0</v>
      </c>
      <c r="N15" s="6">
        <f t="shared" si="0"/>
        <v>2600</v>
      </c>
      <c r="O15" s="19"/>
      <c r="P15">
        <f t="shared" si="1"/>
        <v>4200</v>
      </c>
      <c r="S15" s="60">
        <v>5</v>
      </c>
      <c r="T15" s="60">
        <v>30</v>
      </c>
      <c r="U15" s="60">
        <v>60</v>
      </c>
      <c r="V15" s="60" t="s">
        <v>996</v>
      </c>
      <c r="W15" s="60" t="s">
        <v>997</v>
      </c>
      <c r="X15" s="61">
        <f t="shared" si="2"/>
        <v>1800</v>
      </c>
      <c r="Y15" s="61">
        <v>30</v>
      </c>
      <c r="Z15" s="61">
        <f t="shared" si="3"/>
        <v>60</v>
      </c>
    </row>
    <row r="16" spans="3:26">
      <c r="C16" s="6"/>
      <c r="D16" s="6">
        <v>18000</v>
      </c>
      <c r="E16" s="6" t="s">
        <v>320</v>
      </c>
      <c r="F16" s="6">
        <v>1</v>
      </c>
      <c r="G16" s="6" t="s">
        <v>67</v>
      </c>
      <c r="H16" s="6">
        <v>20</v>
      </c>
      <c r="I16" s="6" t="s">
        <v>6</v>
      </c>
      <c r="J16" s="6">
        <v>500</v>
      </c>
      <c r="K16" s="6">
        <f>_xlfn.XLOOKUP(E16,道具表!$B:$B,道具表!$E:$E)</f>
        <v>10000</v>
      </c>
      <c r="L16" s="6">
        <f>_xlfn.XLOOKUP(G16,道具表!$B:$B,道具表!$E:$E)</f>
        <v>50</v>
      </c>
      <c r="M16" s="6">
        <f>_xlfn.XLOOKUP(I16,道具表!$B:$B,道具表!$E:$E)</f>
        <v>1</v>
      </c>
      <c r="N16" s="6">
        <f t="shared" si="0"/>
        <v>11500</v>
      </c>
      <c r="O16" s="19"/>
      <c r="P16">
        <f t="shared" si="1"/>
        <v>7000</v>
      </c>
      <c r="S16" s="60">
        <v>6</v>
      </c>
      <c r="T16" s="60">
        <v>30</v>
      </c>
      <c r="U16" s="60">
        <v>80</v>
      </c>
      <c r="V16" s="60" t="s">
        <v>996</v>
      </c>
      <c r="W16" s="60" t="s">
        <v>998</v>
      </c>
      <c r="X16" s="61">
        <f t="shared" si="2"/>
        <v>2400</v>
      </c>
      <c r="Y16" s="61">
        <v>50</v>
      </c>
      <c r="Z16" s="61">
        <f t="shared" si="3"/>
        <v>48</v>
      </c>
    </row>
    <row r="17" spans="3:26">
      <c r="C17" s="6"/>
      <c r="D17" s="6">
        <v>28000</v>
      </c>
      <c r="E17" s="6" t="s">
        <v>319</v>
      </c>
      <c r="F17" s="6">
        <v>1</v>
      </c>
      <c r="G17" s="6" t="s">
        <v>41</v>
      </c>
      <c r="H17" s="6">
        <v>50</v>
      </c>
      <c r="I17" s="6" t="s">
        <v>43</v>
      </c>
      <c r="J17" s="6">
        <v>3</v>
      </c>
      <c r="K17" s="6">
        <f>_xlfn.XLOOKUP(E17,道具表!$B:$B,道具表!$E:$E)</f>
        <v>25000</v>
      </c>
      <c r="L17" s="6">
        <f>_xlfn.XLOOKUP(G17,道具表!$B:$B,道具表!$E:$E)</f>
        <v>100</v>
      </c>
      <c r="M17" s="6">
        <f>_xlfn.XLOOKUP(I17,道具表!$B:$B,道具表!$E:$E)</f>
        <v>500</v>
      </c>
      <c r="N17" s="6">
        <f t="shared" ref="N17:N24" si="4">K17*F17+L17*H17+M17*J17</f>
        <v>31500</v>
      </c>
      <c r="O17" s="19"/>
      <c r="P17">
        <f>D17-H16-D16</f>
        <v>9980</v>
      </c>
      <c r="S17" s="60">
        <v>7</v>
      </c>
      <c r="T17" s="60">
        <v>30</v>
      </c>
      <c r="U17" s="60">
        <v>100</v>
      </c>
      <c r="V17" s="60" t="s">
        <v>996</v>
      </c>
      <c r="W17" s="60" t="s">
        <v>999</v>
      </c>
      <c r="X17" s="61">
        <f t="shared" si="2"/>
        <v>3000</v>
      </c>
      <c r="Y17" s="61">
        <v>70</v>
      </c>
      <c r="Z17" s="61">
        <f t="shared" si="3"/>
        <v>42.8571428571429</v>
      </c>
    </row>
    <row r="18" spans="3:26">
      <c r="C18" s="6" t="s">
        <v>947</v>
      </c>
      <c r="D18" s="6" t="s">
        <v>378</v>
      </c>
      <c r="E18" s="6" t="s">
        <v>815</v>
      </c>
      <c r="F18" s="6" t="s">
        <v>942</v>
      </c>
      <c r="G18" s="6" t="s">
        <v>816</v>
      </c>
      <c r="H18" s="6" t="s">
        <v>943</v>
      </c>
      <c r="I18" s="6" t="s">
        <v>339</v>
      </c>
      <c r="J18" s="6" t="s">
        <v>340</v>
      </c>
      <c r="K18" s="6" t="s">
        <v>339</v>
      </c>
      <c r="L18" s="6" t="s">
        <v>340</v>
      </c>
      <c r="M18" s="6" t="s">
        <v>341</v>
      </c>
      <c r="N18" s="6" t="s">
        <v>341</v>
      </c>
      <c r="O18" s="19" t="s">
        <v>948</v>
      </c>
      <c r="P18">
        <f>SUM(P19:P24)</f>
        <v>25480</v>
      </c>
      <c r="S18" s="60">
        <v>8</v>
      </c>
      <c r="T18" s="60">
        <v>30</v>
      </c>
      <c r="U18" s="60">
        <v>200</v>
      </c>
      <c r="V18" s="60" t="s">
        <v>996</v>
      </c>
      <c r="W18" s="60" t="s">
        <v>1000</v>
      </c>
      <c r="X18" s="61">
        <f t="shared" si="2"/>
        <v>6000</v>
      </c>
      <c r="Y18" s="61">
        <v>90</v>
      </c>
      <c r="Z18" s="61">
        <f t="shared" si="3"/>
        <v>66.6666666666667</v>
      </c>
    </row>
    <row r="19" spans="3:26">
      <c r="C19" s="6"/>
      <c r="D19" s="6">
        <v>1000</v>
      </c>
      <c r="E19" s="6" t="s">
        <v>6</v>
      </c>
      <c r="F19" s="6">
        <v>200</v>
      </c>
      <c r="G19" s="6" t="s">
        <v>46</v>
      </c>
      <c r="H19" s="6">
        <v>1000</v>
      </c>
      <c r="I19" s="6" t="s">
        <v>66</v>
      </c>
      <c r="J19" s="6">
        <v>5</v>
      </c>
      <c r="K19" s="6">
        <f>_xlfn.XLOOKUP(E19,道具表!$B:$B,道具表!$E:$E)</f>
        <v>1</v>
      </c>
      <c r="L19" s="6">
        <f>_xlfn.XLOOKUP(G19,道具表!$B:$B,道具表!$E:$E)</f>
        <v>0.5</v>
      </c>
      <c r="M19" s="6">
        <f>_xlfn.XLOOKUP(I19,道具表!$B:$B,道具表!$E:$E)</f>
        <v>0</v>
      </c>
      <c r="N19" s="6">
        <f t="shared" si="4"/>
        <v>700</v>
      </c>
      <c r="O19" s="19"/>
      <c r="P19">
        <f>D19</f>
        <v>1000</v>
      </c>
      <c r="S19" s="60">
        <v>9</v>
      </c>
      <c r="T19" s="60">
        <v>30</v>
      </c>
      <c r="U19" s="60">
        <v>300</v>
      </c>
      <c r="V19" s="60" t="s">
        <v>996</v>
      </c>
      <c r="W19" s="60" t="s">
        <v>1001</v>
      </c>
      <c r="X19" s="61">
        <f t="shared" si="2"/>
        <v>9000</v>
      </c>
      <c r="Y19" s="61">
        <v>120</v>
      </c>
      <c r="Z19" s="61">
        <f t="shared" si="3"/>
        <v>75</v>
      </c>
    </row>
    <row r="20" spans="3:26">
      <c r="C20" s="6"/>
      <c r="D20" s="6">
        <v>2500</v>
      </c>
      <c r="E20" s="6" t="s">
        <v>6</v>
      </c>
      <c r="F20" s="6">
        <v>500</v>
      </c>
      <c r="G20" s="6" t="s">
        <v>42</v>
      </c>
      <c r="H20" s="6">
        <v>20</v>
      </c>
      <c r="I20" s="6" t="s">
        <v>66</v>
      </c>
      <c r="J20" s="6">
        <v>10</v>
      </c>
      <c r="K20" s="6">
        <f>_xlfn.XLOOKUP(E20,道具表!$B:$B,道具表!$E:$E)</f>
        <v>1</v>
      </c>
      <c r="L20" s="6">
        <f>_xlfn.XLOOKUP(G20,道具表!$B:$B,道具表!$E:$E)</f>
        <v>40</v>
      </c>
      <c r="M20" s="6">
        <f>_xlfn.XLOOKUP(I20,道具表!$B:$B,道具表!$E:$E)</f>
        <v>0</v>
      </c>
      <c r="N20" s="6">
        <f t="shared" si="4"/>
        <v>1300</v>
      </c>
      <c r="O20" s="19"/>
      <c r="P20">
        <f t="shared" ref="P15:P23" si="5">D20-F19-D19</f>
        <v>1300</v>
      </c>
      <c r="S20" s="60">
        <v>10</v>
      </c>
      <c r="T20" s="60">
        <v>30</v>
      </c>
      <c r="U20" s="60">
        <v>400</v>
      </c>
      <c r="V20" s="60" t="s">
        <v>996</v>
      </c>
      <c r="W20" s="60"/>
      <c r="X20" s="61">
        <f t="shared" si="2"/>
        <v>12000</v>
      </c>
      <c r="Y20" s="61"/>
      <c r="Z20" s="61" t="e">
        <f t="shared" si="3"/>
        <v>#DIV/0!</v>
      </c>
    </row>
    <row r="21" spans="3:16">
      <c r="C21" s="6"/>
      <c r="D21" s="6">
        <v>5000</v>
      </c>
      <c r="E21" s="6" t="s">
        <v>6</v>
      </c>
      <c r="F21" s="6">
        <v>800</v>
      </c>
      <c r="G21" s="6" t="s">
        <v>46</v>
      </c>
      <c r="H21" s="6">
        <v>3000</v>
      </c>
      <c r="I21" s="6" t="s">
        <v>66</v>
      </c>
      <c r="J21" s="6">
        <v>15</v>
      </c>
      <c r="K21" s="6">
        <f>_xlfn.XLOOKUP(E21,道具表!$B:$B,道具表!$E:$E)</f>
        <v>1</v>
      </c>
      <c r="L21" s="6">
        <f>_xlfn.XLOOKUP(G21,道具表!$B:$B,道具表!$E:$E)</f>
        <v>0.5</v>
      </c>
      <c r="M21" s="6">
        <f>_xlfn.XLOOKUP(I21,道具表!$B:$B,道具表!$E:$E)</f>
        <v>0</v>
      </c>
      <c r="N21" s="6">
        <f t="shared" si="4"/>
        <v>2300</v>
      </c>
      <c r="O21" s="19"/>
      <c r="P21">
        <f t="shared" si="5"/>
        <v>2000</v>
      </c>
    </row>
    <row r="22" spans="3:16">
      <c r="C22" s="6"/>
      <c r="D22" s="6">
        <v>10000</v>
      </c>
      <c r="E22" s="6" t="s">
        <v>6</v>
      </c>
      <c r="F22" s="6">
        <v>1000</v>
      </c>
      <c r="G22" s="6" t="s">
        <v>42</v>
      </c>
      <c r="H22" s="6">
        <v>40</v>
      </c>
      <c r="I22" s="6" t="s">
        <v>66</v>
      </c>
      <c r="J22" s="6">
        <v>30</v>
      </c>
      <c r="K22" s="6">
        <f>_xlfn.XLOOKUP(E22,道具表!$B:$B,道具表!$E:$E)</f>
        <v>1</v>
      </c>
      <c r="L22" s="6">
        <f>_xlfn.XLOOKUP(G22,道具表!$B:$B,道具表!$E:$E)</f>
        <v>40</v>
      </c>
      <c r="M22" s="6">
        <f>_xlfn.XLOOKUP(I22,道具表!$B:$B,道具表!$E:$E)</f>
        <v>0</v>
      </c>
      <c r="N22" s="6">
        <f t="shared" si="4"/>
        <v>2600</v>
      </c>
      <c r="O22" s="19"/>
      <c r="P22">
        <f t="shared" si="5"/>
        <v>4200</v>
      </c>
    </row>
    <row r="23" spans="3:16">
      <c r="C23" s="6"/>
      <c r="D23" s="6">
        <v>18000</v>
      </c>
      <c r="E23" s="6" t="s">
        <v>320</v>
      </c>
      <c r="F23" s="6">
        <v>1</v>
      </c>
      <c r="G23" s="6" t="s">
        <v>67</v>
      </c>
      <c r="H23" s="6">
        <v>20</v>
      </c>
      <c r="I23" s="6" t="s">
        <v>6</v>
      </c>
      <c r="J23" s="6">
        <v>500</v>
      </c>
      <c r="K23" s="6">
        <f>_xlfn.XLOOKUP(E23,道具表!$B:$B,道具表!$E:$E)</f>
        <v>10000</v>
      </c>
      <c r="L23" s="6">
        <f>_xlfn.XLOOKUP(G23,道具表!$B:$B,道具表!$E:$E)</f>
        <v>50</v>
      </c>
      <c r="M23" s="6">
        <f>_xlfn.XLOOKUP(I23,道具表!$B:$B,道具表!$E:$E)</f>
        <v>1</v>
      </c>
      <c r="N23" s="6">
        <f t="shared" si="4"/>
        <v>11500</v>
      </c>
      <c r="O23" s="19"/>
      <c r="P23">
        <f t="shared" si="5"/>
        <v>7000</v>
      </c>
    </row>
    <row r="24" spans="3:16">
      <c r="C24" s="6"/>
      <c r="D24" s="6">
        <v>28000</v>
      </c>
      <c r="E24" s="6" t="s">
        <v>319</v>
      </c>
      <c r="F24" s="6">
        <v>1</v>
      </c>
      <c r="G24" s="6" t="s">
        <v>41</v>
      </c>
      <c r="H24" s="6">
        <v>50</v>
      </c>
      <c r="I24" s="6" t="s">
        <v>43</v>
      </c>
      <c r="J24" s="6">
        <v>3</v>
      </c>
      <c r="K24" s="6">
        <f>_xlfn.XLOOKUP(E24,道具表!$B:$B,道具表!$E:$E)</f>
        <v>25000</v>
      </c>
      <c r="L24" s="6">
        <f>_xlfn.XLOOKUP(G24,道具表!$B:$B,道具表!$E:$E)</f>
        <v>100</v>
      </c>
      <c r="M24" s="6">
        <f>_xlfn.XLOOKUP(I24,道具表!$B:$B,道具表!$E:$E)</f>
        <v>500</v>
      </c>
      <c r="N24" s="6">
        <f t="shared" si="4"/>
        <v>31500</v>
      </c>
      <c r="O24" s="19"/>
      <c r="P24">
        <f>D24-H23-D23</f>
        <v>9980</v>
      </c>
    </row>
    <row r="25" spans="3:16">
      <c r="C25" s="56" t="s">
        <v>949</v>
      </c>
      <c r="D25" s="6" t="s">
        <v>378</v>
      </c>
      <c r="E25" s="6" t="s">
        <v>815</v>
      </c>
      <c r="F25" s="6" t="s">
        <v>942</v>
      </c>
      <c r="G25" s="6" t="s">
        <v>816</v>
      </c>
      <c r="H25" s="6" t="s">
        <v>943</v>
      </c>
      <c r="I25" s="6" t="s">
        <v>339</v>
      </c>
      <c r="J25" s="6" t="s">
        <v>340</v>
      </c>
      <c r="K25" s="6" t="s">
        <v>339</v>
      </c>
      <c r="L25" s="6" t="s">
        <v>340</v>
      </c>
      <c r="M25" s="6" t="s">
        <v>341</v>
      </c>
      <c r="N25" s="6" t="s">
        <v>341</v>
      </c>
      <c r="O25" s="19" t="s">
        <v>950</v>
      </c>
      <c r="P25">
        <f>SUM(P26:P31)</f>
        <v>25480</v>
      </c>
    </row>
    <row r="26" spans="3:16">
      <c r="C26" s="57"/>
      <c r="D26" s="6">
        <v>1000</v>
      </c>
      <c r="E26" s="6" t="s">
        <v>6</v>
      </c>
      <c r="F26" s="6">
        <v>200</v>
      </c>
      <c r="G26" s="6" t="s">
        <v>46</v>
      </c>
      <c r="H26" s="6">
        <v>1000</v>
      </c>
      <c r="I26" s="6" t="s">
        <v>66</v>
      </c>
      <c r="J26" s="6">
        <v>5</v>
      </c>
      <c r="K26" s="6">
        <f>_xlfn.XLOOKUP(E26,道具表!$B:$B,道具表!$E:$E)</f>
        <v>1</v>
      </c>
      <c r="L26" s="6">
        <f>_xlfn.XLOOKUP(G26,道具表!$B:$B,道具表!$E:$E)</f>
        <v>0.5</v>
      </c>
      <c r="M26" s="6">
        <f>_xlfn.XLOOKUP(I26,道具表!$B:$B,道具表!$E:$E)</f>
        <v>0</v>
      </c>
      <c r="N26" s="6">
        <f t="shared" ref="N26:N31" si="6">K26*F26+L26*H26+M26*J26</f>
        <v>700</v>
      </c>
      <c r="O26" s="19"/>
      <c r="P26">
        <f>D26</f>
        <v>1000</v>
      </c>
    </row>
    <row r="27" spans="3:16">
      <c r="C27" s="57"/>
      <c r="D27" s="6">
        <v>2500</v>
      </c>
      <c r="E27" s="6" t="s">
        <v>6</v>
      </c>
      <c r="F27" s="6">
        <v>500</v>
      </c>
      <c r="G27" s="6" t="s">
        <v>42</v>
      </c>
      <c r="H27" s="6">
        <v>20</v>
      </c>
      <c r="I27" s="6" t="s">
        <v>66</v>
      </c>
      <c r="J27" s="6">
        <v>10</v>
      </c>
      <c r="K27" s="6">
        <f>_xlfn.XLOOKUP(E27,道具表!$B:$B,道具表!$E:$E)</f>
        <v>1</v>
      </c>
      <c r="L27" s="6">
        <f>_xlfn.XLOOKUP(G27,道具表!$B:$B,道具表!$E:$E)</f>
        <v>40</v>
      </c>
      <c r="M27" s="6">
        <f>_xlfn.XLOOKUP(I27,道具表!$B:$B,道具表!$E:$E)</f>
        <v>0</v>
      </c>
      <c r="N27" s="6">
        <f t="shared" si="6"/>
        <v>1300</v>
      </c>
      <c r="O27" s="19"/>
      <c r="P27">
        <f t="shared" ref="P27:P31" si="7">D27-F26-D26</f>
        <v>1300</v>
      </c>
    </row>
    <row r="28" spans="3:16">
      <c r="C28" s="57"/>
      <c r="D28" s="6">
        <v>5000</v>
      </c>
      <c r="E28" s="6" t="s">
        <v>6</v>
      </c>
      <c r="F28" s="6">
        <v>800</v>
      </c>
      <c r="G28" s="6" t="s">
        <v>46</v>
      </c>
      <c r="H28" s="6">
        <v>3000</v>
      </c>
      <c r="I28" s="6" t="s">
        <v>66</v>
      </c>
      <c r="J28" s="6">
        <v>15</v>
      </c>
      <c r="K28" s="6">
        <f>_xlfn.XLOOKUP(E28,道具表!$B:$B,道具表!$E:$E)</f>
        <v>1</v>
      </c>
      <c r="L28" s="6">
        <f>_xlfn.XLOOKUP(G28,道具表!$B:$B,道具表!$E:$E)</f>
        <v>0.5</v>
      </c>
      <c r="M28" s="6">
        <f>_xlfn.XLOOKUP(I28,道具表!$B:$B,道具表!$E:$E)</f>
        <v>0</v>
      </c>
      <c r="N28" s="6">
        <f t="shared" si="6"/>
        <v>2300</v>
      </c>
      <c r="O28" s="19"/>
      <c r="P28">
        <f t="shared" si="7"/>
        <v>2000</v>
      </c>
    </row>
    <row r="29" spans="3:16">
      <c r="C29" s="57"/>
      <c r="D29" s="6">
        <v>10000</v>
      </c>
      <c r="E29" s="6" t="s">
        <v>6</v>
      </c>
      <c r="F29" s="6">
        <v>1000</v>
      </c>
      <c r="G29" s="6" t="s">
        <v>42</v>
      </c>
      <c r="H29" s="6">
        <v>40</v>
      </c>
      <c r="I29" s="6" t="s">
        <v>66</v>
      </c>
      <c r="J29" s="6">
        <v>30</v>
      </c>
      <c r="K29" s="6">
        <f>_xlfn.XLOOKUP(E29,道具表!$B:$B,道具表!$E:$E)</f>
        <v>1</v>
      </c>
      <c r="L29" s="6">
        <f>_xlfn.XLOOKUP(G29,道具表!$B:$B,道具表!$E:$E)</f>
        <v>40</v>
      </c>
      <c r="M29" s="6">
        <f>_xlfn.XLOOKUP(I29,道具表!$B:$B,道具表!$E:$E)</f>
        <v>0</v>
      </c>
      <c r="N29" s="6">
        <f t="shared" si="6"/>
        <v>2600</v>
      </c>
      <c r="O29" s="19"/>
      <c r="P29">
        <f t="shared" si="7"/>
        <v>4200</v>
      </c>
    </row>
    <row r="30" spans="3:16">
      <c r="C30" s="57"/>
      <c r="D30" s="6">
        <v>18000</v>
      </c>
      <c r="E30" s="6" t="s">
        <v>320</v>
      </c>
      <c r="F30" s="6">
        <v>1</v>
      </c>
      <c r="G30" s="6" t="s">
        <v>67</v>
      </c>
      <c r="H30" s="6">
        <v>20</v>
      </c>
      <c r="I30" s="6" t="s">
        <v>6</v>
      </c>
      <c r="J30" s="6">
        <v>500</v>
      </c>
      <c r="K30" s="6">
        <f>_xlfn.XLOOKUP(E30,道具表!$B:$B,道具表!$E:$E)</f>
        <v>10000</v>
      </c>
      <c r="L30" s="6">
        <f>_xlfn.XLOOKUP(G30,道具表!$B:$B,道具表!$E:$E)</f>
        <v>50</v>
      </c>
      <c r="M30" s="6">
        <f>_xlfn.XLOOKUP(I30,道具表!$B:$B,道具表!$E:$E)</f>
        <v>1</v>
      </c>
      <c r="N30" s="6">
        <f t="shared" si="6"/>
        <v>11500</v>
      </c>
      <c r="O30" s="19"/>
      <c r="P30">
        <f>D30-F29-D29</f>
        <v>7000</v>
      </c>
    </row>
    <row r="31" spans="3:16">
      <c r="C31" s="58"/>
      <c r="D31" s="6">
        <v>28000</v>
      </c>
      <c r="E31" s="6" t="s">
        <v>319</v>
      </c>
      <c r="F31" s="6">
        <v>1</v>
      </c>
      <c r="G31" s="6" t="s">
        <v>41</v>
      </c>
      <c r="H31" s="6">
        <v>50</v>
      </c>
      <c r="I31" s="6" t="s">
        <v>43</v>
      </c>
      <c r="J31" s="6">
        <v>3</v>
      </c>
      <c r="K31" s="6">
        <f>_xlfn.XLOOKUP(E31,道具表!$B:$B,道具表!$E:$E)</f>
        <v>25000</v>
      </c>
      <c r="L31" s="6">
        <f>_xlfn.XLOOKUP(G31,道具表!$B:$B,道具表!$E:$E)</f>
        <v>100</v>
      </c>
      <c r="M31" s="6">
        <f>_xlfn.XLOOKUP(I31,道具表!$B:$B,道具表!$E:$E)</f>
        <v>500</v>
      </c>
      <c r="N31" s="6">
        <f t="shared" si="6"/>
        <v>31500</v>
      </c>
      <c r="O31" s="19"/>
      <c r="P31">
        <f>D31-H30-D30</f>
        <v>9980</v>
      </c>
    </row>
    <row r="34" spans="3:16">
      <c r="C34" s="6" t="s">
        <v>951</v>
      </c>
      <c r="D34" s="6" t="s">
        <v>338</v>
      </c>
      <c r="E34" s="6" t="s">
        <v>952</v>
      </c>
      <c r="F34" s="6" t="s">
        <v>815</v>
      </c>
      <c r="G34" s="6" t="s">
        <v>942</v>
      </c>
      <c r="H34" s="6" t="s">
        <v>816</v>
      </c>
      <c r="I34" s="6" t="s">
        <v>943</v>
      </c>
      <c r="J34" s="6" t="s">
        <v>817</v>
      </c>
      <c r="K34" s="6" t="s">
        <v>965</v>
      </c>
      <c r="L34" s="6" t="s">
        <v>903</v>
      </c>
      <c r="M34" s="6" t="s">
        <v>966</v>
      </c>
      <c r="N34" s="6" t="s">
        <v>341</v>
      </c>
      <c r="O34" s="6" t="s">
        <v>895</v>
      </c>
      <c r="P34" s="6" t="s">
        <v>342</v>
      </c>
    </row>
    <row r="35" spans="3:16">
      <c r="C35" s="6"/>
      <c r="D35" s="6" t="s">
        <v>953</v>
      </c>
      <c r="E35" s="6">
        <v>1</v>
      </c>
      <c r="F35" s="6" t="s">
        <v>6</v>
      </c>
      <c r="G35" s="6">
        <v>200</v>
      </c>
      <c r="H35" s="6"/>
      <c r="I35" s="6"/>
      <c r="J35" s="6"/>
      <c r="K35" s="6"/>
      <c r="L35" s="6"/>
      <c r="M35" s="6"/>
      <c r="N35" s="6">
        <f>G35+I35+K35+M35</f>
        <v>200</v>
      </c>
      <c r="O35" s="11"/>
      <c r="P35" s="6"/>
    </row>
    <row r="36" spans="3:16">
      <c r="C36" s="6"/>
      <c r="D36" s="6">
        <v>30</v>
      </c>
      <c r="E36" s="6">
        <v>1</v>
      </c>
      <c r="F36" s="6" t="s">
        <v>6</v>
      </c>
      <c r="G36" s="6">
        <v>300</v>
      </c>
      <c r="H36" s="6" t="s">
        <v>6</v>
      </c>
      <c r="I36" s="6">
        <v>300</v>
      </c>
      <c r="J36" s="6" t="s">
        <v>6</v>
      </c>
      <c r="K36" s="6">
        <v>250</v>
      </c>
      <c r="L36" s="6" t="s">
        <v>6</v>
      </c>
      <c r="M36" s="6">
        <v>150</v>
      </c>
      <c r="N36" s="6">
        <f>G36+I36+K36+M36</f>
        <v>1000</v>
      </c>
      <c r="O36" s="11">
        <f t="shared" ref="O36:O41" si="8">N36/(D36*10)</f>
        <v>3.33333333333333</v>
      </c>
      <c r="P36" s="59">
        <f>10/O36</f>
        <v>3</v>
      </c>
    </row>
    <row r="37" spans="3:16">
      <c r="C37" s="6"/>
      <c r="D37" s="6">
        <v>68</v>
      </c>
      <c r="E37" s="6">
        <v>1</v>
      </c>
      <c r="F37" s="6" t="s">
        <v>6</v>
      </c>
      <c r="G37" s="6">
        <v>680</v>
      </c>
      <c r="H37" s="6" t="s">
        <v>6</v>
      </c>
      <c r="I37" s="6">
        <v>550</v>
      </c>
      <c r="J37" s="6" t="s">
        <v>6</v>
      </c>
      <c r="K37" s="6">
        <v>500</v>
      </c>
      <c r="L37" s="6" t="s">
        <v>6</v>
      </c>
      <c r="M37" s="6">
        <v>300</v>
      </c>
      <c r="N37" s="6">
        <f t="shared" ref="N36:N41" si="9">G37+I37+K37+M37</f>
        <v>2030</v>
      </c>
      <c r="O37" s="11">
        <f t="shared" si="8"/>
        <v>2.98529411764706</v>
      </c>
      <c r="P37" s="59">
        <f t="shared" ref="P36:P41" si="10">10/O37</f>
        <v>3.34975369458128</v>
      </c>
    </row>
    <row r="38" spans="3:16">
      <c r="C38" s="6"/>
      <c r="D38" s="6">
        <v>128</v>
      </c>
      <c r="E38" s="6">
        <v>2</v>
      </c>
      <c r="F38" s="6" t="s">
        <v>6</v>
      </c>
      <c r="G38" s="6">
        <v>1280</v>
      </c>
      <c r="H38" s="6" t="s">
        <v>6</v>
      </c>
      <c r="I38" s="6">
        <v>1000</v>
      </c>
      <c r="J38" s="6" t="s">
        <v>6</v>
      </c>
      <c r="K38" s="6">
        <v>900</v>
      </c>
      <c r="L38" s="6" t="s">
        <v>6</v>
      </c>
      <c r="M38" s="6">
        <v>800</v>
      </c>
      <c r="N38" s="6">
        <f t="shared" si="9"/>
        <v>3980</v>
      </c>
      <c r="O38" s="11">
        <f t="shared" si="8"/>
        <v>3.109375</v>
      </c>
      <c r="P38" s="59">
        <f t="shared" si="10"/>
        <v>3.21608040201005</v>
      </c>
    </row>
    <row r="39" spans="3:16">
      <c r="C39" s="6"/>
      <c r="D39" s="6">
        <v>198</v>
      </c>
      <c r="E39" s="6">
        <v>2</v>
      </c>
      <c r="F39" s="6" t="s">
        <v>6</v>
      </c>
      <c r="G39" s="6">
        <v>1980</v>
      </c>
      <c r="H39" s="6" t="s">
        <v>6</v>
      </c>
      <c r="I39" s="6">
        <v>1800</v>
      </c>
      <c r="J39" s="6" t="s">
        <v>6</v>
      </c>
      <c r="K39" s="6">
        <v>1500</v>
      </c>
      <c r="L39" s="6" t="s">
        <v>6</v>
      </c>
      <c r="M39" s="6">
        <v>1000</v>
      </c>
      <c r="N39" s="6">
        <f t="shared" si="9"/>
        <v>6280</v>
      </c>
      <c r="O39" s="11">
        <f t="shared" si="8"/>
        <v>3.17171717171717</v>
      </c>
      <c r="P39" s="59">
        <f t="shared" si="10"/>
        <v>3.15286624203822</v>
      </c>
    </row>
    <row r="40" spans="3:16">
      <c r="C40" s="6"/>
      <c r="D40" s="6">
        <v>328</v>
      </c>
      <c r="E40" s="6">
        <v>5</v>
      </c>
      <c r="F40" s="6" t="s">
        <v>6</v>
      </c>
      <c r="G40" s="6">
        <v>3280</v>
      </c>
      <c r="H40" s="6" t="s">
        <v>6</v>
      </c>
      <c r="I40" s="6">
        <v>3000</v>
      </c>
      <c r="J40" s="6" t="s">
        <v>6</v>
      </c>
      <c r="K40" s="6">
        <v>2500</v>
      </c>
      <c r="L40" s="6" t="s">
        <v>6</v>
      </c>
      <c r="M40" s="6">
        <v>2000</v>
      </c>
      <c r="N40" s="6">
        <f t="shared" si="9"/>
        <v>10780</v>
      </c>
      <c r="O40" s="11">
        <f t="shared" si="8"/>
        <v>3.28658536585366</v>
      </c>
      <c r="P40" s="59">
        <f t="shared" si="10"/>
        <v>3.04267161410019</v>
      </c>
    </row>
    <row r="41" spans="3:16">
      <c r="C41" s="6"/>
      <c r="D41" s="6">
        <v>648</v>
      </c>
      <c r="E41" s="6">
        <v>5</v>
      </c>
      <c r="F41" s="6" t="s">
        <v>6</v>
      </c>
      <c r="G41" s="6">
        <v>6480</v>
      </c>
      <c r="H41" s="6" t="s">
        <v>6</v>
      </c>
      <c r="I41" s="6">
        <v>6000</v>
      </c>
      <c r="J41" s="6" t="s">
        <v>6</v>
      </c>
      <c r="K41" s="6">
        <v>5000</v>
      </c>
      <c r="L41" s="6" t="s">
        <v>6</v>
      </c>
      <c r="M41" s="6">
        <v>4000</v>
      </c>
      <c r="N41" s="6">
        <f t="shared" si="9"/>
        <v>21480</v>
      </c>
      <c r="O41" s="11">
        <f t="shared" si="8"/>
        <v>3.31481481481481</v>
      </c>
      <c r="P41" s="59">
        <f t="shared" si="10"/>
        <v>3.01675977653631</v>
      </c>
    </row>
    <row r="48" spans="3:17">
      <c r="C48" s="6" t="s">
        <v>941</v>
      </c>
      <c r="D48" s="6" t="str">
        <f>D5</f>
        <v>积分</v>
      </c>
      <c r="E48" s="6" t="s">
        <v>815</v>
      </c>
      <c r="F48" s="6" t="str">
        <f t="shared" ref="F48:J48" si="11">F5</f>
        <v>数量1</v>
      </c>
      <c r="G48" s="6" t="s">
        <v>816</v>
      </c>
      <c r="H48" s="6" t="str">
        <f t="shared" si="11"/>
        <v>数量2</v>
      </c>
      <c r="I48" s="6" t="s">
        <v>817</v>
      </c>
      <c r="J48" s="6" t="str">
        <f>J5</f>
        <v>数量3</v>
      </c>
      <c r="K48" s="6" t="s">
        <v>903</v>
      </c>
      <c r="L48" s="6" t="s">
        <v>966</v>
      </c>
      <c r="M48" s="54" t="s">
        <v>327</v>
      </c>
      <c r="N48" s="6"/>
      <c r="O48" s="6"/>
      <c r="P48" s="6"/>
      <c r="Q48" s="6"/>
    </row>
    <row r="49" spans="3:17">
      <c r="C49" s="6"/>
      <c r="D49" s="6">
        <f t="shared" ref="D49:D75" si="12">D6</f>
        <v>1000</v>
      </c>
      <c r="E49" s="6" t="str">
        <f>_xlfn.XLOOKUP(E6,道具表!$B:$B,道具表!$C:$C)&amp;"|"&amp;_xlfn.XLOOKUP(E6,道具表!$B:$B,道具表!$A:$A)&amp;"|"</f>
        <v>1|2|</v>
      </c>
      <c r="F49" s="6">
        <f t="shared" ref="F49:F58" si="13">F6</f>
        <v>200</v>
      </c>
      <c r="G49" s="6" t="str">
        <f>_xlfn.XLOOKUP(G6,道具表!$B:$B,道具表!$C:$C)&amp;"|"&amp;_xlfn.XLOOKUP(G6,道具表!$B:$B,道具表!$A:$A)&amp;"|"</f>
        <v>1|10006|</v>
      </c>
      <c r="H49" s="6">
        <f t="shared" ref="H49:H74" si="14">H6</f>
        <v>1000</v>
      </c>
      <c r="I49" s="6" t="str">
        <f>_xlfn.XLOOKUP(I6,道具表!$B:$B,道具表!$C:$C)&amp;"|"&amp;_xlfn.XLOOKUP(I6,道具表!$B:$B,道具表!$A:$A)&amp;"|"</f>
        <v>1|10029|</v>
      </c>
      <c r="J49" s="6">
        <f t="shared" ref="J49:J74" si="15">J6</f>
        <v>5</v>
      </c>
      <c r="K49" s="6"/>
      <c r="L49" s="6"/>
      <c r="M49" s="54" t="str">
        <f>E49&amp;F49&amp;","&amp;G49&amp;H49&amp;","&amp;I49&amp;J49</f>
        <v>1|2|200,1|10006|1000,1|10029|5</v>
      </c>
      <c r="N49" s="6"/>
      <c r="O49" s="6"/>
      <c r="P49" s="6"/>
      <c r="Q49" s="6"/>
    </row>
    <row r="50" spans="3:17">
      <c r="C50" s="6"/>
      <c r="D50" s="6">
        <f t="shared" si="12"/>
        <v>2500</v>
      </c>
      <c r="E50" s="6" t="str">
        <f>_xlfn.XLOOKUP(E7,道具表!$B:$B,道具表!$C:$C)&amp;"|"&amp;_xlfn.XLOOKUP(E7,道具表!$B:$B,道具表!$A:$A)&amp;"|"</f>
        <v>1|2|</v>
      </c>
      <c r="F50" s="6">
        <f t="shared" si="13"/>
        <v>500</v>
      </c>
      <c r="G50" s="6" t="str">
        <f>_xlfn.XLOOKUP(G7,道具表!$B:$B,道具表!$C:$C)&amp;"|"&amp;_xlfn.XLOOKUP(G7,道具表!$B:$B,道具表!$A:$A)&amp;"|"</f>
        <v>1|10002|</v>
      </c>
      <c r="H50" s="6">
        <f t="shared" si="14"/>
        <v>20</v>
      </c>
      <c r="I50" s="6" t="str">
        <f>_xlfn.XLOOKUP(I7,道具表!$B:$B,道具表!$C:$C)&amp;"|"&amp;_xlfn.XLOOKUP(I7,道具表!$B:$B,道具表!$A:$A)&amp;"|"</f>
        <v>1|10029|</v>
      </c>
      <c r="J50" s="6">
        <f t="shared" si="15"/>
        <v>10</v>
      </c>
      <c r="K50" s="6"/>
      <c r="L50" s="6"/>
      <c r="M50" s="54" t="str">
        <f t="shared" ref="M50:M59" si="16">E50&amp;F50&amp;","&amp;G50&amp;H50&amp;","&amp;I50&amp;J50</f>
        <v>1|2|500,1|10002|20,1|10029|10</v>
      </c>
      <c r="N50" s="6"/>
      <c r="O50" s="6"/>
      <c r="P50" s="6"/>
      <c r="Q50" s="6"/>
    </row>
    <row r="51" spans="3:17">
      <c r="C51" s="6"/>
      <c r="D51" s="6">
        <f t="shared" si="12"/>
        <v>5000</v>
      </c>
      <c r="E51" s="6" t="str">
        <f>_xlfn.XLOOKUP(E8,道具表!$B:$B,道具表!$C:$C)&amp;"|"&amp;_xlfn.XLOOKUP(E8,道具表!$B:$B,道具表!$A:$A)&amp;"|"</f>
        <v>1|2|</v>
      </c>
      <c r="F51" s="6">
        <f t="shared" si="13"/>
        <v>800</v>
      </c>
      <c r="G51" s="6" t="str">
        <f>_xlfn.XLOOKUP(G8,道具表!$B:$B,道具表!$C:$C)&amp;"|"&amp;_xlfn.XLOOKUP(G8,道具表!$B:$B,道具表!$A:$A)&amp;"|"</f>
        <v>1|10006|</v>
      </c>
      <c r="H51" s="6">
        <f t="shared" si="14"/>
        <v>3000</v>
      </c>
      <c r="I51" s="6" t="str">
        <f>_xlfn.XLOOKUP(I8,道具表!$B:$B,道具表!$C:$C)&amp;"|"&amp;_xlfn.XLOOKUP(I8,道具表!$B:$B,道具表!$A:$A)&amp;"|"</f>
        <v>1|10029|</v>
      </c>
      <c r="J51" s="6">
        <f t="shared" si="15"/>
        <v>15</v>
      </c>
      <c r="K51" s="6"/>
      <c r="L51" s="6"/>
      <c r="M51" s="54" t="str">
        <f t="shared" si="16"/>
        <v>1|2|800,1|10006|3000,1|10029|15</v>
      </c>
      <c r="N51" s="6"/>
      <c r="O51" s="6"/>
      <c r="P51" s="6"/>
      <c r="Q51" s="6"/>
    </row>
    <row r="52" spans="3:17">
      <c r="C52" s="6"/>
      <c r="D52" s="6">
        <f t="shared" si="12"/>
        <v>10000</v>
      </c>
      <c r="E52" s="6" t="str">
        <f>_xlfn.XLOOKUP(E9,道具表!$B:$B,道具表!$C:$C)&amp;"|"&amp;_xlfn.XLOOKUP(E9,道具表!$B:$B,道具表!$A:$A)&amp;"|"</f>
        <v>1|2|</v>
      </c>
      <c r="F52" s="6">
        <f t="shared" si="13"/>
        <v>1000</v>
      </c>
      <c r="G52" s="6" t="str">
        <f>_xlfn.XLOOKUP(G9,道具表!$B:$B,道具表!$C:$C)&amp;"|"&amp;_xlfn.XLOOKUP(G9,道具表!$B:$B,道具表!$A:$A)&amp;"|"</f>
        <v>1|10002|</v>
      </c>
      <c r="H52" s="6">
        <f t="shared" si="14"/>
        <v>50</v>
      </c>
      <c r="I52" s="6" t="str">
        <f>_xlfn.XLOOKUP(I9,道具表!$B:$B,道具表!$C:$C)&amp;"|"&amp;_xlfn.XLOOKUP(I9,道具表!$B:$B,道具表!$A:$A)&amp;"|"</f>
        <v>1|10029|</v>
      </c>
      <c r="J52" s="6">
        <f t="shared" si="15"/>
        <v>30</v>
      </c>
      <c r="K52" s="6"/>
      <c r="L52" s="6"/>
      <c r="M52" s="54" t="str">
        <f t="shared" si="16"/>
        <v>1|2|1000,1|10002|50,1|10029|30</v>
      </c>
      <c r="N52" s="6"/>
      <c r="O52" s="6"/>
      <c r="P52" s="6"/>
      <c r="Q52" s="6"/>
    </row>
    <row r="53" spans="3:17">
      <c r="C53" s="6"/>
      <c r="D53" s="6">
        <f t="shared" si="12"/>
        <v>18000</v>
      </c>
      <c r="E53" s="6" t="str">
        <f>_xlfn.XLOOKUP(E10,道具表!$B:$B,道具表!$C:$C)&amp;"|"&amp;_xlfn.XLOOKUP(E10,道具表!$B:$B,道具表!$A:$A)&amp;"|"</f>
        <v>16|402|</v>
      </c>
      <c r="F53" s="6">
        <f t="shared" si="13"/>
        <v>1</v>
      </c>
      <c r="G53" s="6" t="str">
        <f>_xlfn.XLOOKUP(G10,道具表!$B:$B,道具表!$C:$C)&amp;"|"&amp;_xlfn.XLOOKUP(G10,道具表!$B:$B,道具表!$A:$A)&amp;"|"</f>
        <v>1|10003|</v>
      </c>
      <c r="H53" s="6">
        <f t="shared" si="14"/>
        <v>2</v>
      </c>
      <c r="I53" s="6" t="str">
        <f>_xlfn.XLOOKUP(I10,道具表!$B:$B,道具表!$C:$C)&amp;"|"&amp;_xlfn.XLOOKUP(I10,道具表!$B:$B,道具表!$A:$A)&amp;"|"</f>
        <v>1|2|</v>
      </c>
      <c r="J53" s="6">
        <f t="shared" si="15"/>
        <v>500</v>
      </c>
      <c r="K53" s="6"/>
      <c r="L53" s="6"/>
      <c r="M53" s="54" t="str">
        <f t="shared" si="16"/>
        <v>16|402|1,1|10003|2,1|2|500</v>
      </c>
      <c r="N53" s="6"/>
      <c r="O53" s="6"/>
      <c r="P53" s="6"/>
      <c r="Q53" s="6"/>
    </row>
    <row r="54" spans="3:17">
      <c r="C54" s="6" t="s">
        <v>941</v>
      </c>
      <c r="D54" s="6" t="str">
        <f t="shared" si="12"/>
        <v>积分</v>
      </c>
      <c r="E54" s="6" t="s">
        <v>815</v>
      </c>
      <c r="F54" s="6" t="str">
        <f t="shared" si="13"/>
        <v>数量1</v>
      </c>
      <c r="G54" s="6" t="s">
        <v>816</v>
      </c>
      <c r="H54" s="6" t="str">
        <f t="shared" si="14"/>
        <v>数量2</v>
      </c>
      <c r="I54" s="6" t="s">
        <v>816</v>
      </c>
      <c r="J54" s="6" t="str">
        <f t="shared" si="15"/>
        <v>单价2</v>
      </c>
      <c r="K54" s="6" t="s">
        <v>903</v>
      </c>
      <c r="L54" s="6" t="s">
        <v>966</v>
      </c>
      <c r="M54" s="54" t="s">
        <v>339</v>
      </c>
      <c r="N54" s="6"/>
      <c r="O54" s="6"/>
      <c r="P54" s="6"/>
      <c r="Q54" s="6"/>
    </row>
    <row r="55" spans="3:17">
      <c r="C55" s="6"/>
      <c r="D55" s="6">
        <f t="shared" si="12"/>
        <v>1000</v>
      </c>
      <c r="E55" s="6" t="str">
        <f>_xlfn.XLOOKUP(E12,道具表!$B:$B,道具表!$C:$C)&amp;"|"&amp;_xlfn.XLOOKUP(E12,道具表!$B:$B,道具表!$A:$A)&amp;"|"</f>
        <v>1|2|</v>
      </c>
      <c r="F55" s="6">
        <f t="shared" si="13"/>
        <v>200</v>
      </c>
      <c r="G55" s="6" t="str">
        <f>_xlfn.XLOOKUP(G12,道具表!$B:$B,道具表!$C:$C)&amp;"|"&amp;_xlfn.XLOOKUP(G12,道具表!$B:$B,道具表!$A:$A)&amp;"|"</f>
        <v>1|10006|</v>
      </c>
      <c r="H55" s="6">
        <f t="shared" si="14"/>
        <v>1000</v>
      </c>
      <c r="I55" s="6" t="str">
        <f>_xlfn.XLOOKUP(I12,道具表!$B:$B,道具表!$C:$C)&amp;"|"&amp;_xlfn.XLOOKUP(I12,道具表!$B:$B,道具表!$A:$A)&amp;"|"</f>
        <v>1|10029|</v>
      </c>
      <c r="J55" s="6">
        <f t="shared" si="15"/>
        <v>5</v>
      </c>
      <c r="K55" s="6"/>
      <c r="L55" s="6"/>
      <c r="M55" s="54" t="str">
        <f t="shared" si="16"/>
        <v>1|2|200,1|10006|1000,1|10029|5</v>
      </c>
      <c r="N55" s="6"/>
      <c r="O55" s="6"/>
      <c r="P55" s="6"/>
      <c r="Q55" s="6"/>
    </row>
    <row r="56" spans="3:17">
      <c r="C56" s="6"/>
      <c r="D56" s="6">
        <f t="shared" si="12"/>
        <v>2500</v>
      </c>
      <c r="E56" s="6" t="str">
        <f>_xlfn.XLOOKUP(E13,道具表!$B:$B,道具表!$C:$C)&amp;"|"&amp;_xlfn.XLOOKUP(E13,道具表!$B:$B,道具表!$A:$A)&amp;"|"</f>
        <v>1|2|</v>
      </c>
      <c r="F56" s="6">
        <f t="shared" si="13"/>
        <v>500</v>
      </c>
      <c r="G56" s="6" t="str">
        <f>_xlfn.XLOOKUP(G13,道具表!$B:$B,道具表!$C:$C)&amp;"|"&amp;_xlfn.XLOOKUP(G13,道具表!$B:$B,道具表!$A:$A)&amp;"|"</f>
        <v>1|10002|</v>
      </c>
      <c r="H56" s="6">
        <f t="shared" si="14"/>
        <v>20</v>
      </c>
      <c r="I56" s="6" t="str">
        <f>_xlfn.XLOOKUP(I13,道具表!$B:$B,道具表!$C:$C)&amp;"|"&amp;_xlfn.XLOOKUP(I13,道具表!$B:$B,道具表!$A:$A)&amp;"|"</f>
        <v>1|10029|</v>
      </c>
      <c r="J56" s="6">
        <f t="shared" si="15"/>
        <v>10</v>
      </c>
      <c r="K56" s="6"/>
      <c r="L56" s="6"/>
      <c r="M56" s="54" t="str">
        <f t="shared" si="16"/>
        <v>1|2|500,1|10002|20,1|10029|10</v>
      </c>
      <c r="N56" s="6"/>
      <c r="O56" s="6"/>
      <c r="P56" s="6"/>
      <c r="Q56" s="6"/>
    </row>
    <row r="57" spans="3:17">
      <c r="C57" s="6"/>
      <c r="D57" s="6">
        <f t="shared" si="12"/>
        <v>5000</v>
      </c>
      <c r="E57" s="6" t="str">
        <f>_xlfn.XLOOKUP(E14,道具表!$B:$B,道具表!$C:$C)&amp;"|"&amp;_xlfn.XLOOKUP(E14,道具表!$B:$B,道具表!$A:$A)&amp;"|"</f>
        <v>1|2|</v>
      </c>
      <c r="F57" s="6">
        <f t="shared" si="13"/>
        <v>800</v>
      </c>
      <c r="G57" s="6" t="str">
        <f>_xlfn.XLOOKUP(G14,道具表!$B:$B,道具表!$C:$C)&amp;"|"&amp;_xlfn.XLOOKUP(G14,道具表!$B:$B,道具表!$A:$A)&amp;"|"</f>
        <v>1|10006|</v>
      </c>
      <c r="H57" s="6">
        <f t="shared" si="14"/>
        <v>3000</v>
      </c>
      <c r="I57" s="6" t="str">
        <f>_xlfn.XLOOKUP(I14,道具表!$B:$B,道具表!$C:$C)&amp;"|"&amp;_xlfn.XLOOKUP(I14,道具表!$B:$B,道具表!$A:$A)&amp;"|"</f>
        <v>1|10029|</v>
      </c>
      <c r="J57" s="6">
        <f t="shared" si="15"/>
        <v>15</v>
      </c>
      <c r="K57" s="6"/>
      <c r="L57" s="6"/>
      <c r="M57" s="54" t="str">
        <f t="shared" si="16"/>
        <v>1|2|800,1|10006|3000,1|10029|15</v>
      </c>
      <c r="N57" s="6"/>
      <c r="O57" s="6"/>
      <c r="P57" s="6"/>
      <c r="Q57" s="6"/>
    </row>
    <row r="58" spans="3:17">
      <c r="C58" s="6"/>
      <c r="D58" s="6">
        <f t="shared" si="12"/>
        <v>10000</v>
      </c>
      <c r="E58" s="6" t="str">
        <f>_xlfn.XLOOKUP(E15,道具表!$B:$B,道具表!$C:$C)&amp;"|"&amp;_xlfn.XLOOKUP(E15,道具表!$B:$B,道具表!$A:$A)&amp;"|"</f>
        <v>1|2|</v>
      </c>
      <c r="F58" s="6">
        <f t="shared" si="13"/>
        <v>1000</v>
      </c>
      <c r="G58" s="6" t="str">
        <f>_xlfn.XLOOKUP(G15,道具表!$B:$B,道具表!$C:$C)&amp;"|"&amp;_xlfn.XLOOKUP(G15,道具表!$B:$B,道具表!$A:$A)&amp;"|"</f>
        <v>1|10002|</v>
      </c>
      <c r="H58" s="6">
        <f t="shared" si="14"/>
        <v>40</v>
      </c>
      <c r="I58" s="6" t="str">
        <f>_xlfn.XLOOKUP(I15,道具表!$B:$B,道具表!$C:$C)&amp;"|"&amp;_xlfn.XLOOKUP(I15,道具表!$B:$B,道具表!$A:$A)&amp;"|"</f>
        <v>1|10029|</v>
      </c>
      <c r="J58" s="6">
        <f t="shared" si="15"/>
        <v>30</v>
      </c>
      <c r="K58" s="6"/>
      <c r="L58" s="6"/>
      <c r="M58" s="54" t="str">
        <f t="shared" si="16"/>
        <v>1|2|1000,1|10002|40,1|10029|30</v>
      </c>
      <c r="N58" s="6"/>
      <c r="O58" s="6"/>
      <c r="P58" s="6"/>
      <c r="Q58" s="6"/>
    </row>
    <row r="59" spans="3:17">
      <c r="C59" s="6"/>
      <c r="D59" s="6">
        <f t="shared" si="12"/>
        <v>18000</v>
      </c>
      <c r="E59" s="6" t="str">
        <f>_xlfn.XLOOKUP(E16,道具表!$B:$B,道具表!$C:$C)&amp;"|"&amp;_xlfn.XLOOKUP(E16,道具表!$B:$B,道具表!$A:$A)&amp;"|"</f>
        <v>16|402|</v>
      </c>
      <c r="F59" s="6">
        <f t="shared" ref="F59:F74" si="17">F16</f>
        <v>1</v>
      </c>
      <c r="G59" s="6" t="str">
        <f>_xlfn.XLOOKUP(G16,道具表!$B:$B,道具表!$C:$C)&amp;"|"&amp;_xlfn.XLOOKUP(G16,道具表!$B:$B,道具表!$A:$A)&amp;"|"</f>
        <v>1|10030|</v>
      </c>
      <c r="H59" s="6">
        <f t="shared" si="14"/>
        <v>20</v>
      </c>
      <c r="I59" s="6" t="str">
        <f>_xlfn.XLOOKUP(I16,道具表!$B:$B,道具表!$C:$C)&amp;"|"&amp;_xlfn.XLOOKUP(I16,道具表!$B:$B,道具表!$A:$A)&amp;"|"</f>
        <v>1|2|</v>
      </c>
      <c r="J59" s="6">
        <f t="shared" si="15"/>
        <v>500</v>
      </c>
      <c r="K59" s="6"/>
      <c r="L59" s="6"/>
      <c r="M59" s="54" t="str">
        <f t="shared" si="16"/>
        <v>16|402|1,1|10030|20,1|2|500</v>
      </c>
      <c r="N59" s="6"/>
      <c r="O59" s="6"/>
      <c r="P59" s="6"/>
      <c r="Q59" s="6"/>
    </row>
    <row r="60" spans="3:17">
      <c r="C60" s="6"/>
      <c r="D60" s="6">
        <f t="shared" si="12"/>
        <v>28000</v>
      </c>
      <c r="E60" s="6" t="str">
        <f>_xlfn.XLOOKUP(E17,道具表!$B:$B,道具表!$C:$C)&amp;"|"&amp;_xlfn.XLOOKUP(E17,道具表!$B:$B,道具表!$A:$A)&amp;"|"</f>
        <v>16|401|</v>
      </c>
      <c r="F60" s="6">
        <f t="shared" si="17"/>
        <v>1</v>
      </c>
      <c r="G60" s="6" t="str">
        <f>_xlfn.XLOOKUP(G17,道具表!$B:$B,道具表!$C:$C)&amp;"|"&amp;_xlfn.XLOOKUP(G17,道具表!$B:$B,道具表!$A:$A)&amp;"|"</f>
        <v>1|10001|</v>
      </c>
      <c r="H60" s="6">
        <f t="shared" si="14"/>
        <v>50</v>
      </c>
      <c r="I60" s="6" t="str">
        <f>_xlfn.XLOOKUP(I17,道具表!$B:$B,道具表!$C:$C)&amp;"|"&amp;_xlfn.XLOOKUP(I17,道具表!$B:$B,道具表!$A:$A)&amp;"|"</f>
        <v>1|10003|</v>
      </c>
      <c r="J60" s="6">
        <f t="shared" si="15"/>
        <v>3</v>
      </c>
      <c r="K60" s="6"/>
      <c r="L60" s="6"/>
      <c r="M60" s="54" t="str">
        <f t="shared" ref="M60:M67" si="18">E60&amp;F60&amp;","&amp;G60&amp;H60&amp;","&amp;I60&amp;J60</f>
        <v>16|401|1,1|10001|50,1|10003|3</v>
      </c>
      <c r="N60" s="6"/>
      <c r="O60" s="6"/>
      <c r="P60" s="6"/>
      <c r="Q60" s="6"/>
    </row>
    <row r="61" spans="3:17">
      <c r="C61" s="6" t="s">
        <v>941</v>
      </c>
      <c r="D61" s="6" t="str">
        <f t="shared" si="12"/>
        <v>积分</v>
      </c>
      <c r="E61" s="6" t="s">
        <v>815</v>
      </c>
      <c r="F61" s="6" t="str">
        <f t="shared" si="17"/>
        <v>数量1</v>
      </c>
      <c r="G61" s="6" t="s">
        <v>816</v>
      </c>
      <c r="H61" s="6" t="str">
        <f t="shared" si="14"/>
        <v>数量2</v>
      </c>
      <c r="I61" s="6" t="s">
        <v>816</v>
      </c>
      <c r="J61" s="6" t="str">
        <f t="shared" si="15"/>
        <v>单价2</v>
      </c>
      <c r="K61" s="6" t="s">
        <v>903</v>
      </c>
      <c r="L61" s="6" t="s">
        <v>966</v>
      </c>
      <c r="M61" s="54" t="s">
        <v>339</v>
      </c>
      <c r="N61" s="6"/>
      <c r="O61" s="6"/>
      <c r="P61" s="6"/>
      <c r="Q61" s="6"/>
    </row>
    <row r="62" spans="3:17">
      <c r="C62" s="6"/>
      <c r="D62" s="6">
        <f t="shared" si="12"/>
        <v>1000</v>
      </c>
      <c r="E62" s="6" t="str">
        <f>_xlfn.XLOOKUP(E19,道具表!$B:$B,道具表!$C:$C)&amp;"|"&amp;_xlfn.XLOOKUP(E19,道具表!$B:$B,道具表!$A:$A)&amp;"|"</f>
        <v>1|2|</v>
      </c>
      <c r="F62" s="6">
        <f t="shared" si="17"/>
        <v>200</v>
      </c>
      <c r="G62" s="6" t="str">
        <f>_xlfn.XLOOKUP(G19,道具表!$B:$B,道具表!$C:$C)&amp;"|"&amp;_xlfn.XLOOKUP(G19,道具表!$B:$B,道具表!$A:$A)&amp;"|"</f>
        <v>1|10006|</v>
      </c>
      <c r="H62" s="6">
        <f t="shared" si="14"/>
        <v>1000</v>
      </c>
      <c r="I62" s="6" t="str">
        <f>_xlfn.XLOOKUP(I19,道具表!$B:$B,道具表!$C:$C)&amp;"|"&amp;_xlfn.XLOOKUP(I19,道具表!$B:$B,道具表!$A:$A)&amp;"|"</f>
        <v>1|10029|</v>
      </c>
      <c r="J62" s="6">
        <f t="shared" si="15"/>
        <v>5</v>
      </c>
      <c r="K62" s="6"/>
      <c r="L62" s="6"/>
      <c r="M62" s="54" t="str">
        <f t="shared" si="18"/>
        <v>1|2|200,1|10006|1000,1|10029|5</v>
      </c>
      <c r="N62" s="6"/>
      <c r="O62" s="6"/>
      <c r="P62" s="6"/>
      <c r="Q62" s="6"/>
    </row>
    <row r="63" spans="3:17">
      <c r="C63" s="6"/>
      <c r="D63" s="6">
        <f t="shared" si="12"/>
        <v>2500</v>
      </c>
      <c r="E63" s="6" t="str">
        <f>_xlfn.XLOOKUP(E20,道具表!$B:$B,道具表!$C:$C)&amp;"|"&amp;_xlfn.XLOOKUP(E20,道具表!$B:$B,道具表!$A:$A)&amp;"|"</f>
        <v>1|2|</v>
      </c>
      <c r="F63" s="6">
        <f t="shared" si="17"/>
        <v>500</v>
      </c>
      <c r="G63" s="6" t="str">
        <f>_xlfn.XLOOKUP(G20,道具表!$B:$B,道具表!$C:$C)&amp;"|"&amp;_xlfn.XLOOKUP(G20,道具表!$B:$B,道具表!$A:$A)&amp;"|"</f>
        <v>1|10002|</v>
      </c>
      <c r="H63" s="6">
        <f t="shared" si="14"/>
        <v>20</v>
      </c>
      <c r="I63" s="6" t="str">
        <f>_xlfn.XLOOKUP(I20,道具表!$B:$B,道具表!$C:$C)&amp;"|"&amp;_xlfn.XLOOKUP(I20,道具表!$B:$B,道具表!$A:$A)&amp;"|"</f>
        <v>1|10029|</v>
      </c>
      <c r="J63" s="6">
        <f t="shared" si="15"/>
        <v>10</v>
      </c>
      <c r="K63" s="6"/>
      <c r="L63" s="6"/>
      <c r="M63" s="54" t="str">
        <f t="shared" si="18"/>
        <v>1|2|500,1|10002|20,1|10029|10</v>
      </c>
      <c r="N63" s="6"/>
      <c r="O63" s="6"/>
      <c r="P63" s="6"/>
      <c r="Q63" s="6"/>
    </row>
    <row r="64" spans="3:17">
      <c r="C64" s="6"/>
      <c r="D64" s="6">
        <f t="shared" si="12"/>
        <v>5000</v>
      </c>
      <c r="E64" s="6" t="str">
        <f>_xlfn.XLOOKUP(E21,道具表!$B:$B,道具表!$C:$C)&amp;"|"&amp;_xlfn.XLOOKUP(E21,道具表!$B:$B,道具表!$A:$A)&amp;"|"</f>
        <v>1|2|</v>
      </c>
      <c r="F64" s="6">
        <f t="shared" si="17"/>
        <v>800</v>
      </c>
      <c r="G64" s="6" t="str">
        <f>_xlfn.XLOOKUP(G21,道具表!$B:$B,道具表!$C:$C)&amp;"|"&amp;_xlfn.XLOOKUP(G21,道具表!$B:$B,道具表!$A:$A)&amp;"|"</f>
        <v>1|10006|</v>
      </c>
      <c r="H64" s="6">
        <f t="shared" si="14"/>
        <v>3000</v>
      </c>
      <c r="I64" s="6" t="str">
        <f>_xlfn.XLOOKUP(I21,道具表!$B:$B,道具表!$C:$C)&amp;"|"&amp;_xlfn.XLOOKUP(I21,道具表!$B:$B,道具表!$A:$A)&amp;"|"</f>
        <v>1|10029|</v>
      </c>
      <c r="J64" s="6">
        <f t="shared" si="15"/>
        <v>15</v>
      </c>
      <c r="K64" s="6"/>
      <c r="L64" s="6"/>
      <c r="M64" s="54" t="str">
        <f t="shared" si="18"/>
        <v>1|2|800,1|10006|3000,1|10029|15</v>
      </c>
      <c r="N64" s="6"/>
      <c r="O64" s="6"/>
      <c r="P64" s="6"/>
      <c r="Q64" s="6"/>
    </row>
    <row r="65" spans="3:17">
      <c r="C65" s="6"/>
      <c r="D65" s="6">
        <f t="shared" si="12"/>
        <v>10000</v>
      </c>
      <c r="E65" s="6" t="str">
        <f>_xlfn.XLOOKUP(E22,道具表!$B:$B,道具表!$C:$C)&amp;"|"&amp;_xlfn.XLOOKUP(E22,道具表!$B:$B,道具表!$A:$A)&amp;"|"</f>
        <v>1|2|</v>
      </c>
      <c r="F65" s="6">
        <f t="shared" si="17"/>
        <v>1000</v>
      </c>
      <c r="G65" s="6" t="str">
        <f>_xlfn.XLOOKUP(G22,道具表!$B:$B,道具表!$C:$C)&amp;"|"&amp;_xlfn.XLOOKUP(G22,道具表!$B:$B,道具表!$A:$A)&amp;"|"</f>
        <v>1|10002|</v>
      </c>
      <c r="H65" s="6">
        <f t="shared" si="14"/>
        <v>40</v>
      </c>
      <c r="I65" s="6" t="str">
        <f>_xlfn.XLOOKUP(I22,道具表!$B:$B,道具表!$C:$C)&amp;"|"&amp;_xlfn.XLOOKUP(I22,道具表!$B:$B,道具表!$A:$A)&amp;"|"</f>
        <v>1|10029|</v>
      </c>
      <c r="J65" s="6">
        <f t="shared" si="15"/>
        <v>30</v>
      </c>
      <c r="K65" s="6"/>
      <c r="L65" s="6"/>
      <c r="M65" s="54" t="str">
        <f t="shared" si="18"/>
        <v>1|2|1000,1|10002|40,1|10029|30</v>
      </c>
      <c r="N65" s="6"/>
      <c r="O65" s="6"/>
      <c r="P65" s="6"/>
      <c r="Q65" s="6"/>
    </row>
    <row r="66" spans="3:17">
      <c r="C66" s="6"/>
      <c r="D66" s="6">
        <f t="shared" si="12"/>
        <v>18000</v>
      </c>
      <c r="E66" s="6" t="str">
        <f>_xlfn.XLOOKUP(E23,道具表!$B:$B,道具表!$C:$C)&amp;"|"&amp;_xlfn.XLOOKUP(E23,道具表!$B:$B,道具表!$A:$A)&amp;"|"</f>
        <v>16|402|</v>
      </c>
      <c r="F66" s="6">
        <f t="shared" si="17"/>
        <v>1</v>
      </c>
      <c r="G66" s="6" t="str">
        <f>_xlfn.XLOOKUP(G23,道具表!$B:$B,道具表!$C:$C)&amp;"|"&amp;_xlfn.XLOOKUP(G23,道具表!$B:$B,道具表!$A:$A)&amp;"|"</f>
        <v>1|10030|</v>
      </c>
      <c r="H66" s="6">
        <f t="shared" si="14"/>
        <v>20</v>
      </c>
      <c r="I66" s="6" t="str">
        <f>_xlfn.XLOOKUP(I23,道具表!$B:$B,道具表!$C:$C)&amp;"|"&amp;_xlfn.XLOOKUP(I23,道具表!$B:$B,道具表!$A:$A)&amp;"|"</f>
        <v>1|2|</v>
      </c>
      <c r="J66" s="6">
        <f t="shared" si="15"/>
        <v>500</v>
      </c>
      <c r="K66" s="6"/>
      <c r="L66" s="6"/>
      <c r="M66" s="54" t="str">
        <f t="shared" si="18"/>
        <v>16|402|1,1|10030|20,1|2|500</v>
      </c>
      <c r="N66" s="6"/>
      <c r="O66" s="6"/>
      <c r="P66" s="6"/>
      <c r="Q66" s="6"/>
    </row>
    <row r="67" spans="3:17">
      <c r="C67" s="6"/>
      <c r="D67" s="6">
        <f t="shared" si="12"/>
        <v>28000</v>
      </c>
      <c r="E67" s="6" t="str">
        <f>_xlfn.XLOOKUP(E24,道具表!$B:$B,道具表!$C:$C)&amp;"|"&amp;_xlfn.XLOOKUP(E24,道具表!$B:$B,道具表!$A:$A)&amp;"|"</f>
        <v>16|401|</v>
      </c>
      <c r="F67" s="6">
        <f t="shared" si="17"/>
        <v>1</v>
      </c>
      <c r="G67" s="6" t="str">
        <f>_xlfn.XLOOKUP(G24,道具表!$B:$B,道具表!$C:$C)&amp;"|"&amp;_xlfn.XLOOKUP(G24,道具表!$B:$B,道具表!$A:$A)&amp;"|"</f>
        <v>1|10001|</v>
      </c>
      <c r="H67" s="6">
        <f t="shared" si="14"/>
        <v>50</v>
      </c>
      <c r="I67" s="6" t="str">
        <f>_xlfn.XLOOKUP(I24,道具表!$B:$B,道具表!$C:$C)&amp;"|"&amp;_xlfn.XLOOKUP(I24,道具表!$B:$B,道具表!$A:$A)&amp;"|"</f>
        <v>1|10003|</v>
      </c>
      <c r="J67" s="6">
        <f t="shared" si="15"/>
        <v>3</v>
      </c>
      <c r="K67" s="6"/>
      <c r="L67" s="6"/>
      <c r="M67" s="54" t="str">
        <f t="shared" si="18"/>
        <v>16|401|1,1|10001|50,1|10003|3</v>
      </c>
      <c r="N67" s="6"/>
      <c r="O67" s="6"/>
      <c r="P67" s="6"/>
      <c r="Q67" s="6"/>
    </row>
    <row r="68" spans="3:17">
      <c r="C68" s="6" t="s">
        <v>949</v>
      </c>
      <c r="D68" s="6" t="str">
        <f t="shared" si="12"/>
        <v>积分</v>
      </c>
      <c r="E68" s="6" t="s">
        <v>815</v>
      </c>
      <c r="F68" s="6" t="str">
        <f t="shared" si="17"/>
        <v>数量1</v>
      </c>
      <c r="G68" s="6" t="s">
        <v>816</v>
      </c>
      <c r="H68" s="6" t="str">
        <f t="shared" si="14"/>
        <v>数量2</v>
      </c>
      <c r="I68" s="6" t="s">
        <v>816</v>
      </c>
      <c r="J68" s="6" t="str">
        <f t="shared" si="15"/>
        <v>单价2</v>
      </c>
      <c r="K68" s="6" t="s">
        <v>903</v>
      </c>
      <c r="L68" s="6" t="s">
        <v>966</v>
      </c>
      <c r="M68" s="54" t="s">
        <v>339</v>
      </c>
      <c r="N68" s="6"/>
      <c r="O68" s="6"/>
      <c r="P68" s="6"/>
      <c r="Q68" s="6"/>
    </row>
    <row r="69" spans="3:17">
      <c r="C69" s="6"/>
      <c r="D69" s="6">
        <f t="shared" si="12"/>
        <v>1000</v>
      </c>
      <c r="E69" s="6" t="str">
        <f>_xlfn.XLOOKUP(E26,道具表!$B:$B,道具表!$C:$C)&amp;"|"&amp;_xlfn.XLOOKUP(E26,道具表!$B:$B,道具表!$A:$A)&amp;"|"</f>
        <v>1|2|</v>
      </c>
      <c r="F69" s="6">
        <f t="shared" si="17"/>
        <v>200</v>
      </c>
      <c r="G69" s="6" t="str">
        <f>_xlfn.XLOOKUP(G26,道具表!$B:$B,道具表!$C:$C)&amp;"|"&amp;_xlfn.XLOOKUP(G26,道具表!$B:$B,道具表!$A:$A)&amp;"|"</f>
        <v>1|10006|</v>
      </c>
      <c r="H69" s="6">
        <f t="shared" si="14"/>
        <v>1000</v>
      </c>
      <c r="I69" s="6" t="str">
        <f>_xlfn.XLOOKUP(I26,道具表!$B:$B,道具表!$C:$C)&amp;"|"&amp;_xlfn.XLOOKUP(I26,道具表!$B:$B,道具表!$A:$A)&amp;"|"</f>
        <v>1|10029|</v>
      </c>
      <c r="J69" s="6">
        <f t="shared" si="15"/>
        <v>5</v>
      </c>
      <c r="K69" s="6"/>
      <c r="L69" s="6"/>
      <c r="M69" s="54" t="str">
        <f t="shared" ref="M69:M74" si="19">E69&amp;F69&amp;","&amp;G69&amp;H69&amp;","&amp;I69&amp;J69</f>
        <v>1|2|200,1|10006|1000,1|10029|5</v>
      </c>
      <c r="N69" s="6"/>
      <c r="O69" s="6"/>
      <c r="P69" s="6"/>
      <c r="Q69" s="6"/>
    </row>
    <row r="70" spans="3:17">
      <c r="C70" s="6"/>
      <c r="D70" s="6">
        <f t="shared" si="12"/>
        <v>2500</v>
      </c>
      <c r="E70" s="6" t="str">
        <f>_xlfn.XLOOKUP(E27,道具表!$B:$B,道具表!$C:$C)&amp;"|"&amp;_xlfn.XLOOKUP(E27,道具表!$B:$B,道具表!$A:$A)&amp;"|"</f>
        <v>1|2|</v>
      </c>
      <c r="F70" s="6">
        <f t="shared" si="17"/>
        <v>500</v>
      </c>
      <c r="G70" s="6" t="str">
        <f>_xlfn.XLOOKUP(G27,道具表!$B:$B,道具表!$C:$C)&amp;"|"&amp;_xlfn.XLOOKUP(G27,道具表!$B:$B,道具表!$A:$A)&amp;"|"</f>
        <v>1|10002|</v>
      </c>
      <c r="H70" s="6">
        <f t="shared" si="14"/>
        <v>20</v>
      </c>
      <c r="I70" s="6" t="str">
        <f>_xlfn.XLOOKUP(I27,道具表!$B:$B,道具表!$C:$C)&amp;"|"&amp;_xlfn.XLOOKUP(I27,道具表!$B:$B,道具表!$A:$A)&amp;"|"</f>
        <v>1|10029|</v>
      </c>
      <c r="J70" s="6">
        <f t="shared" si="15"/>
        <v>10</v>
      </c>
      <c r="K70" s="6"/>
      <c r="L70" s="6"/>
      <c r="M70" s="54" t="str">
        <f t="shared" si="19"/>
        <v>1|2|500,1|10002|20,1|10029|10</v>
      </c>
      <c r="N70" s="6"/>
      <c r="O70" s="6"/>
      <c r="P70" s="6"/>
      <c r="Q70" s="6"/>
    </row>
    <row r="71" spans="3:17">
      <c r="C71" s="6"/>
      <c r="D71" s="6">
        <f t="shared" si="12"/>
        <v>5000</v>
      </c>
      <c r="E71" s="6" t="str">
        <f>_xlfn.XLOOKUP(E28,道具表!$B:$B,道具表!$C:$C)&amp;"|"&amp;_xlfn.XLOOKUP(E28,道具表!$B:$B,道具表!$A:$A)&amp;"|"</f>
        <v>1|2|</v>
      </c>
      <c r="F71" s="6">
        <f t="shared" si="17"/>
        <v>800</v>
      </c>
      <c r="G71" s="6" t="str">
        <f>_xlfn.XLOOKUP(G28,道具表!$B:$B,道具表!$C:$C)&amp;"|"&amp;_xlfn.XLOOKUP(G28,道具表!$B:$B,道具表!$A:$A)&amp;"|"</f>
        <v>1|10006|</v>
      </c>
      <c r="H71" s="6">
        <f t="shared" si="14"/>
        <v>3000</v>
      </c>
      <c r="I71" s="6" t="str">
        <f>_xlfn.XLOOKUP(I28,道具表!$B:$B,道具表!$C:$C)&amp;"|"&amp;_xlfn.XLOOKUP(I28,道具表!$B:$B,道具表!$A:$A)&amp;"|"</f>
        <v>1|10029|</v>
      </c>
      <c r="J71" s="6">
        <f t="shared" si="15"/>
        <v>15</v>
      </c>
      <c r="K71" s="6"/>
      <c r="L71" s="6"/>
      <c r="M71" s="54" t="str">
        <f t="shared" si="19"/>
        <v>1|2|800,1|10006|3000,1|10029|15</v>
      </c>
      <c r="N71" s="6"/>
      <c r="O71" s="6"/>
      <c r="P71" s="6"/>
      <c r="Q71" s="6"/>
    </row>
    <row r="72" spans="3:17">
      <c r="C72" s="6"/>
      <c r="D72" s="6">
        <f t="shared" si="12"/>
        <v>10000</v>
      </c>
      <c r="E72" s="6" t="str">
        <f>_xlfn.XLOOKUP(E29,道具表!$B:$B,道具表!$C:$C)&amp;"|"&amp;_xlfn.XLOOKUP(E29,道具表!$B:$B,道具表!$A:$A)&amp;"|"</f>
        <v>1|2|</v>
      </c>
      <c r="F72" s="6">
        <f t="shared" si="17"/>
        <v>1000</v>
      </c>
      <c r="G72" s="6" t="str">
        <f>_xlfn.XLOOKUP(G29,道具表!$B:$B,道具表!$C:$C)&amp;"|"&amp;_xlfn.XLOOKUP(G29,道具表!$B:$B,道具表!$A:$A)&amp;"|"</f>
        <v>1|10002|</v>
      </c>
      <c r="H72" s="6">
        <f t="shared" si="14"/>
        <v>40</v>
      </c>
      <c r="I72" s="6" t="str">
        <f>_xlfn.XLOOKUP(I29,道具表!$B:$B,道具表!$C:$C)&amp;"|"&amp;_xlfn.XLOOKUP(I29,道具表!$B:$B,道具表!$A:$A)&amp;"|"</f>
        <v>1|10029|</v>
      </c>
      <c r="J72" s="6">
        <f t="shared" si="15"/>
        <v>30</v>
      </c>
      <c r="K72" s="6"/>
      <c r="L72" s="6"/>
      <c r="M72" s="54" t="str">
        <f t="shared" si="19"/>
        <v>1|2|1000,1|10002|40,1|10029|30</v>
      </c>
      <c r="N72" s="6"/>
      <c r="O72" s="6"/>
      <c r="P72" s="6"/>
      <c r="Q72" s="6"/>
    </row>
    <row r="73" spans="3:17">
      <c r="C73" s="6"/>
      <c r="D73" s="6">
        <f t="shared" si="12"/>
        <v>18000</v>
      </c>
      <c r="E73" s="6" t="str">
        <f>_xlfn.XLOOKUP(E30,道具表!$B:$B,道具表!$C:$C)&amp;"|"&amp;_xlfn.XLOOKUP(E30,道具表!$B:$B,道具表!$A:$A)&amp;"|"</f>
        <v>16|402|</v>
      </c>
      <c r="F73" s="6">
        <f t="shared" si="17"/>
        <v>1</v>
      </c>
      <c r="G73" s="6" t="str">
        <f>_xlfn.XLOOKUP(G30,道具表!$B:$B,道具表!$C:$C)&amp;"|"&amp;_xlfn.XLOOKUP(G30,道具表!$B:$B,道具表!$A:$A)&amp;"|"</f>
        <v>1|10030|</v>
      </c>
      <c r="H73" s="6">
        <f t="shared" si="14"/>
        <v>20</v>
      </c>
      <c r="I73" s="6" t="str">
        <f>_xlfn.XLOOKUP(I30,道具表!$B:$B,道具表!$C:$C)&amp;"|"&amp;_xlfn.XLOOKUP(I30,道具表!$B:$B,道具表!$A:$A)&amp;"|"</f>
        <v>1|2|</v>
      </c>
      <c r="J73" s="6">
        <f t="shared" si="15"/>
        <v>500</v>
      </c>
      <c r="K73" s="6"/>
      <c r="L73" s="6"/>
      <c r="M73" s="54" t="str">
        <f t="shared" si="19"/>
        <v>16|402|1,1|10030|20,1|2|500</v>
      </c>
      <c r="N73" s="6"/>
      <c r="O73" s="6"/>
      <c r="P73" s="6"/>
      <c r="Q73" s="6"/>
    </row>
    <row r="74" spans="3:17">
      <c r="C74" s="6"/>
      <c r="D74" s="6">
        <f t="shared" si="12"/>
        <v>28000</v>
      </c>
      <c r="E74" s="6" t="str">
        <f>_xlfn.XLOOKUP(E31,道具表!$B:$B,道具表!$C:$C)&amp;"|"&amp;_xlfn.XLOOKUP(E31,道具表!$B:$B,道具表!$A:$A)&amp;"|"</f>
        <v>16|401|</v>
      </c>
      <c r="F74" s="6">
        <f t="shared" si="17"/>
        <v>1</v>
      </c>
      <c r="G74" s="6" t="str">
        <f>_xlfn.XLOOKUP(G31,道具表!$B:$B,道具表!$C:$C)&amp;"|"&amp;_xlfn.XLOOKUP(G31,道具表!$B:$B,道具表!$A:$A)&amp;"|"</f>
        <v>1|10001|</v>
      </c>
      <c r="H74" s="6">
        <f t="shared" si="14"/>
        <v>50</v>
      </c>
      <c r="I74" s="6" t="str">
        <f>_xlfn.XLOOKUP(I31,道具表!$B:$B,道具表!$C:$C)&amp;"|"&amp;_xlfn.XLOOKUP(I31,道具表!$B:$B,道具表!$A:$A)&amp;"|"</f>
        <v>1|10003|</v>
      </c>
      <c r="J74" s="6">
        <f t="shared" si="15"/>
        <v>3</v>
      </c>
      <c r="K74" s="6"/>
      <c r="L74" s="6"/>
      <c r="M74" s="54" t="str">
        <f t="shared" si="19"/>
        <v>16|401|1,1|10001|50,1|10003|3</v>
      </c>
      <c r="N74" s="6"/>
      <c r="O74" s="6"/>
      <c r="P74" s="6"/>
      <c r="Q74" s="6"/>
    </row>
    <row r="77" spans="3:14">
      <c r="C77" s="6" t="s">
        <v>951</v>
      </c>
      <c r="D77" s="6" t="str">
        <f t="shared" ref="D77:D84" si="20">D34</f>
        <v>价格</v>
      </c>
      <c r="E77" s="6" t="str">
        <f t="shared" ref="E77:E84" si="21">E34</f>
        <v>限购次数</v>
      </c>
      <c r="F77" s="6" t="s">
        <v>815</v>
      </c>
      <c r="G77" s="6" t="str">
        <f>G34</f>
        <v>数量1</v>
      </c>
      <c r="H77" s="6" t="s">
        <v>816</v>
      </c>
      <c r="I77" s="6" t="str">
        <f t="shared" ref="I77:I84" si="22">I34</f>
        <v>数量2</v>
      </c>
      <c r="J77" s="6" t="s">
        <v>817</v>
      </c>
      <c r="K77" s="6" t="str">
        <f t="shared" ref="K77:K84" si="23">K34</f>
        <v>数量3</v>
      </c>
      <c r="L77" s="6" t="s">
        <v>903</v>
      </c>
      <c r="M77" s="6" t="str">
        <f t="shared" ref="M77:M84" si="24">M34</f>
        <v>数量4</v>
      </c>
      <c r="N77" s="54" t="s">
        <v>327</v>
      </c>
    </row>
    <row r="78" spans="3:14">
      <c r="C78" s="6"/>
      <c r="D78" s="6" t="str">
        <f t="shared" si="20"/>
        <v>免费</v>
      </c>
      <c r="E78" s="6">
        <f t="shared" si="21"/>
        <v>1</v>
      </c>
      <c r="F78" s="6" t="str">
        <f>_xlfn.XLOOKUP(F35,道具表!$B:$B,道具表!$C:$C)&amp;"|"&amp;_xlfn.XLOOKUP(F35,道具表!$B:$B,道具表!$A:$A)&amp;"|"</f>
        <v>1|2|</v>
      </c>
      <c r="G78" s="6">
        <f>G35</f>
        <v>200</v>
      </c>
      <c r="H78" s="6"/>
      <c r="I78" s="6"/>
      <c r="J78" s="6"/>
      <c r="K78" s="6"/>
      <c r="L78" s="6"/>
      <c r="M78" s="6"/>
      <c r="N78" s="54" t="str">
        <f>F78&amp;G78</f>
        <v>1|2|200</v>
      </c>
    </row>
    <row r="79" spans="3:14">
      <c r="C79" s="6"/>
      <c r="D79" s="6">
        <f t="shared" si="20"/>
        <v>30</v>
      </c>
      <c r="E79" s="6">
        <f t="shared" si="21"/>
        <v>1</v>
      </c>
      <c r="F79" s="6" t="str">
        <f>_xlfn.XLOOKUP(F36,道具表!$B:$B,道具表!$C:$C)&amp;"|"&amp;_xlfn.XLOOKUP(F36,道具表!$B:$B,道具表!$A:$A)&amp;"|"</f>
        <v>1|2|</v>
      </c>
      <c r="G79" s="6">
        <f t="shared" ref="G79:G84" si="25">G36</f>
        <v>300</v>
      </c>
      <c r="H79" s="6" t="str">
        <f>_xlfn.XLOOKUP(H36,道具表!$B:$B,道具表!$C:$C)&amp;"|"&amp;_xlfn.XLOOKUP(H36,道具表!$B:$B,道具表!$A:$A)&amp;"|"</f>
        <v>1|2|</v>
      </c>
      <c r="I79" s="6">
        <f t="shared" si="22"/>
        <v>300</v>
      </c>
      <c r="J79" s="6" t="str">
        <f>_xlfn.XLOOKUP(J36,道具表!$B:$B,道具表!$C:$C)&amp;"|"&amp;_xlfn.XLOOKUP(J36,道具表!$B:$B,道具表!$A:$A)&amp;"|"</f>
        <v>1|2|</v>
      </c>
      <c r="K79" s="6">
        <f t="shared" si="23"/>
        <v>250</v>
      </c>
      <c r="L79" s="6" t="str">
        <f>_xlfn.XLOOKUP(L36,道具表!$B:$B,道具表!$C:$C)&amp;"|"&amp;_xlfn.XLOOKUP(L36,道具表!$B:$B,道具表!$A:$A)&amp;"|"</f>
        <v>1|2|</v>
      </c>
      <c r="M79" s="6">
        <f t="shared" si="24"/>
        <v>150</v>
      </c>
      <c r="N79" s="54" t="str">
        <f t="shared" ref="N79:N84" si="26">F79&amp;G79&amp;","&amp;H79&amp;I79&amp;","&amp;J79&amp;K79&amp;","&amp;L79&amp;M79</f>
        <v>1|2|300,1|2|300,1|2|250,1|2|150</v>
      </c>
    </row>
    <row r="80" spans="3:14">
      <c r="C80" s="6"/>
      <c r="D80" s="6">
        <f t="shared" si="20"/>
        <v>68</v>
      </c>
      <c r="E80" s="6">
        <f t="shared" si="21"/>
        <v>1</v>
      </c>
      <c r="F80" s="6" t="str">
        <f>_xlfn.XLOOKUP(F37,道具表!$B:$B,道具表!$C:$C)&amp;"|"&amp;_xlfn.XLOOKUP(F37,道具表!$B:$B,道具表!$A:$A)&amp;"|"</f>
        <v>1|2|</v>
      </c>
      <c r="G80" s="6">
        <f t="shared" si="25"/>
        <v>680</v>
      </c>
      <c r="H80" s="6" t="str">
        <f>_xlfn.XLOOKUP(H37,道具表!$B:$B,道具表!$C:$C)&amp;"|"&amp;_xlfn.XLOOKUP(H37,道具表!$B:$B,道具表!$A:$A)&amp;"|"</f>
        <v>1|2|</v>
      </c>
      <c r="I80" s="6">
        <f t="shared" si="22"/>
        <v>550</v>
      </c>
      <c r="J80" s="6" t="str">
        <f>_xlfn.XLOOKUP(J37,道具表!$B:$B,道具表!$C:$C)&amp;"|"&amp;_xlfn.XLOOKUP(J37,道具表!$B:$B,道具表!$A:$A)&amp;"|"</f>
        <v>1|2|</v>
      </c>
      <c r="K80" s="6">
        <f t="shared" si="23"/>
        <v>500</v>
      </c>
      <c r="L80" s="6" t="str">
        <f>_xlfn.XLOOKUP(L37,道具表!$B:$B,道具表!$C:$C)&amp;"|"&amp;_xlfn.XLOOKUP(L37,道具表!$B:$B,道具表!$A:$A)&amp;"|"</f>
        <v>1|2|</v>
      </c>
      <c r="M80" s="6">
        <f t="shared" si="24"/>
        <v>300</v>
      </c>
      <c r="N80" s="54" t="str">
        <f t="shared" si="26"/>
        <v>1|2|680,1|2|550,1|2|500,1|2|300</v>
      </c>
    </row>
    <row r="81" spans="3:14">
      <c r="C81" s="6"/>
      <c r="D81" s="6">
        <f t="shared" si="20"/>
        <v>128</v>
      </c>
      <c r="E81" s="6">
        <f t="shared" si="21"/>
        <v>2</v>
      </c>
      <c r="F81" s="6" t="str">
        <f>_xlfn.XLOOKUP(F38,道具表!$B:$B,道具表!$C:$C)&amp;"|"&amp;_xlfn.XLOOKUP(F38,道具表!$B:$B,道具表!$A:$A)&amp;"|"</f>
        <v>1|2|</v>
      </c>
      <c r="G81" s="6">
        <f t="shared" si="25"/>
        <v>1280</v>
      </c>
      <c r="H81" s="6" t="str">
        <f>_xlfn.XLOOKUP(H38,道具表!$B:$B,道具表!$C:$C)&amp;"|"&amp;_xlfn.XLOOKUP(H38,道具表!$B:$B,道具表!$A:$A)&amp;"|"</f>
        <v>1|2|</v>
      </c>
      <c r="I81" s="6">
        <f t="shared" si="22"/>
        <v>1000</v>
      </c>
      <c r="J81" s="6" t="str">
        <f>_xlfn.XLOOKUP(J38,道具表!$B:$B,道具表!$C:$C)&amp;"|"&amp;_xlfn.XLOOKUP(J38,道具表!$B:$B,道具表!$A:$A)&amp;"|"</f>
        <v>1|2|</v>
      </c>
      <c r="K81" s="6">
        <f t="shared" si="23"/>
        <v>900</v>
      </c>
      <c r="L81" s="6" t="str">
        <f>_xlfn.XLOOKUP(L38,道具表!$B:$B,道具表!$C:$C)&amp;"|"&amp;_xlfn.XLOOKUP(L38,道具表!$B:$B,道具表!$A:$A)&amp;"|"</f>
        <v>1|2|</v>
      </c>
      <c r="M81" s="6">
        <f t="shared" si="24"/>
        <v>800</v>
      </c>
      <c r="N81" s="54" t="str">
        <f t="shared" si="26"/>
        <v>1|2|1280,1|2|1000,1|2|900,1|2|800</v>
      </c>
    </row>
    <row r="82" spans="3:14">
      <c r="C82" s="6"/>
      <c r="D82" s="6">
        <f t="shared" si="20"/>
        <v>198</v>
      </c>
      <c r="E82" s="6">
        <f t="shared" si="21"/>
        <v>2</v>
      </c>
      <c r="F82" s="6" t="str">
        <f>_xlfn.XLOOKUP(F39,道具表!$B:$B,道具表!$C:$C)&amp;"|"&amp;_xlfn.XLOOKUP(F39,道具表!$B:$B,道具表!$A:$A)&amp;"|"</f>
        <v>1|2|</v>
      </c>
      <c r="G82" s="6">
        <f t="shared" si="25"/>
        <v>1980</v>
      </c>
      <c r="H82" s="6" t="str">
        <f>_xlfn.XLOOKUP(H39,道具表!$B:$B,道具表!$C:$C)&amp;"|"&amp;_xlfn.XLOOKUP(H39,道具表!$B:$B,道具表!$A:$A)&amp;"|"</f>
        <v>1|2|</v>
      </c>
      <c r="I82" s="6">
        <f t="shared" si="22"/>
        <v>1800</v>
      </c>
      <c r="J82" s="6" t="str">
        <f>_xlfn.XLOOKUP(J39,道具表!$B:$B,道具表!$C:$C)&amp;"|"&amp;_xlfn.XLOOKUP(J39,道具表!$B:$B,道具表!$A:$A)&amp;"|"</f>
        <v>1|2|</v>
      </c>
      <c r="K82" s="6">
        <f t="shared" si="23"/>
        <v>1500</v>
      </c>
      <c r="L82" s="6" t="str">
        <f>_xlfn.XLOOKUP(L39,道具表!$B:$B,道具表!$C:$C)&amp;"|"&amp;_xlfn.XLOOKUP(L39,道具表!$B:$B,道具表!$A:$A)&amp;"|"</f>
        <v>1|2|</v>
      </c>
      <c r="M82" s="6">
        <f t="shared" si="24"/>
        <v>1000</v>
      </c>
      <c r="N82" s="54" t="str">
        <f t="shared" si="26"/>
        <v>1|2|1980,1|2|1800,1|2|1500,1|2|1000</v>
      </c>
    </row>
    <row r="83" spans="3:14">
      <c r="C83" s="6"/>
      <c r="D83" s="6">
        <f t="shared" si="20"/>
        <v>328</v>
      </c>
      <c r="E83" s="6">
        <f t="shared" si="21"/>
        <v>5</v>
      </c>
      <c r="F83" s="6" t="str">
        <f>_xlfn.XLOOKUP(F40,道具表!$B:$B,道具表!$C:$C)&amp;"|"&amp;_xlfn.XLOOKUP(F40,道具表!$B:$B,道具表!$A:$A)&amp;"|"</f>
        <v>1|2|</v>
      </c>
      <c r="G83" s="6">
        <f t="shared" si="25"/>
        <v>3280</v>
      </c>
      <c r="H83" s="6" t="str">
        <f>_xlfn.XLOOKUP(H40,道具表!$B:$B,道具表!$C:$C)&amp;"|"&amp;_xlfn.XLOOKUP(H40,道具表!$B:$B,道具表!$A:$A)&amp;"|"</f>
        <v>1|2|</v>
      </c>
      <c r="I83" s="6">
        <f t="shared" si="22"/>
        <v>3000</v>
      </c>
      <c r="J83" s="6" t="str">
        <f>_xlfn.XLOOKUP(J40,道具表!$B:$B,道具表!$C:$C)&amp;"|"&amp;_xlfn.XLOOKUP(J40,道具表!$B:$B,道具表!$A:$A)&amp;"|"</f>
        <v>1|2|</v>
      </c>
      <c r="K83" s="6">
        <f t="shared" si="23"/>
        <v>2500</v>
      </c>
      <c r="L83" s="6" t="str">
        <f>_xlfn.XLOOKUP(L40,道具表!$B:$B,道具表!$C:$C)&amp;"|"&amp;_xlfn.XLOOKUP(L40,道具表!$B:$B,道具表!$A:$A)&amp;"|"</f>
        <v>1|2|</v>
      </c>
      <c r="M83" s="6">
        <f t="shared" si="24"/>
        <v>2000</v>
      </c>
      <c r="N83" s="54" t="str">
        <f t="shared" si="26"/>
        <v>1|2|3280,1|2|3000,1|2|2500,1|2|2000</v>
      </c>
    </row>
    <row r="84" spans="3:14">
      <c r="C84" s="6"/>
      <c r="D84" s="6">
        <f t="shared" si="20"/>
        <v>648</v>
      </c>
      <c r="E84" s="6">
        <f t="shared" si="21"/>
        <v>5</v>
      </c>
      <c r="F84" s="6" t="str">
        <f>_xlfn.XLOOKUP(F41,道具表!$B:$B,道具表!$C:$C)&amp;"|"&amp;_xlfn.XLOOKUP(F41,道具表!$B:$B,道具表!$A:$A)&amp;"|"</f>
        <v>1|2|</v>
      </c>
      <c r="G84" s="6">
        <f t="shared" si="25"/>
        <v>6480</v>
      </c>
      <c r="H84" s="6" t="str">
        <f>_xlfn.XLOOKUP(H41,道具表!$B:$B,道具表!$C:$C)&amp;"|"&amp;_xlfn.XLOOKUP(H41,道具表!$B:$B,道具表!$A:$A)&amp;"|"</f>
        <v>1|2|</v>
      </c>
      <c r="I84" s="6">
        <f t="shared" si="22"/>
        <v>6000</v>
      </c>
      <c r="J84" s="6" t="str">
        <f>_xlfn.XLOOKUP(J41,道具表!$B:$B,道具表!$C:$C)&amp;"|"&amp;_xlfn.XLOOKUP(J41,道具表!$B:$B,道具表!$A:$A)&amp;"|"</f>
        <v>1|2|</v>
      </c>
      <c r="K84" s="6">
        <f t="shared" si="23"/>
        <v>5000</v>
      </c>
      <c r="L84" s="6" t="str">
        <f>_xlfn.XLOOKUP(L41,道具表!$B:$B,道具表!$C:$C)&amp;"|"&amp;_xlfn.XLOOKUP(L41,道具表!$B:$B,道具表!$A:$A)&amp;"|"</f>
        <v>1|2|</v>
      </c>
      <c r="M84" s="6">
        <f t="shared" si="24"/>
        <v>4000</v>
      </c>
      <c r="N84" s="54" t="str">
        <f t="shared" si="26"/>
        <v>1|2|6480,1|2|6000,1|2|5000,1|2|4000</v>
      </c>
    </row>
  </sheetData>
  <mergeCells count="12">
    <mergeCell ref="S6:Z6"/>
    <mergeCell ref="C1:C2"/>
    <mergeCell ref="C5:C10"/>
    <mergeCell ref="C11:C17"/>
    <mergeCell ref="C18:C24"/>
    <mergeCell ref="C25:C31"/>
    <mergeCell ref="C34:C41"/>
    <mergeCell ref="C48:C53"/>
    <mergeCell ref="C54:C60"/>
    <mergeCell ref="C61:C67"/>
    <mergeCell ref="C68:C74"/>
    <mergeCell ref="C77:C84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5:Q56"/>
  <sheetViews>
    <sheetView topLeftCell="A4" workbookViewId="0">
      <selection activeCell="N24" sqref="N24"/>
    </sheetView>
  </sheetViews>
  <sheetFormatPr defaultColWidth="8.88888888888889" defaultRowHeight="14.4"/>
  <cols>
    <col min="11" max="11" width="10.1111111111111"/>
  </cols>
  <sheetData>
    <row r="5" spans="9:16">
      <c r="I5" s="7" t="s">
        <v>1002</v>
      </c>
      <c r="J5" s="7" t="s">
        <v>867</v>
      </c>
      <c r="K5" s="7" t="s">
        <v>815</v>
      </c>
      <c r="L5" s="7" t="s">
        <v>323</v>
      </c>
      <c r="M5" s="7" t="s">
        <v>816</v>
      </c>
      <c r="N5" s="7" t="s">
        <v>323</v>
      </c>
      <c r="O5" s="7" t="s">
        <v>817</v>
      </c>
      <c r="P5" s="7" t="s">
        <v>323</v>
      </c>
    </row>
    <row r="6" spans="9:16">
      <c r="I6" s="7" t="s">
        <v>1003</v>
      </c>
      <c r="J6" s="53">
        <v>1</v>
      </c>
      <c r="K6" s="7" t="s">
        <v>6</v>
      </c>
      <c r="L6" s="7">
        <v>1000</v>
      </c>
      <c r="M6" s="7" t="s">
        <v>34</v>
      </c>
      <c r="N6" s="7">
        <v>30</v>
      </c>
      <c r="O6" s="7" t="s">
        <v>202</v>
      </c>
      <c r="P6" s="7">
        <v>1</v>
      </c>
    </row>
    <row r="7" spans="9:16">
      <c r="I7" s="7"/>
      <c r="J7" s="53" t="s">
        <v>1004</v>
      </c>
      <c r="K7" s="7" t="s">
        <v>6</v>
      </c>
      <c r="L7" s="7">
        <v>800</v>
      </c>
      <c r="M7" s="7" t="s">
        <v>34</v>
      </c>
      <c r="N7" s="7">
        <v>20</v>
      </c>
      <c r="O7" s="7"/>
      <c r="P7" s="7"/>
    </row>
    <row r="8" spans="9:16">
      <c r="I8" s="7"/>
      <c r="J8" s="53" t="s">
        <v>1005</v>
      </c>
      <c r="K8" s="7" t="s">
        <v>6</v>
      </c>
      <c r="L8" s="7">
        <v>600</v>
      </c>
      <c r="M8" s="7" t="s">
        <v>34</v>
      </c>
      <c r="N8" s="7">
        <v>10</v>
      </c>
      <c r="O8" s="7"/>
      <c r="P8" s="7"/>
    </row>
    <row r="9" spans="9:16">
      <c r="I9" s="7"/>
      <c r="J9" s="53" t="s">
        <v>1006</v>
      </c>
      <c r="K9" s="7" t="s">
        <v>6</v>
      </c>
      <c r="L9" s="7">
        <v>400</v>
      </c>
      <c r="M9" s="7" t="s">
        <v>34</v>
      </c>
      <c r="N9" s="7">
        <v>5</v>
      </c>
      <c r="O9" s="7"/>
      <c r="P9" s="7"/>
    </row>
    <row r="10" spans="9:16">
      <c r="I10" s="7"/>
      <c r="J10" s="53" t="s">
        <v>1007</v>
      </c>
      <c r="K10" s="7" t="s">
        <v>6</v>
      </c>
      <c r="L10" s="7">
        <v>200</v>
      </c>
      <c r="M10" s="7" t="s">
        <v>34</v>
      </c>
      <c r="N10" s="7">
        <v>3</v>
      </c>
      <c r="O10" s="7"/>
      <c r="P10" s="7"/>
    </row>
    <row r="11" spans="9:16">
      <c r="I11" s="7"/>
      <c r="J11" s="53" t="s">
        <v>1008</v>
      </c>
      <c r="K11" s="7" t="s">
        <v>6</v>
      </c>
      <c r="L11" s="7">
        <v>100</v>
      </c>
      <c r="M11" s="7" t="s">
        <v>34</v>
      </c>
      <c r="N11" s="7">
        <v>2</v>
      </c>
      <c r="O11" s="7"/>
      <c r="P11" s="7"/>
    </row>
    <row r="12" spans="9:16">
      <c r="I12" s="7" t="s">
        <v>1009</v>
      </c>
      <c r="J12" s="53">
        <v>1</v>
      </c>
      <c r="K12" s="7" t="s">
        <v>6</v>
      </c>
      <c r="L12" s="7">
        <v>1000</v>
      </c>
      <c r="M12" s="7" t="s">
        <v>45</v>
      </c>
      <c r="N12" s="7">
        <v>30</v>
      </c>
      <c r="O12" s="7" t="s">
        <v>200</v>
      </c>
      <c r="P12" s="7">
        <v>1</v>
      </c>
    </row>
    <row r="13" spans="9:16">
      <c r="I13" s="7"/>
      <c r="J13" s="53" t="s">
        <v>1004</v>
      </c>
      <c r="K13" s="7" t="s">
        <v>6</v>
      </c>
      <c r="L13" s="7">
        <v>700</v>
      </c>
      <c r="M13" s="7" t="s">
        <v>45</v>
      </c>
      <c r="N13" s="7">
        <v>20</v>
      </c>
      <c r="O13" s="7"/>
      <c r="P13" s="7"/>
    </row>
    <row r="14" spans="9:16">
      <c r="I14" s="7"/>
      <c r="J14" s="53" t="s">
        <v>1005</v>
      </c>
      <c r="K14" s="7" t="s">
        <v>6</v>
      </c>
      <c r="L14" s="7">
        <v>500</v>
      </c>
      <c r="M14" s="7" t="s">
        <v>45</v>
      </c>
      <c r="N14" s="7">
        <v>10</v>
      </c>
      <c r="O14" s="7"/>
      <c r="P14" s="7"/>
    </row>
    <row r="15" spans="9:16">
      <c r="I15" s="7"/>
      <c r="J15" s="53" t="s">
        <v>1006</v>
      </c>
      <c r="K15" s="7" t="s">
        <v>6</v>
      </c>
      <c r="L15" s="7">
        <v>300</v>
      </c>
      <c r="M15" s="7" t="s">
        <v>45</v>
      </c>
      <c r="N15" s="7">
        <v>5</v>
      </c>
      <c r="O15" s="7"/>
      <c r="P15" s="7"/>
    </row>
    <row r="16" spans="9:16">
      <c r="I16" s="7"/>
      <c r="J16" s="53" t="s">
        <v>1007</v>
      </c>
      <c r="K16" s="7" t="s">
        <v>6</v>
      </c>
      <c r="L16" s="7">
        <v>200</v>
      </c>
      <c r="M16" s="7" t="s">
        <v>45</v>
      </c>
      <c r="N16" s="7">
        <v>3</v>
      </c>
      <c r="O16" s="7"/>
      <c r="P16" s="7"/>
    </row>
    <row r="17" spans="9:16">
      <c r="I17" s="7"/>
      <c r="J17" s="53" t="s">
        <v>1008</v>
      </c>
      <c r="K17" s="7" t="s">
        <v>6</v>
      </c>
      <c r="L17" s="7">
        <v>100</v>
      </c>
      <c r="M17" s="7" t="s">
        <v>45</v>
      </c>
      <c r="N17" s="7">
        <v>2</v>
      </c>
      <c r="O17" s="7"/>
      <c r="P17" s="7"/>
    </row>
    <row r="18" spans="9:16">
      <c r="I18" s="7" t="s">
        <v>1010</v>
      </c>
      <c r="J18" s="53">
        <v>1</v>
      </c>
      <c r="K18" s="7" t="s">
        <v>6</v>
      </c>
      <c r="L18" s="7">
        <v>1000</v>
      </c>
      <c r="M18" s="7" t="s">
        <v>10</v>
      </c>
      <c r="N18" s="7">
        <v>30</v>
      </c>
      <c r="O18" s="7" t="s">
        <v>201</v>
      </c>
      <c r="P18" s="7">
        <v>1</v>
      </c>
    </row>
    <row r="19" spans="9:16">
      <c r="I19" s="7"/>
      <c r="J19" s="53" t="s">
        <v>1004</v>
      </c>
      <c r="K19" s="7" t="s">
        <v>6</v>
      </c>
      <c r="L19" s="7">
        <v>700</v>
      </c>
      <c r="M19" s="7" t="s">
        <v>10</v>
      </c>
      <c r="N19" s="7">
        <v>20</v>
      </c>
      <c r="O19" s="7"/>
      <c r="P19" s="7"/>
    </row>
    <row r="20" spans="9:16">
      <c r="I20" s="7"/>
      <c r="J20" s="53" t="s">
        <v>1005</v>
      </c>
      <c r="K20" s="7" t="s">
        <v>6</v>
      </c>
      <c r="L20" s="7">
        <v>500</v>
      </c>
      <c r="M20" s="7" t="s">
        <v>10</v>
      </c>
      <c r="N20" s="7">
        <v>10</v>
      </c>
      <c r="O20" s="7"/>
      <c r="P20" s="7"/>
    </row>
    <row r="21" spans="9:16">
      <c r="I21" s="7"/>
      <c r="J21" s="53" t="s">
        <v>1006</v>
      </c>
      <c r="K21" s="7" t="s">
        <v>6</v>
      </c>
      <c r="L21" s="7">
        <v>300</v>
      </c>
      <c r="M21" s="7" t="s">
        <v>10</v>
      </c>
      <c r="N21" s="7">
        <v>6</v>
      </c>
      <c r="O21" s="7"/>
      <c r="P21" s="7"/>
    </row>
    <row r="22" spans="9:16">
      <c r="I22" s="7"/>
      <c r="J22" s="53" t="s">
        <v>1007</v>
      </c>
      <c r="K22" s="7" t="s">
        <v>6</v>
      </c>
      <c r="L22" s="7">
        <v>200</v>
      </c>
      <c r="M22" s="7" t="s">
        <v>10</v>
      </c>
      <c r="N22" s="7">
        <v>3</v>
      </c>
      <c r="O22" s="7"/>
      <c r="P22" s="7"/>
    </row>
    <row r="23" spans="9:16">
      <c r="I23" s="7"/>
      <c r="J23" s="53" t="s">
        <v>1008</v>
      </c>
      <c r="K23" s="7" t="s">
        <v>6</v>
      </c>
      <c r="L23" s="7">
        <v>100</v>
      </c>
      <c r="M23" s="7" t="s">
        <v>10</v>
      </c>
      <c r="N23" s="7">
        <v>2</v>
      </c>
      <c r="O23" s="7"/>
      <c r="P23" s="7"/>
    </row>
    <row r="24" spans="9:16">
      <c r="I24" s="7" t="s">
        <v>1011</v>
      </c>
      <c r="J24" s="53">
        <v>1</v>
      </c>
      <c r="K24" s="7" t="s">
        <v>6</v>
      </c>
      <c r="L24" s="7">
        <v>1000</v>
      </c>
      <c r="M24" s="7" t="s">
        <v>49</v>
      </c>
      <c r="N24" s="7">
        <v>3</v>
      </c>
      <c r="O24" s="7" t="s">
        <v>203</v>
      </c>
      <c r="P24" s="7">
        <v>1</v>
      </c>
    </row>
    <row r="25" spans="9:16">
      <c r="I25" s="7"/>
      <c r="J25" s="53" t="s">
        <v>1004</v>
      </c>
      <c r="K25" s="7" t="s">
        <v>6</v>
      </c>
      <c r="L25" s="7">
        <v>700</v>
      </c>
      <c r="M25" s="7" t="s">
        <v>49</v>
      </c>
      <c r="N25" s="7">
        <v>2</v>
      </c>
      <c r="O25" s="7"/>
      <c r="P25" s="7"/>
    </row>
    <row r="26" spans="9:16">
      <c r="I26" s="7"/>
      <c r="J26" s="53" t="s">
        <v>1005</v>
      </c>
      <c r="K26" s="7" t="s">
        <v>6</v>
      </c>
      <c r="L26" s="7">
        <v>500</v>
      </c>
      <c r="M26" s="7" t="s">
        <v>49</v>
      </c>
      <c r="N26" s="7">
        <v>1</v>
      </c>
      <c r="O26" s="7"/>
      <c r="P26" s="7"/>
    </row>
    <row r="27" spans="9:16">
      <c r="I27" s="7"/>
      <c r="J27" s="53" t="s">
        <v>1006</v>
      </c>
      <c r="K27" s="7" t="s">
        <v>6</v>
      </c>
      <c r="L27" s="7">
        <v>300</v>
      </c>
      <c r="M27" s="7" t="s">
        <v>48</v>
      </c>
      <c r="N27" s="7">
        <v>5</v>
      </c>
      <c r="O27" s="7"/>
      <c r="P27" s="7"/>
    </row>
    <row r="28" spans="9:16">
      <c r="I28" s="7"/>
      <c r="J28" s="53" t="s">
        <v>1007</v>
      </c>
      <c r="K28" s="7" t="s">
        <v>6</v>
      </c>
      <c r="L28" s="7">
        <v>200</v>
      </c>
      <c r="M28" s="7" t="s">
        <v>48</v>
      </c>
      <c r="N28" s="7">
        <v>3</v>
      </c>
      <c r="O28" s="7"/>
      <c r="P28" s="7"/>
    </row>
    <row r="29" spans="9:16">
      <c r="I29" s="7"/>
      <c r="J29" s="53" t="s">
        <v>1008</v>
      </c>
      <c r="K29" s="7" t="s">
        <v>6</v>
      </c>
      <c r="L29" s="7">
        <v>100</v>
      </c>
      <c r="M29" s="7" t="s">
        <v>48</v>
      </c>
      <c r="N29" s="7">
        <v>2</v>
      </c>
      <c r="O29" s="7"/>
      <c r="P29" s="7"/>
    </row>
    <row r="32" ht="15.6" spans="9:17">
      <c r="I32" s="6" t="s">
        <v>1002</v>
      </c>
      <c r="J32" s="6" t="s">
        <v>867</v>
      </c>
      <c r="K32" s="6" t="s">
        <v>815</v>
      </c>
      <c r="L32" s="6" t="str">
        <f>L5</f>
        <v>数量</v>
      </c>
      <c r="M32" s="6" t="s">
        <v>816</v>
      </c>
      <c r="N32" s="6" t="str">
        <f t="shared" ref="N32:N56" si="0">N5</f>
        <v>数量</v>
      </c>
      <c r="O32" s="6" t="s">
        <v>817</v>
      </c>
      <c r="P32" s="6" t="str">
        <f>P5</f>
        <v>数量</v>
      </c>
      <c r="Q32" s="54" t="s">
        <v>327</v>
      </c>
    </row>
    <row r="33" ht="15.6" spans="9:17">
      <c r="I33" s="6" t="s">
        <v>1003</v>
      </c>
      <c r="J33" s="53">
        <v>1</v>
      </c>
      <c r="K33" s="6" t="str">
        <f>_xlfn.XLOOKUP(K6,道具表!$B:$B,道具表!$C:$C)&amp;"|"&amp;_xlfn.XLOOKUP(K6,道具表!$B:$B,道具表!$A:$A)&amp;"|"</f>
        <v>1|2|</v>
      </c>
      <c r="L33" s="6">
        <f>L6</f>
        <v>1000</v>
      </c>
      <c r="M33" s="6" t="str">
        <f>_xlfn.XLOOKUP(M6,道具表!$B:$B,道具表!$C:$C)&amp;"|"&amp;_xlfn.XLOOKUP(M6,道具表!$B:$B,道具表!$A:$A)&amp;"|"</f>
        <v>1|1011|</v>
      </c>
      <c r="N33" s="6">
        <f t="shared" si="0"/>
        <v>30</v>
      </c>
      <c r="O33" s="6" t="str">
        <f>_xlfn.XLOOKUP(O6,道具表!$B:$B,道具表!$C:$C)&amp;"|"&amp;_xlfn.XLOOKUP(O6,道具表!$B:$B,道具表!$A:$A)&amp;"|"</f>
        <v>7|205|</v>
      </c>
      <c r="P33" s="6">
        <f>P6</f>
        <v>1</v>
      </c>
      <c r="Q33" s="54" t="str">
        <f>K33&amp;L33&amp;","&amp;M33&amp;N33&amp;","&amp;O33&amp;P33</f>
        <v>1|2|1000,1|1011|30,7|205|1</v>
      </c>
    </row>
    <row r="34" ht="15.6" spans="9:17">
      <c r="I34" s="6"/>
      <c r="J34" s="53" t="s">
        <v>1004</v>
      </c>
      <c r="K34" s="6" t="str">
        <f>_xlfn.XLOOKUP(K7,道具表!$B:$B,道具表!$C:$C)&amp;"|"&amp;_xlfn.XLOOKUP(K7,道具表!$B:$B,道具表!$A:$A)&amp;"|"</f>
        <v>1|2|</v>
      </c>
      <c r="L34" s="6">
        <f t="shared" ref="L33:L56" si="1">L7</f>
        <v>800</v>
      </c>
      <c r="M34" s="6" t="str">
        <f>_xlfn.XLOOKUP(M7,道具表!$B:$B,道具表!$C:$C)&amp;"|"&amp;_xlfn.XLOOKUP(M7,道具表!$B:$B,道具表!$A:$A)&amp;"|"</f>
        <v>1|1011|</v>
      </c>
      <c r="N34" s="6">
        <f t="shared" si="0"/>
        <v>20</v>
      </c>
      <c r="O34" s="6"/>
      <c r="P34" s="6"/>
      <c r="Q34" s="54" t="str">
        <f>K34&amp;L34&amp;","&amp;M34&amp;N34</f>
        <v>1|2|800,1|1011|20</v>
      </c>
    </row>
    <row r="35" ht="15.6" spans="9:17">
      <c r="I35" s="6"/>
      <c r="J35" s="53" t="s">
        <v>1005</v>
      </c>
      <c r="K35" s="6" t="str">
        <f>_xlfn.XLOOKUP(K8,道具表!$B:$B,道具表!$C:$C)&amp;"|"&amp;_xlfn.XLOOKUP(K8,道具表!$B:$B,道具表!$A:$A)&amp;"|"</f>
        <v>1|2|</v>
      </c>
      <c r="L35" s="6">
        <f t="shared" si="1"/>
        <v>600</v>
      </c>
      <c r="M35" s="6" t="str">
        <f>_xlfn.XLOOKUP(M8,道具表!$B:$B,道具表!$C:$C)&amp;"|"&amp;_xlfn.XLOOKUP(M8,道具表!$B:$B,道具表!$A:$A)&amp;"|"</f>
        <v>1|1011|</v>
      </c>
      <c r="N35" s="6">
        <f t="shared" si="0"/>
        <v>10</v>
      </c>
      <c r="O35" s="6"/>
      <c r="P35" s="6"/>
      <c r="Q35" s="54" t="str">
        <f t="shared" ref="Q35:Q44" si="2">K35&amp;L35&amp;","&amp;M35&amp;N35</f>
        <v>1|2|600,1|1011|10</v>
      </c>
    </row>
    <row r="36" ht="15.6" spans="9:17">
      <c r="I36" s="6"/>
      <c r="J36" s="53" t="s">
        <v>1006</v>
      </c>
      <c r="K36" s="6" t="str">
        <f>_xlfn.XLOOKUP(K9,道具表!$B:$B,道具表!$C:$C)&amp;"|"&amp;_xlfn.XLOOKUP(K9,道具表!$B:$B,道具表!$A:$A)&amp;"|"</f>
        <v>1|2|</v>
      </c>
      <c r="L36" s="6">
        <f t="shared" si="1"/>
        <v>400</v>
      </c>
      <c r="M36" s="6" t="str">
        <f>_xlfn.XLOOKUP(M9,道具表!$B:$B,道具表!$C:$C)&amp;"|"&amp;_xlfn.XLOOKUP(M9,道具表!$B:$B,道具表!$A:$A)&amp;"|"</f>
        <v>1|1011|</v>
      </c>
      <c r="N36" s="6">
        <f t="shared" si="0"/>
        <v>5</v>
      </c>
      <c r="O36" s="6"/>
      <c r="P36" s="6"/>
      <c r="Q36" s="54" t="str">
        <f t="shared" si="2"/>
        <v>1|2|400,1|1011|5</v>
      </c>
    </row>
    <row r="37" ht="15.6" spans="9:17">
      <c r="I37" s="6"/>
      <c r="J37" s="53" t="s">
        <v>1007</v>
      </c>
      <c r="K37" s="6" t="str">
        <f>_xlfn.XLOOKUP(K10,道具表!$B:$B,道具表!$C:$C)&amp;"|"&amp;_xlfn.XLOOKUP(K10,道具表!$B:$B,道具表!$A:$A)&amp;"|"</f>
        <v>1|2|</v>
      </c>
      <c r="L37" s="6">
        <f t="shared" si="1"/>
        <v>200</v>
      </c>
      <c r="M37" s="6" t="str">
        <f>_xlfn.XLOOKUP(M10,道具表!$B:$B,道具表!$C:$C)&amp;"|"&amp;_xlfn.XLOOKUP(M10,道具表!$B:$B,道具表!$A:$A)&amp;"|"</f>
        <v>1|1011|</v>
      </c>
      <c r="N37" s="6">
        <f t="shared" si="0"/>
        <v>3</v>
      </c>
      <c r="O37" s="6"/>
      <c r="P37" s="6"/>
      <c r="Q37" s="54" t="str">
        <f t="shared" si="2"/>
        <v>1|2|200,1|1011|3</v>
      </c>
    </row>
    <row r="38" ht="15.6" spans="9:17">
      <c r="I38" s="6"/>
      <c r="J38" s="53" t="s">
        <v>1008</v>
      </c>
      <c r="K38" s="6" t="str">
        <f>_xlfn.XLOOKUP(K11,道具表!$B:$B,道具表!$C:$C)&amp;"|"&amp;_xlfn.XLOOKUP(K11,道具表!$B:$B,道具表!$A:$A)&amp;"|"</f>
        <v>1|2|</v>
      </c>
      <c r="L38" s="6">
        <f t="shared" si="1"/>
        <v>100</v>
      </c>
      <c r="M38" s="6" t="str">
        <f>_xlfn.XLOOKUP(M11,道具表!$B:$B,道具表!$C:$C)&amp;"|"&amp;_xlfn.XLOOKUP(M11,道具表!$B:$B,道具表!$A:$A)&amp;"|"</f>
        <v>1|1011|</v>
      </c>
      <c r="N38" s="6">
        <f t="shared" si="0"/>
        <v>2</v>
      </c>
      <c r="O38" s="6"/>
      <c r="P38" s="6"/>
      <c r="Q38" s="54" t="str">
        <f t="shared" si="2"/>
        <v>1|2|100,1|1011|2</v>
      </c>
    </row>
    <row r="39" ht="15.6" spans="9:17">
      <c r="I39" s="6" t="s">
        <v>1009</v>
      </c>
      <c r="J39" s="53">
        <v>1</v>
      </c>
      <c r="K39" s="6" t="str">
        <f>_xlfn.XLOOKUP(K12,道具表!$B:$B,道具表!$C:$C)&amp;"|"&amp;_xlfn.XLOOKUP(K12,道具表!$B:$B,道具表!$A:$A)&amp;"|"</f>
        <v>1|2|</v>
      </c>
      <c r="L39" s="6">
        <f t="shared" si="1"/>
        <v>1000</v>
      </c>
      <c r="M39" s="6" t="str">
        <f>_xlfn.XLOOKUP(M12,道具表!$B:$B,道具表!$C:$C)&amp;"|"&amp;_xlfn.XLOOKUP(M12,道具表!$B:$B,道具表!$A:$A)&amp;"|"</f>
        <v>1|10005|</v>
      </c>
      <c r="N39" s="6">
        <f t="shared" si="0"/>
        <v>30</v>
      </c>
      <c r="O39" s="6" t="str">
        <f>_xlfn.XLOOKUP(O12,道具表!$B:$B,道具表!$C:$C)&amp;"|"&amp;_xlfn.XLOOKUP(O12,道具表!$B:$B,道具表!$A:$A)&amp;"|"</f>
        <v>7|203|</v>
      </c>
      <c r="P39" s="6">
        <f>P12</f>
        <v>1</v>
      </c>
      <c r="Q39" s="54" t="str">
        <f>K39&amp;L39&amp;","&amp;M39&amp;N39&amp;","&amp;O39&amp;P39</f>
        <v>1|2|1000,1|10005|30,7|203|1</v>
      </c>
    </row>
    <row r="40" ht="15.6" spans="9:17">
      <c r="I40" s="6"/>
      <c r="J40" s="53" t="s">
        <v>1004</v>
      </c>
      <c r="K40" s="6" t="str">
        <f>_xlfn.XLOOKUP(K13,道具表!$B:$B,道具表!$C:$C)&amp;"|"&amp;_xlfn.XLOOKUP(K13,道具表!$B:$B,道具表!$A:$A)&amp;"|"</f>
        <v>1|2|</v>
      </c>
      <c r="L40" s="6">
        <f t="shared" si="1"/>
        <v>700</v>
      </c>
      <c r="M40" s="6" t="str">
        <f>_xlfn.XLOOKUP(M13,道具表!$B:$B,道具表!$C:$C)&amp;"|"&amp;_xlfn.XLOOKUP(M13,道具表!$B:$B,道具表!$A:$A)&amp;"|"</f>
        <v>1|10005|</v>
      </c>
      <c r="N40" s="6">
        <f t="shared" si="0"/>
        <v>20</v>
      </c>
      <c r="O40" s="6"/>
      <c r="P40" s="6"/>
      <c r="Q40" s="54" t="str">
        <f t="shared" si="2"/>
        <v>1|2|700,1|10005|20</v>
      </c>
    </row>
    <row r="41" ht="15.6" spans="9:17">
      <c r="I41" s="6"/>
      <c r="J41" s="53" t="s">
        <v>1005</v>
      </c>
      <c r="K41" s="6" t="str">
        <f>_xlfn.XLOOKUP(K14,道具表!$B:$B,道具表!$C:$C)&amp;"|"&amp;_xlfn.XLOOKUP(K14,道具表!$B:$B,道具表!$A:$A)&amp;"|"</f>
        <v>1|2|</v>
      </c>
      <c r="L41" s="6">
        <f t="shared" si="1"/>
        <v>500</v>
      </c>
      <c r="M41" s="6" t="str">
        <f>_xlfn.XLOOKUP(M14,道具表!$B:$B,道具表!$C:$C)&amp;"|"&amp;_xlfn.XLOOKUP(M14,道具表!$B:$B,道具表!$A:$A)&amp;"|"</f>
        <v>1|10005|</v>
      </c>
      <c r="N41" s="6">
        <f t="shared" si="0"/>
        <v>10</v>
      </c>
      <c r="O41" s="6"/>
      <c r="P41" s="6"/>
      <c r="Q41" s="54" t="str">
        <f t="shared" si="2"/>
        <v>1|2|500,1|10005|10</v>
      </c>
    </row>
    <row r="42" ht="15.6" spans="9:17">
      <c r="I42" s="6"/>
      <c r="J42" s="53" t="s">
        <v>1006</v>
      </c>
      <c r="K42" s="6" t="str">
        <f>_xlfn.XLOOKUP(K15,道具表!$B:$B,道具表!$C:$C)&amp;"|"&amp;_xlfn.XLOOKUP(K15,道具表!$B:$B,道具表!$A:$A)&amp;"|"</f>
        <v>1|2|</v>
      </c>
      <c r="L42" s="6">
        <f t="shared" si="1"/>
        <v>300</v>
      </c>
      <c r="M42" s="6" t="str">
        <f>_xlfn.XLOOKUP(M15,道具表!$B:$B,道具表!$C:$C)&amp;"|"&amp;_xlfn.XLOOKUP(M15,道具表!$B:$B,道具表!$A:$A)&amp;"|"</f>
        <v>1|10005|</v>
      </c>
      <c r="N42" s="6">
        <f t="shared" si="0"/>
        <v>5</v>
      </c>
      <c r="O42" s="6"/>
      <c r="P42" s="6"/>
      <c r="Q42" s="54" t="str">
        <f t="shared" si="2"/>
        <v>1|2|300,1|10005|5</v>
      </c>
    </row>
    <row r="43" ht="15.6" spans="9:17">
      <c r="I43" s="6"/>
      <c r="J43" s="53" t="s">
        <v>1007</v>
      </c>
      <c r="K43" s="6" t="str">
        <f>_xlfn.XLOOKUP(K16,道具表!$B:$B,道具表!$C:$C)&amp;"|"&amp;_xlfn.XLOOKUP(K16,道具表!$B:$B,道具表!$A:$A)&amp;"|"</f>
        <v>1|2|</v>
      </c>
      <c r="L43" s="6">
        <f t="shared" si="1"/>
        <v>200</v>
      </c>
      <c r="M43" s="6" t="str">
        <f>_xlfn.XLOOKUP(M16,道具表!$B:$B,道具表!$C:$C)&amp;"|"&amp;_xlfn.XLOOKUP(M16,道具表!$B:$B,道具表!$A:$A)&amp;"|"</f>
        <v>1|10005|</v>
      </c>
      <c r="N43" s="6">
        <f t="shared" si="0"/>
        <v>3</v>
      </c>
      <c r="O43" s="6"/>
      <c r="P43" s="6"/>
      <c r="Q43" s="54" t="str">
        <f t="shared" si="2"/>
        <v>1|2|200,1|10005|3</v>
      </c>
    </row>
    <row r="44" ht="15.6" spans="9:17">
      <c r="I44" s="6"/>
      <c r="J44" s="53" t="s">
        <v>1008</v>
      </c>
      <c r="K44" s="6" t="str">
        <f>_xlfn.XLOOKUP(K17,道具表!$B:$B,道具表!$C:$C)&amp;"|"&amp;_xlfn.XLOOKUP(K17,道具表!$B:$B,道具表!$A:$A)&amp;"|"</f>
        <v>1|2|</v>
      </c>
      <c r="L44" s="6">
        <f t="shared" si="1"/>
        <v>100</v>
      </c>
      <c r="M44" s="6" t="str">
        <f>_xlfn.XLOOKUP(M17,道具表!$B:$B,道具表!$C:$C)&amp;"|"&amp;_xlfn.XLOOKUP(M17,道具表!$B:$B,道具表!$A:$A)&amp;"|"</f>
        <v>1|10005|</v>
      </c>
      <c r="N44" s="6">
        <f t="shared" si="0"/>
        <v>2</v>
      </c>
      <c r="O44" s="6"/>
      <c r="P44" s="6"/>
      <c r="Q44" s="54" t="str">
        <f t="shared" si="2"/>
        <v>1|2|100,1|10005|2</v>
      </c>
    </row>
    <row r="45" ht="15.6" spans="9:17">
      <c r="I45" s="6" t="s">
        <v>1010</v>
      </c>
      <c r="J45" s="53">
        <v>1</v>
      </c>
      <c r="K45" s="6" t="str">
        <f>_xlfn.XLOOKUP(K18,道具表!$B:$B,道具表!$C:$C)&amp;"|"&amp;_xlfn.XLOOKUP(K18,道具表!$B:$B,道具表!$A:$A)&amp;"|"</f>
        <v>1|2|</v>
      </c>
      <c r="L45" s="6">
        <f t="shared" si="1"/>
        <v>1000</v>
      </c>
      <c r="M45" s="6" t="str">
        <f>_xlfn.XLOOKUP(M18,道具表!$B:$B,道具表!$C:$C)&amp;"|"&amp;_xlfn.XLOOKUP(M18,道具表!$B:$B,道具表!$A:$A)&amp;"|"</f>
        <v>1|6|</v>
      </c>
      <c r="N45" s="6">
        <f t="shared" si="0"/>
        <v>30</v>
      </c>
      <c r="O45" s="6" t="str">
        <f>_xlfn.XLOOKUP(O18,道具表!$B:$B,道具表!$C:$C)&amp;"|"&amp;_xlfn.XLOOKUP(O18,道具表!$B:$B,道具表!$A:$A)&amp;"|"</f>
        <v>7|204|</v>
      </c>
      <c r="P45" s="6">
        <f>P18</f>
        <v>1</v>
      </c>
      <c r="Q45" s="54" t="str">
        <f>K45&amp;L45&amp;","&amp;M45&amp;N45&amp;","&amp;O45&amp;P45</f>
        <v>1|2|1000,1|6|30,7|204|1</v>
      </c>
    </row>
    <row r="46" ht="15.6" spans="9:17">
      <c r="I46" s="6"/>
      <c r="J46" s="53" t="s">
        <v>1004</v>
      </c>
      <c r="K46" s="6" t="str">
        <f>_xlfn.XLOOKUP(K19,道具表!$B:$B,道具表!$C:$C)&amp;"|"&amp;_xlfn.XLOOKUP(K19,道具表!$B:$B,道具表!$A:$A)&amp;"|"</f>
        <v>1|2|</v>
      </c>
      <c r="L46" s="6">
        <f t="shared" si="1"/>
        <v>700</v>
      </c>
      <c r="M46" s="6" t="str">
        <f>_xlfn.XLOOKUP(M19,道具表!$B:$B,道具表!$C:$C)&amp;"|"&amp;_xlfn.XLOOKUP(M19,道具表!$B:$B,道具表!$A:$A)&amp;"|"</f>
        <v>1|6|</v>
      </c>
      <c r="N46" s="6">
        <f t="shared" si="0"/>
        <v>20</v>
      </c>
      <c r="O46" s="6"/>
      <c r="P46" s="6"/>
      <c r="Q46" s="54" t="str">
        <f t="shared" ref="Q46:Q50" si="3">K46&amp;L46&amp;","&amp;M46&amp;N46</f>
        <v>1|2|700,1|6|20</v>
      </c>
    </row>
    <row r="47" ht="15.6" spans="9:17">
      <c r="I47" s="6"/>
      <c r="J47" s="53" t="s">
        <v>1005</v>
      </c>
      <c r="K47" s="6" t="str">
        <f>_xlfn.XLOOKUP(K20,道具表!$B:$B,道具表!$C:$C)&amp;"|"&amp;_xlfn.XLOOKUP(K20,道具表!$B:$B,道具表!$A:$A)&amp;"|"</f>
        <v>1|2|</v>
      </c>
      <c r="L47" s="6">
        <f t="shared" si="1"/>
        <v>500</v>
      </c>
      <c r="M47" s="6" t="str">
        <f>_xlfn.XLOOKUP(M20,道具表!$B:$B,道具表!$C:$C)&amp;"|"&amp;_xlfn.XLOOKUP(M20,道具表!$B:$B,道具表!$A:$A)&amp;"|"</f>
        <v>1|6|</v>
      </c>
      <c r="N47" s="6">
        <f t="shared" si="0"/>
        <v>10</v>
      </c>
      <c r="O47" s="6"/>
      <c r="P47" s="6"/>
      <c r="Q47" s="54" t="str">
        <f t="shared" si="3"/>
        <v>1|2|500,1|6|10</v>
      </c>
    </row>
    <row r="48" ht="15.6" spans="9:17">
      <c r="I48" s="6"/>
      <c r="J48" s="53" t="s">
        <v>1006</v>
      </c>
      <c r="K48" s="6" t="str">
        <f>_xlfn.XLOOKUP(K21,道具表!$B:$B,道具表!$C:$C)&amp;"|"&amp;_xlfn.XLOOKUP(K21,道具表!$B:$B,道具表!$A:$A)&amp;"|"</f>
        <v>1|2|</v>
      </c>
      <c r="L48" s="6">
        <f t="shared" si="1"/>
        <v>300</v>
      </c>
      <c r="M48" s="6" t="str">
        <f>_xlfn.XLOOKUP(M21,道具表!$B:$B,道具表!$C:$C)&amp;"|"&amp;_xlfn.XLOOKUP(M21,道具表!$B:$B,道具表!$A:$A)&amp;"|"</f>
        <v>1|6|</v>
      </c>
      <c r="N48" s="6">
        <f t="shared" si="0"/>
        <v>6</v>
      </c>
      <c r="O48" s="6"/>
      <c r="P48" s="6"/>
      <c r="Q48" s="54" t="str">
        <f t="shared" si="3"/>
        <v>1|2|300,1|6|6</v>
      </c>
    </row>
    <row r="49" ht="15.6" spans="9:17">
      <c r="I49" s="6"/>
      <c r="J49" s="53" t="s">
        <v>1007</v>
      </c>
      <c r="K49" s="6" t="str">
        <f>_xlfn.XLOOKUP(K22,道具表!$B:$B,道具表!$C:$C)&amp;"|"&amp;_xlfn.XLOOKUP(K22,道具表!$B:$B,道具表!$A:$A)&amp;"|"</f>
        <v>1|2|</v>
      </c>
      <c r="L49" s="6">
        <f t="shared" si="1"/>
        <v>200</v>
      </c>
      <c r="M49" s="6" t="str">
        <f>_xlfn.XLOOKUP(M22,道具表!$B:$B,道具表!$C:$C)&amp;"|"&amp;_xlfn.XLOOKUP(M22,道具表!$B:$B,道具表!$A:$A)&amp;"|"</f>
        <v>1|6|</v>
      </c>
      <c r="N49" s="6">
        <f t="shared" si="0"/>
        <v>3</v>
      </c>
      <c r="O49" s="6"/>
      <c r="P49" s="6"/>
      <c r="Q49" s="54" t="str">
        <f t="shared" si="3"/>
        <v>1|2|200,1|6|3</v>
      </c>
    </row>
    <row r="50" ht="15.6" spans="9:17">
      <c r="I50" s="6"/>
      <c r="J50" s="53" t="s">
        <v>1008</v>
      </c>
      <c r="K50" s="6" t="str">
        <f>_xlfn.XLOOKUP(K23,道具表!$B:$B,道具表!$C:$C)&amp;"|"&amp;_xlfn.XLOOKUP(K23,道具表!$B:$B,道具表!$A:$A)&amp;"|"</f>
        <v>1|2|</v>
      </c>
      <c r="L50" s="6">
        <f t="shared" si="1"/>
        <v>100</v>
      </c>
      <c r="M50" s="6" t="str">
        <f>_xlfn.XLOOKUP(M23,道具表!$B:$B,道具表!$C:$C)&amp;"|"&amp;_xlfn.XLOOKUP(M23,道具表!$B:$B,道具表!$A:$A)&amp;"|"</f>
        <v>1|6|</v>
      </c>
      <c r="N50" s="6">
        <f t="shared" si="0"/>
        <v>2</v>
      </c>
      <c r="O50" s="6"/>
      <c r="P50" s="6"/>
      <c r="Q50" s="54" t="str">
        <f t="shared" si="3"/>
        <v>1|2|100,1|6|2</v>
      </c>
    </row>
    <row r="51" ht="15.6" spans="9:17">
      <c r="I51" s="6" t="s">
        <v>1011</v>
      </c>
      <c r="J51" s="53">
        <v>1</v>
      </c>
      <c r="K51" s="6" t="str">
        <f>_xlfn.XLOOKUP(K24,道具表!$B:$B,道具表!$C:$C)&amp;"|"&amp;_xlfn.XLOOKUP(K24,道具表!$B:$B,道具表!$A:$A)&amp;"|"</f>
        <v>1|2|</v>
      </c>
      <c r="L51" s="6">
        <f t="shared" si="1"/>
        <v>1000</v>
      </c>
      <c r="M51" s="6" t="str">
        <f>_xlfn.XLOOKUP(M24,道具表!$B:$B,道具表!$C:$C)&amp;"|"&amp;_xlfn.XLOOKUP(M24,道具表!$B:$B,道具表!$A:$A)&amp;"|"</f>
        <v>1|10010|</v>
      </c>
      <c r="N51" s="6">
        <f t="shared" si="0"/>
        <v>3</v>
      </c>
      <c r="O51" s="6" t="str">
        <f>_xlfn.XLOOKUP(O24,道具表!$B:$B,道具表!$C:$C)&amp;"|"&amp;_xlfn.XLOOKUP(O24,道具表!$B:$B,道具表!$A:$A)&amp;"|"</f>
        <v>7|206|</v>
      </c>
      <c r="P51" s="6">
        <f>P24</f>
        <v>1</v>
      </c>
      <c r="Q51" s="54" t="str">
        <f>K51&amp;L51&amp;","&amp;M51&amp;N51&amp;","&amp;O51&amp;P51</f>
        <v>1|2|1000,1|10010|3,7|206|1</v>
      </c>
    </row>
    <row r="52" ht="15.6" spans="9:17">
      <c r="I52" s="6"/>
      <c r="J52" s="53" t="s">
        <v>1004</v>
      </c>
      <c r="K52" s="6" t="str">
        <f>_xlfn.XLOOKUP(K25,道具表!$B:$B,道具表!$C:$C)&amp;"|"&amp;_xlfn.XLOOKUP(K25,道具表!$B:$B,道具表!$A:$A)&amp;"|"</f>
        <v>1|2|</v>
      </c>
      <c r="L52" s="6">
        <f t="shared" si="1"/>
        <v>700</v>
      </c>
      <c r="M52" s="6" t="str">
        <f>_xlfn.XLOOKUP(M25,道具表!$B:$B,道具表!$C:$C)&amp;"|"&amp;_xlfn.XLOOKUP(M25,道具表!$B:$B,道具表!$A:$A)&amp;"|"</f>
        <v>1|10010|</v>
      </c>
      <c r="N52" s="6">
        <f t="shared" si="0"/>
        <v>2</v>
      </c>
      <c r="O52" s="6"/>
      <c r="P52" s="6"/>
      <c r="Q52" s="54" t="str">
        <f t="shared" ref="Q52:Q56" si="4">K52&amp;L52&amp;","&amp;M52&amp;N52</f>
        <v>1|2|700,1|10010|2</v>
      </c>
    </row>
    <row r="53" ht="15.6" spans="9:17">
      <c r="I53" s="6"/>
      <c r="J53" s="53" t="s">
        <v>1005</v>
      </c>
      <c r="K53" s="6" t="str">
        <f>_xlfn.XLOOKUP(K26,道具表!$B:$B,道具表!$C:$C)&amp;"|"&amp;_xlfn.XLOOKUP(K26,道具表!$B:$B,道具表!$A:$A)&amp;"|"</f>
        <v>1|2|</v>
      </c>
      <c r="L53" s="6">
        <f t="shared" si="1"/>
        <v>500</v>
      </c>
      <c r="M53" s="6" t="str">
        <f>_xlfn.XLOOKUP(M26,道具表!$B:$B,道具表!$C:$C)&amp;"|"&amp;_xlfn.XLOOKUP(M26,道具表!$B:$B,道具表!$A:$A)&amp;"|"</f>
        <v>1|10010|</v>
      </c>
      <c r="N53" s="6">
        <f t="shared" si="0"/>
        <v>1</v>
      </c>
      <c r="O53" s="6"/>
      <c r="P53" s="6"/>
      <c r="Q53" s="54" t="str">
        <f t="shared" si="4"/>
        <v>1|2|500,1|10010|1</v>
      </c>
    </row>
    <row r="54" ht="15.6" spans="9:17">
      <c r="I54" s="6"/>
      <c r="J54" s="53" t="s">
        <v>1006</v>
      </c>
      <c r="K54" s="6" t="str">
        <f>_xlfn.XLOOKUP(K27,道具表!$B:$B,道具表!$C:$C)&amp;"|"&amp;_xlfn.XLOOKUP(K27,道具表!$B:$B,道具表!$A:$A)&amp;"|"</f>
        <v>1|2|</v>
      </c>
      <c r="L54" s="6">
        <f t="shared" si="1"/>
        <v>300</v>
      </c>
      <c r="M54" s="6" t="str">
        <f>_xlfn.XLOOKUP(M27,道具表!$B:$B,道具表!$C:$C)&amp;"|"&amp;_xlfn.XLOOKUP(M27,道具表!$B:$B,道具表!$A:$A)&amp;"|"</f>
        <v>1|10009|</v>
      </c>
      <c r="N54" s="6">
        <f t="shared" si="0"/>
        <v>5</v>
      </c>
      <c r="O54" s="6"/>
      <c r="P54" s="6"/>
      <c r="Q54" s="54" t="str">
        <f t="shared" si="4"/>
        <v>1|2|300,1|10009|5</v>
      </c>
    </row>
    <row r="55" ht="15.6" spans="9:17">
      <c r="I55" s="6"/>
      <c r="J55" s="53" t="s">
        <v>1007</v>
      </c>
      <c r="K55" s="6" t="str">
        <f>_xlfn.XLOOKUP(K28,道具表!$B:$B,道具表!$C:$C)&amp;"|"&amp;_xlfn.XLOOKUP(K28,道具表!$B:$B,道具表!$A:$A)&amp;"|"</f>
        <v>1|2|</v>
      </c>
      <c r="L55" s="6">
        <f t="shared" si="1"/>
        <v>200</v>
      </c>
      <c r="M55" s="6" t="str">
        <f>_xlfn.XLOOKUP(M28,道具表!$B:$B,道具表!$C:$C)&amp;"|"&amp;_xlfn.XLOOKUP(M28,道具表!$B:$B,道具表!$A:$A)&amp;"|"</f>
        <v>1|10009|</v>
      </c>
      <c r="N55" s="6">
        <f t="shared" si="0"/>
        <v>3</v>
      </c>
      <c r="O55" s="6"/>
      <c r="P55" s="6"/>
      <c r="Q55" s="54" t="str">
        <f t="shared" si="4"/>
        <v>1|2|200,1|10009|3</v>
      </c>
    </row>
    <row r="56" ht="15.6" spans="9:17">
      <c r="I56" s="6"/>
      <c r="J56" s="53" t="s">
        <v>1008</v>
      </c>
      <c r="K56" s="6" t="str">
        <f>_xlfn.XLOOKUP(K29,道具表!$B:$B,道具表!$C:$C)&amp;"|"&amp;_xlfn.XLOOKUP(K29,道具表!$B:$B,道具表!$A:$A)&amp;"|"</f>
        <v>1|2|</v>
      </c>
      <c r="L56" s="6">
        <f t="shared" si="1"/>
        <v>100</v>
      </c>
      <c r="M56" s="6" t="str">
        <f>_xlfn.XLOOKUP(M29,道具表!$B:$B,道具表!$C:$C)&amp;"|"&amp;_xlfn.XLOOKUP(M29,道具表!$B:$B,道具表!$A:$A)&amp;"|"</f>
        <v>1|10009|</v>
      </c>
      <c r="N56" s="6">
        <f t="shared" si="0"/>
        <v>2</v>
      </c>
      <c r="O56" s="6"/>
      <c r="P56" s="6"/>
      <c r="Q56" s="54" t="str">
        <f t="shared" si="4"/>
        <v>1|2|100,1|10009|2</v>
      </c>
    </row>
  </sheetData>
  <mergeCells count="8">
    <mergeCell ref="I6:I11"/>
    <mergeCell ref="I12:I17"/>
    <mergeCell ref="I18:I23"/>
    <mergeCell ref="I24:I29"/>
    <mergeCell ref="I33:I38"/>
    <mergeCell ref="I39:I44"/>
    <mergeCell ref="I45:I50"/>
    <mergeCell ref="I51:I56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4:S32"/>
  <sheetViews>
    <sheetView topLeftCell="D1" workbookViewId="0">
      <selection activeCell="I7" sqref="I7"/>
    </sheetView>
  </sheetViews>
  <sheetFormatPr defaultColWidth="8.88888888888889" defaultRowHeight="14.4"/>
  <cols>
    <col min="11" max="11" width="9"/>
    <col min="15" max="15" width="32.1111111111111" customWidth="1"/>
  </cols>
  <sheetData>
    <row r="4" spans="6:19">
      <c r="F4" s="7" t="s">
        <v>1012</v>
      </c>
      <c r="G4" s="7" t="s">
        <v>1013</v>
      </c>
      <c r="H4" s="7" t="s">
        <v>322</v>
      </c>
      <c r="I4" s="7" t="s">
        <v>323</v>
      </c>
      <c r="J4" s="7" t="s">
        <v>1014</v>
      </c>
      <c r="K4" s="7" t="s">
        <v>324</v>
      </c>
      <c r="L4" s="7" t="s">
        <v>341</v>
      </c>
      <c r="N4" s="7" t="s">
        <v>1015</v>
      </c>
      <c r="O4" s="7" t="s">
        <v>1016</v>
      </c>
      <c r="P4" s="7" t="s">
        <v>322</v>
      </c>
      <c r="Q4" s="7" t="s">
        <v>323</v>
      </c>
      <c r="R4" s="7" t="s">
        <v>324</v>
      </c>
      <c r="S4" s="7" t="s">
        <v>341</v>
      </c>
    </row>
    <row r="5" ht="15.6" spans="6:19">
      <c r="F5" s="7"/>
      <c r="G5" s="7" t="s">
        <v>1017</v>
      </c>
      <c r="H5" s="7" t="s">
        <v>278</v>
      </c>
      <c r="I5" s="7">
        <v>1</v>
      </c>
      <c r="J5" s="7">
        <v>1</v>
      </c>
      <c r="K5" s="6">
        <f>_xlfn.XLOOKUP(H5,道具表!$B:$B,道具表!$E:$E)</f>
        <v>2625</v>
      </c>
      <c r="L5" s="7">
        <f>I5*K5</f>
        <v>2625</v>
      </c>
      <c r="N5" s="7"/>
      <c r="O5" s="51" t="s">
        <v>1018</v>
      </c>
      <c r="P5" s="7" t="s">
        <v>6</v>
      </c>
      <c r="Q5" s="7">
        <v>300</v>
      </c>
      <c r="R5" s="6">
        <f>_xlfn.XLOOKUP(P5,道具表!$B:$B,道具表!$E:$E)</f>
        <v>1</v>
      </c>
      <c r="S5" s="7">
        <f>Q5*R5</f>
        <v>300</v>
      </c>
    </row>
    <row r="6" ht="15.6" spans="6:19">
      <c r="F6" s="7"/>
      <c r="G6" s="7" t="s">
        <v>1019</v>
      </c>
      <c r="H6" s="7" t="s">
        <v>6</v>
      </c>
      <c r="I6" s="7">
        <v>1500</v>
      </c>
      <c r="J6" s="7">
        <v>10</v>
      </c>
      <c r="K6" s="6">
        <f>_xlfn.XLOOKUP(H6,道具表!$B:$B,道具表!$E:$E)</f>
        <v>1</v>
      </c>
      <c r="L6" s="7">
        <f t="shared" ref="L6:L16" si="0">I6*K6</f>
        <v>1500</v>
      </c>
      <c r="N6" s="7"/>
      <c r="O6" s="51" t="s">
        <v>1020</v>
      </c>
      <c r="P6" s="7" t="s">
        <v>6</v>
      </c>
      <c r="Q6" s="7">
        <v>300</v>
      </c>
      <c r="R6" s="6">
        <f>_xlfn.XLOOKUP(P6,道具表!$B:$B,道具表!$E:$E)</f>
        <v>1</v>
      </c>
      <c r="S6" s="7">
        <f t="shared" ref="S6:S13" si="1">Q6*R6</f>
        <v>300</v>
      </c>
    </row>
    <row r="7" ht="15.6" spans="6:19">
      <c r="F7" s="7"/>
      <c r="G7" s="7" t="s">
        <v>1021</v>
      </c>
      <c r="H7" s="7" t="s">
        <v>48</v>
      </c>
      <c r="I7" s="7">
        <v>5</v>
      </c>
      <c r="J7" s="7">
        <v>100</v>
      </c>
      <c r="K7" s="6">
        <f>_xlfn.XLOOKUP(H7,道具表!$B:$B,道具表!$E:$E)</f>
        <v>102</v>
      </c>
      <c r="L7" s="7">
        <f t="shared" si="0"/>
        <v>510</v>
      </c>
      <c r="N7" s="7"/>
      <c r="O7" s="51" t="s">
        <v>1022</v>
      </c>
      <c r="P7" s="7" t="s">
        <v>6</v>
      </c>
      <c r="Q7" s="7">
        <v>400</v>
      </c>
      <c r="R7" s="6">
        <f>_xlfn.XLOOKUP(P7,道具表!$B:$B,道具表!$E:$E)</f>
        <v>1</v>
      </c>
      <c r="S7" s="7">
        <f t="shared" si="1"/>
        <v>400</v>
      </c>
    </row>
    <row r="8" ht="15.6" spans="6:19">
      <c r="F8" s="7"/>
      <c r="G8" s="7" t="s">
        <v>1021</v>
      </c>
      <c r="H8" s="7" t="s">
        <v>10</v>
      </c>
      <c r="I8" s="7">
        <v>5</v>
      </c>
      <c r="J8" s="7">
        <v>500</v>
      </c>
      <c r="K8" s="6">
        <f>_xlfn.XLOOKUP(H8,道具表!$B:$B,道具表!$E:$E)</f>
        <v>100</v>
      </c>
      <c r="L8" s="7">
        <f t="shared" si="0"/>
        <v>500</v>
      </c>
      <c r="N8" s="7"/>
      <c r="O8" s="51" t="s">
        <v>1023</v>
      </c>
      <c r="P8" s="7" t="s">
        <v>6</v>
      </c>
      <c r="Q8" s="7">
        <v>500</v>
      </c>
      <c r="R8" s="6">
        <f>_xlfn.XLOOKUP(P8,道具表!$B:$B,道具表!$E:$E)</f>
        <v>1</v>
      </c>
      <c r="S8" s="7">
        <f t="shared" si="1"/>
        <v>500</v>
      </c>
    </row>
    <row r="9" ht="15.6" spans="6:19">
      <c r="F9" s="7"/>
      <c r="G9" s="7" t="s">
        <v>1021</v>
      </c>
      <c r="H9" s="7" t="s">
        <v>6</v>
      </c>
      <c r="I9" s="7">
        <v>400</v>
      </c>
      <c r="J9" s="7">
        <v>5000</v>
      </c>
      <c r="K9" s="6">
        <f>_xlfn.XLOOKUP(H9,道具表!$B:$B,道具表!$E:$E)</f>
        <v>1</v>
      </c>
      <c r="L9" s="7">
        <f t="shared" si="0"/>
        <v>400</v>
      </c>
      <c r="N9" s="7"/>
      <c r="O9" s="51" t="s">
        <v>1024</v>
      </c>
      <c r="P9" s="7" t="s">
        <v>6</v>
      </c>
      <c r="Q9" s="7">
        <v>500</v>
      </c>
      <c r="R9" s="6">
        <f>_xlfn.XLOOKUP(P9,道具表!$B:$B,道具表!$E:$E)</f>
        <v>1</v>
      </c>
      <c r="S9" s="7">
        <f t="shared" si="1"/>
        <v>500</v>
      </c>
    </row>
    <row r="10" ht="15.6" spans="6:19">
      <c r="F10" s="7"/>
      <c r="G10" s="7" t="s">
        <v>1021</v>
      </c>
      <c r="H10" s="7" t="s">
        <v>48</v>
      </c>
      <c r="I10" s="7">
        <v>2</v>
      </c>
      <c r="J10" s="7">
        <v>5000</v>
      </c>
      <c r="K10" s="6">
        <f>_xlfn.XLOOKUP(H10,道具表!$B:$B,道具表!$E:$E)</f>
        <v>102</v>
      </c>
      <c r="L10" s="7">
        <f t="shared" si="0"/>
        <v>204</v>
      </c>
      <c r="N10" s="7"/>
      <c r="O10" s="51" t="s">
        <v>1025</v>
      </c>
      <c r="P10" s="7" t="s">
        <v>6</v>
      </c>
      <c r="Q10" s="7">
        <v>600</v>
      </c>
      <c r="R10" s="6">
        <f>_xlfn.XLOOKUP(P10,道具表!$B:$B,道具表!$E:$E)</f>
        <v>1</v>
      </c>
      <c r="S10" s="7">
        <f t="shared" si="1"/>
        <v>600</v>
      </c>
    </row>
    <row r="11" ht="15.6" spans="6:19">
      <c r="F11" s="7"/>
      <c r="G11" s="7" t="s">
        <v>1021</v>
      </c>
      <c r="H11" s="7" t="s">
        <v>46</v>
      </c>
      <c r="I11" s="7">
        <v>400</v>
      </c>
      <c r="J11" s="7">
        <v>5000</v>
      </c>
      <c r="K11" s="6">
        <f>_xlfn.XLOOKUP(H11,道具表!$B:$B,道具表!$E:$E)</f>
        <v>0.5</v>
      </c>
      <c r="L11" s="7">
        <f t="shared" si="0"/>
        <v>200</v>
      </c>
      <c r="N11" s="7"/>
      <c r="O11" s="51" t="s">
        <v>1026</v>
      </c>
      <c r="P11" s="7" t="s">
        <v>43</v>
      </c>
      <c r="Q11" s="7">
        <v>4</v>
      </c>
      <c r="R11" s="6">
        <f>_xlfn.XLOOKUP(P11,道具表!$B:$B,道具表!$E:$E)</f>
        <v>500</v>
      </c>
      <c r="S11" s="7">
        <f t="shared" si="1"/>
        <v>2000</v>
      </c>
    </row>
    <row r="12" ht="15.6" spans="6:19">
      <c r="F12" s="7"/>
      <c r="G12" s="7" t="s">
        <v>1021</v>
      </c>
      <c r="H12" s="7" t="s">
        <v>47</v>
      </c>
      <c r="I12" s="7">
        <v>20</v>
      </c>
      <c r="J12" s="7">
        <v>10000</v>
      </c>
      <c r="K12" s="6">
        <f>_xlfn.XLOOKUP(H12,道具表!$B:$B,道具表!$E:$E)</f>
        <v>15</v>
      </c>
      <c r="L12" s="7">
        <f t="shared" si="0"/>
        <v>300</v>
      </c>
      <c r="N12" s="7"/>
      <c r="O12" s="51" t="s">
        <v>1027</v>
      </c>
      <c r="P12" s="7" t="s">
        <v>54</v>
      </c>
      <c r="Q12" s="7">
        <v>60</v>
      </c>
      <c r="R12" s="6">
        <f>_xlfn.XLOOKUP(P12,道具表!$B:$B,道具表!$E:$E)</f>
        <v>50</v>
      </c>
      <c r="S12" s="7">
        <f t="shared" si="1"/>
        <v>3000</v>
      </c>
    </row>
    <row r="13" ht="15.6" spans="6:19">
      <c r="F13" s="7"/>
      <c r="G13" s="7" t="s">
        <v>1021</v>
      </c>
      <c r="H13" s="7" t="s">
        <v>42</v>
      </c>
      <c r="I13" s="7">
        <v>5</v>
      </c>
      <c r="J13" s="7">
        <v>10000</v>
      </c>
      <c r="K13" s="6">
        <f>_xlfn.XLOOKUP(H13,道具表!$B:$B,道具表!$E:$E)</f>
        <v>40</v>
      </c>
      <c r="L13" s="7">
        <f t="shared" si="0"/>
        <v>200</v>
      </c>
      <c r="N13" s="7"/>
      <c r="O13" s="51" t="s">
        <v>1028</v>
      </c>
      <c r="P13" s="7" t="s">
        <v>171</v>
      </c>
      <c r="Q13" s="7">
        <v>1</v>
      </c>
      <c r="R13" s="6">
        <f>_xlfn.XLOOKUP(P13,道具表!$B:$B,道具表!$E:$E)</f>
        <v>19916</v>
      </c>
      <c r="S13" s="7">
        <f t="shared" si="1"/>
        <v>19916</v>
      </c>
    </row>
    <row r="14" ht="15.6" spans="6:14">
      <c r="F14" s="7"/>
      <c r="G14" s="7" t="s">
        <v>1021</v>
      </c>
      <c r="H14" s="7" t="s">
        <v>6</v>
      </c>
      <c r="I14" s="7">
        <v>200</v>
      </c>
      <c r="J14" s="7">
        <v>10000</v>
      </c>
      <c r="K14" s="6">
        <f>_xlfn.XLOOKUP(H14,道具表!$B:$B,道具表!$E:$E)</f>
        <v>1</v>
      </c>
      <c r="L14" s="7">
        <f t="shared" si="0"/>
        <v>200</v>
      </c>
      <c r="N14" s="52"/>
    </row>
    <row r="15" ht="15.6" spans="6:12">
      <c r="F15" s="7"/>
      <c r="G15" s="7" t="s">
        <v>1021</v>
      </c>
      <c r="H15" s="7" t="s">
        <v>9</v>
      </c>
      <c r="I15" s="7">
        <v>200</v>
      </c>
      <c r="J15" s="7">
        <v>10000</v>
      </c>
      <c r="K15" s="6">
        <f>_xlfn.XLOOKUP(H15,道具表!$B:$B,道具表!$E:$E)</f>
        <v>1</v>
      </c>
      <c r="L15" s="7">
        <f t="shared" si="0"/>
        <v>200</v>
      </c>
    </row>
    <row r="16" ht="15.6" spans="6:12">
      <c r="F16" s="7"/>
      <c r="G16" s="7" t="s">
        <v>1021</v>
      </c>
      <c r="H16" s="7" t="s">
        <v>6</v>
      </c>
      <c r="I16" s="7">
        <v>200</v>
      </c>
      <c r="J16" s="7">
        <v>10000</v>
      </c>
      <c r="K16" s="6">
        <f>_xlfn.XLOOKUP(H16,道具表!$B:$B,道具表!$E:$E)</f>
        <v>1</v>
      </c>
      <c r="L16" s="7">
        <f t="shared" si="0"/>
        <v>200</v>
      </c>
    </row>
    <row r="20" spans="6:19">
      <c r="F20" s="7" t="s">
        <v>1012</v>
      </c>
      <c r="G20" s="7" t="s">
        <v>1013</v>
      </c>
      <c r="H20" s="7" t="s">
        <v>322</v>
      </c>
      <c r="I20" s="7" t="s">
        <v>323</v>
      </c>
      <c r="J20" s="7" t="s">
        <v>1014</v>
      </c>
      <c r="K20" s="7" t="s">
        <v>327</v>
      </c>
      <c r="L20" s="7"/>
      <c r="N20" s="7" t="s">
        <v>1015</v>
      </c>
      <c r="O20" s="7" t="s">
        <v>1016</v>
      </c>
      <c r="P20" s="7" t="s">
        <v>322</v>
      </c>
      <c r="Q20" s="7" t="s">
        <v>323</v>
      </c>
      <c r="R20" s="7" t="s">
        <v>327</v>
      </c>
      <c r="S20" s="7"/>
    </row>
    <row r="21" ht="15.6" spans="6:19">
      <c r="F21" s="7"/>
      <c r="G21" s="7" t="s">
        <v>1017</v>
      </c>
      <c r="H21" s="6" t="str">
        <f>_xlfn.XLOOKUP(H5,道具表!$B:$B,道具表!$C:$C)&amp;"|"&amp;_xlfn.XLOOKUP(H5,道具表!$B:$B,道具表!$A:$A)&amp;"|"</f>
        <v>11|5200|</v>
      </c>
      <c r="I21" s="7">
        <v>1</v>
      </c>
      <c r="J21" s="7">
        <v>1</v>
      </c>
      <c r="K21" s="7" t="str">
        <f>H21&amp;I21</f>
        <v>11|5200|1</v>
      </c>
      <c r="L21" s="7"/>
      <c r="N21" s="7"/>
      <c r="O21" s="51" t="s">
        <v>1018</v>
      </c>
      <c r="P21" s="6" t="str">
        <f>_xlfn.XLOOKUP(P5,道具表!$B:$B,道具表!$C:$C)&amp;"|"&amp;_xlfn.XLOOKUP(P5,道具表!$B:$B,道具表!$A:$A)&amp;"|"</f>
        <v>1|2|</v>
      </c>
      <c r="Q21" s="7">
        <v>300</v>
      </c>
      <c r="R21" s="7" t="str">
        <f>P21&amp;Q21</f>
        <v>1|2|300</v>
      </c>
      <c r="S21" s="7"/>
    </row>
    <row r="22" ht="15.6" spans="6:19">
      <c r="F22" s="7"/>
      <c r="G22" s="7" t="s">
        <v>1019</v>
      </c>
      <c r="H22" s="6" t="str">
        <f>_xlfn.XLOOKUP(H6,道具表!$B:$B,道具表!$C:$C)&amp;"|"&amp;_xlfn.XLOOKUP(H6,道具表!$B:$B,道具表!$A:$A)&amp;"|"</f>
        <v>1|2|</v>
      </c>
      <c r="I22" s="7">
        <v>1</v>
      </c>
      <c r="J22" s="7">
        <v>50</v>
      </c>
      <c r="K22" s="7" t="str">
        <f t="shared" ref="K22:K32" si="2">H22&amp;I22</f>
        <v>1|2|1</v>
      </c>
      <c r="L22" s="7"/>
      <c r="N22" s="7"/>
      <c r="O22" s="51" t="s">
        <v>1020</v>
      </c>
      <c r="P22" s="6" t="str">
        <f>_xlfn.XLOOKUP(P6,道具表!$B:$B,道具表!$C:$C)&amp;"|"&amp;_xlfn.XLOOKUP(P6,道具表!$B:$B,道具表!$A:$A)&amp;"|"</f>
        <v>1|2|</v>
      </c>
      <c r="Q22" s="7">
        <v>300</v>
      </c>
      <c r="R22" s="7" t="str">
        <f t="shared" ref="R22:R29" si="3">P22&amp;Q22</f>
        <v>1|2|300</v>
      </c>
      <c r="S22" s="7"/>
    </row>
    <row r="23" ht="15.6" spans="6:19">
      <c r="F23" s="7"/>
      <c r="G23" s="7" t="s">
        <v>1021</v>
      </c>
      <c r="H23" s="6" t="str">
        <f>_xlfn.XLOOKUP(H7,道具表!$B:$B,道具表!$C:$C)&amp;"|"&amp;_xlfn.XLOOKUP(H7,道具表!$B:$B,道具表!$A:$A)&amp;"|"</f>
        <v>1|10009|</v>
      </c>
      <c r="I23" s="7">
        <v>20</v>
      </c>
      <c r="J23" s="7">
        <v>2000</v>
      </c>
      <c r="K23" s="7" t="str">
        <f t="shared" si="2"/>
        <v>1|10009|20</v>
      </c>
      <c r="L23" s="7"/>
      <c r="N23" s="7"/>
      <c r="O23" s="51" t="s">
        <v>1022</v>
      </c>
      <c r="P23" s="6" t="str">
        <f>_xlfn.XLOOKUP(P7,道具表!$B:$B,道具表!$C:$C)&amp;"|"&amp;_xlfn.XLOOKUP(P7,道具表!$B:$B,道具表!$A:$A)&amp;"|"</f>
        <v>1|2|</v>
      </c>
      <c r="Q23" s="7">
        <v>400</v>
      </c>
      <c r="R23" s="7" t="str">
        <f t="shared" si="3"/>
        <v>1|2|400</v>
      </c>
      <c r="S23" s="7"/>
    </row>
    <row r="24" ht="15.6" spans="6:19">
      <c r="F24" s="7"/>
      <c r="G24" s="7" t="s">
        <v>1021</v>
      </c>
      <c r="H24" s="6" t="str">
        <f>_xlfn.XLOOKUP(H8,道具表!$B:$B,道具表!$C:$C)&amp;"|"&amp;_xlfn.XLOOKUP(H8,道具表!$B:$B,道具表!$A:$A)&amp;"|"</f>
        <v>1|6|</v>
      </c>
      <c r="I24" s="7">
        <v>80</v>
      </c>
      <c r="J24" s="7">
        <v>2000</v>
      </c>
      <c r="K24" s="7" t="str">
        <f t="shared" si="2"/>
        <v>1|6|80</v>
      </c>
      <c r="L24" s="7"/>
      <c r="N24" s="7"/>
      <c r="O24" s="51" t="s">
        <v>1023</v>
      </c>
      <c r="P24" s="6" t="str">
        <f>_xlfn.XLOOKUP(P8,道具表!$B:$B,道具表!$C:$C)&amp;"|"&amp;_xlfn.XLOOKUP(P8,道具表!$B:$B,道具表!$A:$A)&amp;"|"</f>
        <v>1|2|</v>
      </c>
      <c r="Q24" s="7">
        <v>500</v>
      </c>
      <c r="R24" s="7" t="str">
        <f t="shared" si="3"/>
        <v>1|2|500</v>
      </c>
      <c r="S24" s="7"/>
    </row>
    <row r="25" ht="15.6" spans="6:19">
      <c r="F25" s="7"/>
      <c r="G25" s="7" t="s">
        <v>1021</v>
      </c>
      <c r="H25" s="6" t="str">
        <f>_xlfn.XLOOKUP(H9,道具表!$B:$B,道具表!$C:$C)&amp;"|"&amp;_xlfn.XLOOKUP(H9,道具表!$B:$B,道具表!$A:$A)&amp;"|"</f>
        <v>1|2|</v>
      </c>
      <c r="I25" s="7">
        <v>400</v>
      </c>
      <c r="J25" s="7">
        <v>10000</v>
      </c>
      <c r="K25" s="7" t="str">
        <f t="shared" si="2"/>
        <v>1|2|400</v>
      </c>
      <c r="L25" s="7"/>
      <c r="N25" s="7"/>
      <c r="O25" s="51" t="s">
        <v>1024</v>
      </c>
      <c r="P25" s="6" t="str">
        <f>_xlfn.XLOOKUP(P9,道具表!$B:$B,道具表!$C:$C)&amp;"|"&amp;_xlfn.XLOOKUP(P9,道具表!$B:$B,道具表!$A:$A)&amp;"|"</f>
        <v>1|2|</v>
      </c>
      <c r="Q25" s="7">
        <v>500</v>
      </c>
      <c r="R25" s="7" t="str">
        <f t="shared" si="3"/>
        <v>1|2|500</v>
      </c>
      <c r="S25" s="7"/>
    </row>
    <row r="26" ht="15.6" spans="6:19">
      <c r="F26" s="7"/>
      <c r="G26" s="7" t="s">
        <v>1021</v>
      </c>
      <c r="H26" s="6" t="str">
        <f>_xlfn.XLOOKUP(H10,道具表!$B:$B,道具表!$C:$C)&amp;"|"&amp;_xlfn.XLOOKUP(H10,道具表!$B:$B,道具表!$A:$A)&amp;"|"</f>
        <v>1|10009|</v>
      </c>
      <c r="I26" s="7">
        <v>8</v>
      </c>
      <c r="J26" s="7">
        <v>10000</v>
      </c>
      <c r="K26" s="7" t="str">
        <f t="shared" si="2"/>
        <v>1|10009|8</v>
      </c>
      <c r="L26" s="7"/>
      <c r="N26" s="7"/>
      <c r="O26" s="51" t="s">
        <v>1025</v>
      </c>
      <c r="P26" s="6" t="str">
        <f>_xlfn.XLOOKUP(P10,道具表!$B:$B,道具表!$C:$C)&amp;"|"&amp;_xlfn.XLOOKUP(P10,道具表!$B:$B,道具表!$A:$A)&amp;"|"</f>
        <v>1|2|</v>
      </c>
      <c r="Q26" s="7">
        <v>600</v>
      </c>
      <c r="R26" s="7" t="str">
        <f t="shared" si="3"/>
        <v>1|2|600</v>
      </c>
      <c r="S26" s="7"/>
    </row>
    <row r="27" ht="15.6" spans="6:19">
      <c r="F27" s="7"/>
      <c r="G27" s="7" t="s">
        <v>1021</v>
      </c>
      <c r="H27" s="6" t="str">
        <f>_xlfn.XLOOKUP(H11,道具表!$B:$B,道具表!$C:$C)&amp;"|"&amp;_xlfn.XLOOKUP(H11,道具表!$B:$B,道具表!$A:$A)&amp;"|"</f>
        <v>1|10006|</v>
      </c>
      <c r="I27" s="7">
        <v>400</v>
      </c>
      <c r="J27" s="7">
        <v>10000</v>
      </c>
      <c r="K27" s="7" t="str">
        <f t="shared" si="2"/>
        <v>1|10006|400</v>
      </c>
      <c r="L27" s="7"/>
      <c r="N27" s="7"/>
      <c r="O27" s="51" t="s">
        <v>1026</v>
      </c>
      <c r="P27" s="6" t="str">
        <f>_xlfn.XLOOKUP(P11,道具表!$B:$B,道具表!$C:$C)&amp;"|"&amp;_xlfn.XLOOKUP(P11,道具表!$B:$B,道具表!$A:$A)&amp;"|"</f>
        <v>1|10003|</v>
      </c>
      <c r="Q27" s="7">
        <v>4</v>
      </c>
      <c r="R27" s="7" t="str">
        <f t="shared" si="3"/>
        <v>1|10003|4</v>
      </c>
      <c r="S27" s="7"/>
    </row>
    <row r="28" ht="15.6" spans="6:19">
      <c r="F28" s="7"/>
      <c r="G28" s="7" t="s">
        <v>1021</v>
      </c>
      <c r="H28" s="6" t="str">
        <f>_xlfn.XLOOKUP(H12,道具表!$B:$B,道具表!$C:$C)&amp;"|"&amp;_xlfn.XLOOKUP(H12,道具表!$B:$B,道具表!$A:$A)&amp;"|"</f>
        <v>1|10007|</v>
      </c>
      <c r="I28" s="7">
        <v>20</v>
      </c>
      <c r="J28" s="7">
        <v>10000</v>
      </c>
      <c r="K28" s="7" t="str">
        <f t="shared" si="2"/>
        <v>1|10007|20</v>
      </c>
      <c r="L28" s="7"/>
      <c r="N28" s="7"/>
      <c r="O28" s="51" t="s">
        <v>1027</v>
      </c>
      <c r="P28" s="6" t="str">
        <f>_xlfn.XLOOKUP(P12,道具表!$B:$B,道具表!$C:$C)&amp;"|"&amp;_xlfn.XLOOKUP(P12,道具表!$B:$B,道具表!$A:$A)&amp;"|"</f>
        <v>1|10015|</v>
      </c>
      <c r="Q28" s="7">
        <v>8</v>
      </c>
      <c r="R28" s="7" t="str">
        <f t="shared" si="3"/>
        <v>1|10015|8</v>
      </c>
      <c r="S28" s="7"/>
    </row>
    <row r="29" ht="15.6" spans="6:19">
      <c r="F29" s="7"/>
      <c r="G29" s="7" t="s">
        <v>1021</v>
      </c>
      <c r="H29" s="6" t="str">
        <f>_xlfn.XLOOKUP(H13,道具表!$B:$B,道具表!$C:$C)&amp;"|"&amp;_xlfn.XLOOKUP(H13,道具表!$B:$B,道具表!$A:$A)&amp;"|"</f>
        <v>1|10002|</v>
      </c>
      <c r="I29" s="7">
        <v>5</v>
      </c>
      <c r="J29" s="7">
        <v>20000</v>
      </c>
      <c r="K29" s="7" t="str">
        <f t="shared" si="2"/>
        <v>1|10002|5</v>
      </c>
      <c r="L29" s="7"/>
      <c r="N29" s="7"/>
      <c r="O29" s="51" t="s">
        <v>1028</v>
      </c>
      <c r="P29" s="6" t="str">
        <f>_xlfn.XLOOKUP(P13,道具表!$B:$B,道具表!$C:$C)&amp;"|"&amp;_xlfn.XLOOKUP(P13,道具表!$B:$B,道具表!$A:$A)&amp;"|"</f>
        <v>4|505|</v>
      </c>
      <c r="Q29" s="7">
        <v>1</v>
      </c>
      <c r="R29" s="7" t="str">
        <f t="shared" si="3"/>
        <v>4|505|1</v>
      </c>
      <c r="S29" s="7"/>
    </row>
    <row r="30" ht="15.6" spans="6:14">
      <c r="F30" s="7"/>
      <c r="G30" s="7" t="s">
        <v>1021</v>
      </c>
      <c r="H30" s="6" t="str">
        <f>_xlfn.XLOOKUP(H14,道具表!$B:$B,道具表!$C:$C)&amp;"|"&amp;_xlfn.XLOOKUP(H14,道具表!$B:$B,道具表!$A:$A)&amp;"|"</f>
        <v>1|2|</v>
      </c>
      <c r="I30" s="7">
        <v>200</v>
      </c>
      <c r="J30" s="7">
        <v>20000</v>
      </c>
      <c r="K30" s="7" t="str">
        <f t="shared" si="2"/>
        <v>1|2|200</v>
      </c>
      <c r="L30" s="7"/>
      <c r="N30" s="52"/>
    </row>
    <row r="31" ht="15.6" spans="6:12">
      <c r="F31" s="7"/>
      <c r="G31" s="7" t="s">
        <v>1021</v>
      </c>
      <c r="H31" s="6" t="str">
        <f>_xlfn.XLOOKUP(H15,道具表!$B:$B,道具表!$C:$C)&amp;"|"&amp;_xlfn.XLOOKUP(H15,道具表!$B:$B,道具表!$A:$A)&amp;"|"</f>
        <v>1|5|</v>
      </c>
      <c r="I31" s="7">
        <v>200</v>
      </c>
      <c r="J31" s="7">
        <v>20000</v>
      </c>
      <c r="K31" s="7" t="str">
        <f t="shared" si="2"/>
        <v>1|5|200</v>
      </c>
      <c r="L31" s="7"/>
    </row>
    <row r="32" ht="15.6" spans="6:12">
      <c r="F32" s="7"/>
      <c r="G32" s="7" t="s">
        <v>1021</v>
      </c>
      <c r="H32" s="6" t="str">
        <f>_xlfn.XLOOKUP(H16,道具表!$B:$B,道具表!$C:$C)&amp;"|"&amp;_xlfn.XLOOKUP(H16,道具表!$B:$B,道具表!$A:$A)&amp;"|"</f>
        <v>1|2|</v>
      </c>
      <c r="I32" s="7">
        <v>200</v>
      </c>
      <c r="J32" s="7">
        <v>20000</v>
      </c>
      <c r="K32" s="7" t="str">
        <f t="shared" si="2"/>
        <v>1|2|200</v>
      </c>
      <c r="L32" s="7"/>
    </row>
  </sheetData>
  <mergeCells count="4">
    <mergeCell ref="F4:F16"/>
    <mergeCell ref="F20:F32"/>
    <mergeCell ref="N4:N13"/>
    <mergeCell ref="N20:N29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O73"/>
  <sheetViews>
    <sheetView topLeftCell="A4" workbookViewId="0">
      <selection activeCell="G6" sqref="G6"/>
    </sheetView>
  </sheetViews>
  <sheetFormatPr defaultColWidth="8.88888888888889" defaultRowHeight="14.4"/>
  <cols>
    <col min="7" max="7" width="12.5555555555556" customWidth="1"/>
    <col min="10" max="10" width="9"/>
    <col min="15" max="15" width="9"/>
    <col min="17" max="17" width="12.8888888888889"/>
    <col min="18" max="18" width="9"/>
    <col min="19" max="19" width="10.2222222222222"/>
    <col min="20" max="20" width="12.8888888888889"/>
    <col min="23" max="23" width="12.8888888888889"/>
    <col min="24" max="24" width="13.3333333333333" customWidth="1"/>
    <col min="30" max="30" width="11.8888888888889"/>
    <col min="31" max="31" width="14.1111111111111"/>
    <col min="32" max="32" width="13"/>
    <col min="33" max="33" width="11.8888888888889"/>
    <col min="36" max="36" width="31.5555555555556" customWidth="1"/>
  </cols>
  <sheetData>
    <row r="2" spans="24:28">
      <c r="X2" t="s">
        <v>828</v>
      </c>
      <c r="Y2" t="s">
        <v>1029</v>
      </c>
      <c r="Z2" t="s">
        <v>974</v>
      </c>
      <c r="AA2" t="s">
        <v>3</v>
      </c>
      <c r="AB2" t="s">
        <v>338</v>
      </c>
    </row>
    <row r="3" ht="15.6" spans="3:31">
      <c r="C3" s="7" t="s">
        <v>974</v>
      </c>
      <c r="D3" s="7" t="s">
        <v>338</v>
      </c>
      <c r="E3" s="7" t="s">
        <v>815</v>
      </c>
      <c r="F3" s="7" t="s">
        <v>323</v>
      </c>
      <c r="G3" s="7" t="s">
        <v>816</v>
      </c>
      <c r="H3" s="7" t="s">
        <v>323</v>
      </c>
      <c r="I3" s="7" t="s">
        <v>817</v>
      </c>
      <c r="J3" s="7" t="s">
        <v>323</v>
      </c>
      <c r="K3" s="7" t="s">
        <v>903</v>
      </c>
      <c r="L3" s="7" t="s">
        <v>323</v>
      </c>
      <c r="M3" s="6" t="s">
        <v>374</v>
      </c>
      <c r="N3" s="6" t="s">
        <v>870</v>
      </c>
      <c r="O3" s="6" t="s">
        <v>871</v>
      </c>
      <c r="P3" s="6" t="s">
        <v>905</v>
      </c>
      <c r="Q3" s="6" t="s">
        <v>906</v>
      </c>
      <c r="R3" s="6" t="s">
        <v>907</v>
      </c>
      <c r="S3" s="6" t="s">
        <v>341</v>
      </c>
      <c r="T3" s="7" t="s">
        <v>895</v>
      </c>
      <c r="U3" t="s">
        <v>894</v>
      </c>
      <c r="V3" t="s">
        <v>1030</v>
      </c>
      <c r="X3" t="s">
        <v>1031</v>
      </c>
      <c r="Y3" t="s">
        <v>1032</v>
      </c>
      <c r="Z3">
        <v>60</v>
      </c>
      <c r="AA3" t="s">
        <v>1033</v>
      </c>
      <c r="AB3">
        <v>6</v>
      </c>
      <c r="AD3" t="s">
        <v>1034</v>
      </c>
      <c r="AE3" t="s">
        <v>2</v>
      </c>
    </row>
    <row r="4" ht="15.6" spans="2:31">
      <c r="B4" t="str">
        <f>"LV"&amp;C4&amp;"幸运礼包"</f>
        <v>LV25幸运礼包</v>
      </c>
      <c r="C4" s="7">
        <v>25</v>
      </c>
      <c r="D4" s="7">
        <v>18</v>
      </c>
      <c r="E4" s="7" t="s">
        <v>6</v>
      </c>
      <c r="F4" s="7">
        <v>180</v>
      </c>
      <c r="G4" s="7" t="s">
        <v>42</v>
      </c>
      <c r="H4" s="7">
        <v>20</v>
      </c>
      <c r="I4" s="7" t="s">
        <v>77</v>
      </c>
      <c r="J4" s="7">
        <v>1</v>
      </c>
      <c r="K4" s="7"/>
      <c r="L4" s="7"/>
      <c r="M4" s="6">
        <f>_xlfn.XLOOKUP(E4,道具表!$B:$B,道具表!$E:$E)</f>
        <v>1</v>
      </c>
      <c r="N4" s="6">
        <f>_xlfn.XLOOKUP(G4,道具表!$B:$B,道具表!$E:$E)</f>
        <v>40</v>
      </c>
      <c r="O4" s="6">
        <f>_xlfn.XLOOKUP(I4,道具表!$B:$B,道具表!$E:$E)</f>
        <v>0</v>
      </c>
      <c r="P4" s="6">
        <f>M4*F4</f>
        <v>180</v>
      </c>
      <c r="Q4" s="6">
        <f>N4*H4</f>
        <v>800</v>
      </c>
      <c r="R4" s="6">
        <f>O4*J4</f>
        <v>0</v>
      </c>
      <c r="S4" s="6">
        <f>P4+Q4+R4</f>
        <v>980</v>
      </c>
      <c r="T4" s="46">
        <f>S4/(D4*10)</f>
        <v>5.44444444444444</v>
      </c>
      <c r="U4" s="5">
        <v>103</v>
      </c>
      <c r="V4" t="str">
        <f>_xlfn.XLOOKUP(U4,[3]Sheet1!$B:$B,[3]Sheet1!$K:$K)</f>
        <v>1|9|30</v>
      </c>
      <c r="W4">
        <v>540</v>
      </c>
      <c r="X4" t="s">
        <v>1035</v>
      </c>
      <c r="Y4" t="s">
        <v>1036</v>
      </c>
      <c r="Z4">
        <v>80</v>
      </c>
      <c r="AA4" t="s">
        <v>1037</v>
      </c>
      <c r="AB4">
        <v>12</v>
      </c>
      <c r="AD4" t="s">
        <v>1032</v>
      </c>
      <c r="AE4">
        <v>1</v>
      </c>
    </row>
    <row r="5" ht="15.6" spans="2:31">
      <c r="B5" t="str">
        <f t="shared" ref="B5:B28" si="0">"LV"&amp;C5&amp;"幸运礼包"</f>
        <v>LV40幸运礼包</v>
      </c>
      <c r="C5" s="7">
        <v>40</v>
      </c>
      <c r="D5" s="7">
        <v>30</v>
      </c>
      <c r="E5" s="7" t="s">
        <v>6</v>
      </c>
      <c r="F5" s="7">
        <f>D5*10</f>
        <v>300</v>
      </c>
      <c r="G5" s="7" t="s">
        <v>41</v>
      </c>
      <c r="H5" s="7">
        <v>15</v>
      </c>
      <c r="I5" s="7" t="s">
        <v>78</v>
      </c>
      <c r="J5" s="7">
        <v>1</v>
      </c>
      <c r="K5" s="7"/>
      <c r="L5" s="7"/>
      <c r="M5" s="6">
        <f>_xlfn.XLOOKUP(E5,道具表!$B:$B,道具表!$E:$E)</f>
        <v>1</v>
      </c>
      <c r="N5" s="6">
        <f>_xlfn.XLOOKUP(G5,道具表!$B:$B,道具表!$E:$E)</f>
        <v>100</v>
      </c>
      <c r="O5" s="6">
        <f>_xlfn.XLOOKUP(I5,道具表!$B:$B,道具表!$E:$E)</f>
        <v>0</v>
      </c>
      <c r="P5" s="6">
        <f t="shared" ref="P5:P28" si="1">M5*F5</f>
        <v>300</v>
      </c>
      <c r="Q5" s="6">
        <f t="shared" ref="Q5:Q28" si="2">N5*H5</f>
        <v>1500</v>
      </c>
      <c r="R5" s="6">
        <f t="shared" ref="R5:R28" si="3">O5*J5</f>
        <v>0</v>
      </c>
      <c r="S5" s="6">
        <f t="shared" ref="S5:S28" si="4">P5+Q5+R5</f>
        <v>1800</v>
      </c>
      <c r="T5" s="46">
        <f t="shared" ref="T5:T28" si="5">S5/(D5*10)</f>
        <v>6</v>
      </c>
      <c r="U5" s="5">
        <v>104</v>
      </c>
      <c r="V5" t="str">
        <f>_xlfn.XLOOKUP(U5,[3]Sheet1!$B:$B,[3]Sheet1!$K:$K)</f>
        <v>1|9|50</v>
      </c>
      <c r="W5">
        <v>600</v>
      </c>
      <c r="X5" t="s">
        <v>1038</v>
      </c>
      <c r="Y5" t="s">
        <v>1039</v>
      </c>
      <c r="Z5">
        <v>100</v>
      </c>
      <c r="AA5" t="s">
        <v>1040</v>
      </c>
      <c r="AB5">
        <v>18</v>
      </c>
      <c r="AD5" t="s">
        <v>1041</v>
      </c>
      <c r="AE5">
        <v>2</v>
      </c>
    </row>
    <row r="6" ht="15.6" spans="2:31">
      <c r="B6" t="str">
        <f t="shared" si="0"/>
        <v>LV50幸运礼包</v>
      </c>
      <c r="C6" s="7">
        <v>50</v>
      </c>
      <c r="D6" s="7">
        <v>30</v>
      </c>
      <c r="E6" s="7" t="s">
        <v>6</v>
      </c>
      <c r="F6" s="7">
        <f t="shared" ref="F6:F28" si="6">D6*10</f>
        <v>300</v>
      </c>
      <c r="G6" s="7" t="s">
        <v>48</v>
      </c>
      <c r="H6" s="7">
        <v>10</v>
      </c>
      <c r="I6" s="24" t="s">
        <v>47</v>
      </c>
      <c r="J6" s="7">
        <v>20</v>
      </c>
      <c r="K6" s="7" t="s">
        <v>79</v>
      </c>
      <c r="L6" s="7">
        <v>1</v>
      </c>
      <c r="M6" s="6">
        <f>_xlfn.XLOOKUP(E6,道具表!$B:$B,道具表!$E:$E)</f>
        <v>1</v>
      </c>
      <c r="N6" s="6">
        <f>_xlfn.XLOOKUP(G6,道具表!$B:$B,道具表!$E:$E)</f>
        <v>102</v>
      </c>
      <c r="O6" s="6">
        <f>_xlfn.XLOOKUP(I6,道具表!$B:$B,道具表!$E:$E)</f>
        <v>15</v>
      </c>
      <c r="P6" s="6">
        <f t="shared" si="1"/>
        <v>300</v>
      </c>
      <c r="Q6" s="6">
        <f t="shared" si="2"/>
        <v>1020</v>
      </c>
      <c r="R6" s="6">
        <f t="shared" si="3"/>
        <v>300</v>
      </c>
      <c r="S6" s="6">
        <f t="shared" si="4"/>
        <v>1620</v>
      </c>
      <c r="T6" s="46">
        <f t="shared" si="5"/>
        <v>5.4</v>
      </c>
      <c r="U6" s="5">
        <v>104</v>
      </c>
      <c r="V6" t="str">
        <f>_xlfn.XLOOKUP(U6,[3]Sheet1!$B:$B,[3]Sheet1!$K:$K)</f>
        <v>1|9|50</v>
      </c>
      <c r="W6">
        <v>540</v>
      </c>
      <c r="X6" t="s">
        <v>1042</v>
      </c>
      <c r="Y6" t="s">
        <v>1043</v>
      </c>
      <c r="Z6">
        <v>80</v>
      </c>
      <c r="AA6" t="s">
        <v>1037</v>
      </c>
      <c r="AB6">
        <v>18</v>
      </c>
      <c r="AD6" t="s">
        <v>1043</v>
      </c>
      <c r="AE6">
        <v>3</v>
      </c>
    </row>
    <row r="7" ht="15.6" spans="2:31">
      <c r="B7" t="str">
        <f t="shared" si="0"/>
        <v>LV60幸运礼包</v>
      </c>
      <c r="C7" s="7">
        <v>60</v>
      </c>
      <c r="D7" s="7">
        <v>68</v>
      </c>
      <c r="E7" s="7" t="s">
        <v>6</v>
      </c>
      <c r="F7" s="7">
        <f t="shared" si="6"/>
        <v>680</v>
      </c>
      <c r="G7" s="7" t="s">
        <v>34</v>
      </c>
      <c r="H7" s="7">
        <v>25</v>
      </c>
      <c r="I7" s="24" t="s">
        <v>47</v>
      </c>
      <c r="J7" s="7">
        <v>30</v>
      </c>
      <c r="K7" s="7" t="s">
        <v>80</v>
      </c>
      <c r="L7" s="7">
        <v>1</v>
      </c>
      <c r="M7" s="6">
        <f>_xlfn.XLOOKUP(E7,道具表!$B:$B,道具表!$E:$E)</f>
        <v>1</v>
      </c>
      <c r="N7" s="6">
        <f>_xlfn.XLOOKUP(G7,道具表!$B:$B,道具表!$E:$E)</f>
        <v>100</v>
      </c>
      <c r="O7" s="6">
        <f>_xlfn.XLOOKUP(I7,道具表!$B:$B,道具表!$E:$E)</f>
        <v>15</v>
      </c>
      <c r="P7" s="6">
        <f t="shared" si="1"/>
        <v>680</v>
      </c>
      <c r="Q7" s="6">
        <f t="shared" si="2"/>
        <v>2500</v>
      </c>
      <c r="R7" s="6">
        <f t="shared" si="3"/>
        <v>450</v>
      </c>
      <c r="S7" s="6">
        <f t="shared" si="4"/>
        <v>3630</v>
      </c>
      <c r="T7" s="46">
        <f t="shared" si="5"/>
        <v>5.33823529411765</v>
      </c>
      <c r="U7" s="5">
        <v>105</v>
      </c>
      <c r="V7" t="str">
        <f>_xlfn.XLOOKUP(U7,[3]Sheet1!$B:$B,[3]Sheet1!$K:$K)</f>
        <v>1|9|100</v>
      </c>
      <c r="W7">
        <v>530</v>
      </c>
      <c r="X7" t="s">
        <v>1044</v>
      </c>
      <c r="Y7" t="s">
        <v>1041</v>
      </c>
      <c r="Z7">
        <v>90</v>
      </c>
      <c r="AA7" t="s">
        <v>1040</v>
      </c>
      <c r="AB7">
        <v>30</v>
      </c>
      <c r="AD7" t="s">
        <v>1045</v>
      </c>
      <c r="AE7">
        <v>4</v>
      </c>
    </row>
    <row r="8" ht="15.6" spans="2:31">
      <c r="B8" t="str">
        <f t="shared" si="0"/>
        <v>LV70幸运礼包</v>
      </c>
      <c r="C8" s="7">
        <v>70</v>
      </c>
      <c r="D8" s="7">
        <v>68</v>
      </c>
      <c r="E8" s="7" t="s">
        <v>6</v>
      </c>
      <c r="F8" s="7">
        <f t="shared" si="6"/>
        <v>680</v>
      </c>
      <c r="G8" s="7" t="s">
        <v>10</v>
      </c>
      <c r="H8" s="7">
        <v>25</v>
      </c>
      <c r="I8" s="24" t="s">
        <v>47</v>
      </c>
      <c r="J8" s="7">
        <v>30</v>
      </c>
      <c r="K8" s="7" t="s">
        <v>81</v>
      </c>
      <c r="L8" s="7">
        <v>1</v>
      </c>
      <c r="M8" s="6">
        <f>_xlfn.XLOOKUP(E8,道具表!$B:$B,道具表!$E:$E)</f>
        <v>1</v>
      </c>
      <c r="N8" s="6">
        <f>_xlfn.XLOOKUP(G8,道具表!$B:$B,道具表!$E:$E)</f>
        <v>100</v>
      </c>
      <c r="O8" s="6">
        <f>_xlfn.XLOOKUP(I8,道具表!$B:$B,道具表!$E:$E)</f>
        <v>15</v>
      </c>
      <c r="P8" s="6">
        <f t="shared" si="1"/>
        <v>680</v>
      </c>
      <c r="Q8" s="6">
        <f t="shared" si="2"/>
        <v>2500</v>
      </c>
      <c r="R8" s="6">
        <f t="shared" si="3"/>
        <v>450</v>
      </c>
      <c r="S8" s="6">
        <f t="shared" si="4"/>
        <v>3630</v>
      </c>
      <c r="T8" s="46">
        <f t="shared" si="5"/>
        <v>5.33823529411765</v>
      </c>
      <c r="U8" s="5">
        <v>105</v>
      </c>
      <c r="V8" t="str">
        <f>_xlfn.XLOOKUP(U8,[3]Sheet1!$B:$B,[3]Sheet1!$K:$K)</f>
        <v>1|9|100</v>
      </c>
      <c r="W8">
        <v>530</v>
      </c>
      <c r="X8" t="s">
        <v>1046</v>
      </c>
      <c r="Y8" t="s">
        <v>1047</v>
      </c>
      <c r="Z8">
        <v>95</v>
      </c>
      <c r="AA8" t="s">
        <v>1040</v>
      </c>
      <c r="AB8">
        <v>30</v>
      </c>
      <c r="AD8" t="s">
        <v>1039</v>
      </c>
      <c r="AE8">
        <v>5</v>
      </c>
    </row>
    <row r="9" ht="15.6" spans="2:31">
      <c r="B9" t="str">
        <f t="shared" si="0"/>
        <v>LV80幸运礼包</v>
      </c>
      <c r="C9" s="7">
        <v>80</v>
      </c>
      <c r="D9" s="7">
        <v>68</v>
      </c>
      <c r="E9" s="7" t="s">
        <v>6</v>
      </c>
      <c r="F9" s="7">
        <f t="shared" si="6"/>
        <v>680</v>
      </c>
      <c r="G9" s="7" t="s">
        <v>43</v>
      </c>
      <c r="H9" s="7">
        <v>5</v>
      </c>
      <c r="I9" s="7" t="s">
        <v>42</v>
      </c>
      <c r="J9" s="7">
        <v>20</v>
      </c>
      <c r="K9" s="7" t="s">
        <v>82</v>
      </c>
      <c r="L9" s="7">
        <v>1</v>
      </c>
      <c r="M9" s="6">
        <f>_xlfn.XLOOKUP(E9,道具表!$B:$B,道具表!$E:$E)</f>
        <v>1</v>
      </c>
      <c r="N9" s="6">
        <f>_xlfn.XLOOKUP(G9,道具表!$B:$B,道具表!$E:$E)</f>
        <v>500</v>
      </c>
      <c r="O9" s="6">
        <f>_xlfn.XLOOKUP(I9,道具表!$B:$B,道具表!$E:$E)</f>
        <v>40</v>
      </c>
      <c r="P9" s="6">
        <f t="shared" si="1"/>
        <v>680</v>
      </c>
      <c r="Q9" s="6">
        <f t="shared" si="2"/>
        <v>2500</v>
      </c>
      <c r="R9" s="6">
        <f t="shared" si="3"/>
        <v>800</v>
      </c>
      <c r="S9" s="6">
        <f t="shared" si="4"/>
        <v>3980</v>
      </c>
      <c r="T9" s="46">
        <f t="shared" si="5"/>
        <v>5.85294117647059</v>
      </c>
      <c r="U9" s="5">
        <v>105</v>
      </c>
      <c r="V9" t="str">
        <f>_xlfn.XLOOKUP(U9,[3]Sheet1!$B:$B,[3]Sheet1!$K:$K)</f>
        <v>1|9|100</v>
      </c>
      <c r="W9">
        <v>580</v>
      </c>
      <c r="X9" t="s">
        <v>1048</v>
      </c>
      <c r="Y9" t="s">
        <v>1049</v>
      </c>
      <c r="Z9">
        <v>95</v>
      </c>
      <c r="AA9" t="s">
        <v>1040</v>
      </c>
      <c r="AB9">
        <v>68</v>
      </c>
      <c r="AD9" t="s">
        <v>1036</v>
      </c>
      <c r="AE9">
        <v>6</v>
      </c>
    </row>
    <row r="10" ht="15.6" spans="2:31">
      <c r="B10" t="str">
        <f t="shared" si="0"/>
        <v>LV90幸运礼包</v>
      </c>
      <c r="C10" s="7">
        <v>90</v>
      </c>
      <c r="D10" s="7">
        <v>128</v>
      </c>
      <c r="E10" s="7" t="s">
        <v>6</v>
      </c>
      <c r="F10" s="7">
        <f t="shared" si="6"/>
        <v>1280</v>
      </c>
      <c r="G10" s="7" t="s">
        <v>45</v>
      </c>
      <c r="H10" s="7">
        <v>50</v>
      </c>
      <c r="I10" s="7" t="s">
        <v>46</v>
      </c>
      <c r="J10" s="7">
        <v>2000</v>
      </c>
      <c r="K10" s="7" t="s">
        <v>83</v>
      </c>
      <c r="L10" s="7">
        <v>1</v>
      </c>
      <c r="M10" s="6">
        <f>_xlfn.XLOOKUP(E10,道具表!$B:$B,道具表!$E:$E)</f>
        <v>1</v>
      </c>
      <c r="N10" s="6">
        <f>_xlfn.XLOOKUP(G10,道具表!$B:$B,道具表!$E:$E)</f>
        <v>100</v>
      </c>
      <c r="O10" s="6">
        <f>_xlfn.XLOOKUP(I10,道具表!$B:$B,道具表!$E:$E)</f>
        <v>0.5</v>
      </c>
      <c r="P10" s="6">
        <f t="shared" si="1"/>
        <v>1280</v>
      </c>
      <c r="Q10" s="6">
        <f t="shared" si="2"/>
        <v>5000</v>
      </c>
      <c r="R10" s="6">
        <f t="shared" si="3"/>
        <v>1000</v>
      </c>
      <c r="S10" s="6">
        <f t="shared" si="4"/>
        <v>7280</v>
      </c>
      <c r="T10" s="46">
        <f t="shared" si="5"/>
        <v>5.6875</v>
      </c>
      <c r="U10" s="5">
        <v>107</v>
      </c>
      <c r="V10" t="str">
        <f>_xlfn.XLOOKUP(U10,[3]Sheet1!$B:$B,[3]Sheet1!$K:$K)</f>
        <v>1|9|200</v>
      </c>
      <c r="W10">
        <v>570</v>
      </c>
      <c r="X10" t="s">
        <v>1050</v>
      </c>
      <c r="Y10" t="s">
        <v>1051</v>
      </c>
      <c r="Z10">
        <v>95</v>
      </c>
      <c r="AA10" t="s">
        <v>1040</v>
      </c>
      <c r="AB10">
        <v>68</v>
      </c>
      <c r="AD10" t="s">
        <v>1052</v>
      </c>
      <c r="AE10">
        <v>7</v>
      </c>
    </row>
    <row r="11" ht="15.6" spans="2:31">
      <c r="B11" t="str">
        <f t="shared" si="0"/>
        <v>LV94幸运礼包</v>
      </c>
      <c r="C11" s="7">
        <v>94</v>
      </c>
      <c r="D11" s="7">
        <v>128</v>
      </c>
      <c r="E11" s="7" t="s">
        <v>6</v>
      </c>
      <c r="F11" s="7">
        <f t="shared" si="6"/>
        <v>1280</v>
      </c>
      <c r="G11" s="7" t="s">
        <v>249</v>
      </c>
      <c r="H11" s="7">
        <v>1</v>
      </c>
      <c r="I11" s="7" t="s">
        <v>48</v>
      </c>
      <c r="J11" s="7">
        <v>25</v>
      </c>
      <c r="K11" s="7" t="s">
        <v>84</v>
      </c>
      <c r="L11" s="7">
        <v>1</v>
      </c>
      <c r="M11" s="6">
        <f>_xlfn.XLOOKUP(E11,道具表!$B:$B,道具表!$E:$E)</f>
        <v>1</v>
      </c>
      <c r="N11" s="6">
        <f>_xlfn.XLOOKUP(G11,道具表!$B:$B,道具表!$E:$E)</f>
        <v>5000</v>
      </c>
      <c r="O11" s="6">
        <f>_xlfn.XLOOKUP(I11,道具表!$B:$B,道具表!$E:$E)</f>
        <v>102</v>
      </c>
      <c r="P11" s="6">
        <f t="shared" si="1"/>
        <v>1280</v>
      </c>
      <c r="Q11" s="6">
        <f t="shared" si="2"/>
        <v>5000</v>
      </c>
      <c r="R11" s="6">
        <f t="shared" si="3"/>
        <v>2550</v>
      </c>
      <c r="S11" s="6">
        <f t="shared" si="4"/>
        <v>8830</v>
      </c>
      <c r="T11" s="46">
        <f t="shared" si="5"/>
        <v>6.8984375</v>
      </c>
      <c r="U11" s="5">
        <v>107</v>
      </c>
      <c r="V11" t="str">
        <f>_xlfn.XLOOKUP(U11,[3]Sheet1!$B:$B,[3]Sheet1!$K:$K)</f>
        <v>1|9|200</v>
      </c>
      <c r="W11">
        <v>550</v>
      </c>
      <c r="X11" t="s">
        <v>1053</v>
      </c>
      <c r="Y11" t="s">
        <v>1054</v>
      </c>
      <c r="Z11">
        <v>100</v>
      </c>
      <c r="AA11" t="s">
        <v>1040</v>
      </c>
      <c r="AB11">
        <v>98</v>
      </c>
      <c r="AD11" t="s">
        <v>1054</v>
      </c>
      <c r="AE11">
        <v>8</v>
      </c>
    </row>
    <row r="12" ht="15.6" spans="2:31">
      <c r="B12" t="str">
        <f t="shared" si="0"/>
        <v>LV98幸运礼包</v>
      </c>
      <c r="C12" s="7">
        <v>98</v>
      </c>
      <c r="D12" s="7">
        <v>128</v>
      </c>
      <c r="E12" s="7" t="s">
        <v>6</v>
      </c>
      <c r="F12" s="7">
        <f t="shared" si="6"/>
        <v>1280</v>
      </c>
      <c r="G12" s="7" t="s">
        <v>41</v>
      </c>
      <c r="H12" s="7">
        <v>40</v>
      </c>
      <c r="I12" s="7" t="s">
        <v>42</v>
      </c>
      <c r="J12" s="7">
        <v>50</v>
      </c>
      <c r="K12" s="7" t="s">
        <v>85</v>
      </c>
      <c r="L12" s="7">
        <v>1</v>
      </c>
      <c r="M12" s="6">
        <f>_xlfn.XLOOKUP(E12,道具表!$B:$B,道具表!$E:$E)</f>
        <v>1</v>
      </c>
      <c r="N12" s="6">
        <f>_xlfn.XLOOKUP(G12,道具表!$B:$B,道具表!$E:$E)</f>
        <v>100</v>
      </c>
      <c r="O12" s="6">
        <f>_xlfn.XLOOKUP(I12,道具表!$B:$B,道具表!$E:$E)</f>
        <v>40</v>
      </c>
      <c r="P12" s="6">
        <f t="shared" si="1"/>
        <v>1280</v>
      </c>
      <c r="Q12" s="6">
        <f t="shared" si="2"/>
        <v>4000</v>
      </c>
      <c r="R12" s="6">
        <f t="shared" si="3"/>
        <v>2000</v>
      </c>
      <c r="S12" s="6">
        <f t="shared" si="4"/>
        <v>7280</v>
      </c>
      <c r="T12" s="46">
        <f t="shared" si="5"/>
        <v>5.6875</v>
      </c>
      <c r="U12" s="5">
        <v>107</v>
      </c>
      <c r="V12" t="str">
        <f>_xlfn.XLOOKUP(U12,[3]Sheet1!$B:$B,[3]Sheet1!$K:$K)</f>
        <v>1|9|200</v>
      </c>
      <c r="W12">
        <v>570</v>
      </c>
      <c r="X12" t="s">
        <v>1055</v>
      </c>
      <c r="Y12" t="s">
        <v>1045</v>
      </c>
      <c r="Z12">
        <v>100</v>
      </c>
      <c r="AA12" t="s">
        <v>1040</v>
      </c>
      <c r="AB12">
        <v>98</v>
      </c>
      <c r="AD12" t="s">
        <v>1047</v>
      </c>
      <c r="AE12">
        <v>9</v>
      </c>
    </row>
    <row r="13" ht="15.6" spans="2:31">
      <c r="B13" t="str">
        <f t="shared" si="0"/>
        <v>LV100幸运礼包</v>
      </c>
      <c r="C13" s="38">
        <v>100</v>
      </c>
      <c r="D13" s="38">
        <v>128</v>
      </c>
      <c r="E13" s="38" t="s">
        <v>6</v>
      </c>
      <c r="F13" s="38">
        <f t="shared" si="6"/>
        <v>1280</v>
      </c>
      <c r="G13" s="38" t="s">
        <v>10</v>
      </c>
      <c r="H13" s="38">
        <v>50</v>
      </c>
      <c r="I13" s="38" t="s">
        <v>47</v>
      </c>
      <c r="J13" s="38">
        <v>50</v>
      </c>
      <c r="K13" s="38" t="s">
        <v>86</v>
      </c>
      <c r="L13" s="7">
        <v>1</v>
      </c>
      <c r="M13" s="42">
        <f>_xlfn.XLOOKUP(E13,道具表!$B:$B,道具表!$E:$E)</f>
        <v>1</v>
      </c>
      <c r="N13" s="42">
        <f>_xlfn.XLOOKUP(G13,道具表!$B:$B,道具表!$E:$E)</f>
        <v>100</v>
      </c>
      <c r="O13" s="42">
        <f>_xlfn.XLOOKUP(I13,道具表!$B:$B,道具表!$E:$E)</f>
        <v>15</v>
      </c>
      <c r="P13" s="42">
        <f t="shared" si="1"/>
        <v>1280</v>
      </c>
      <c r="Q13" s="42">
        <f t="shared" si="2"/>
        <v>5000</v>
      </c>
      <c r="R13" s="42">
        <f t="shared" si="3"/>
        <v>750</v>
      </c>
      <c r="S13" s="6">
        <f t="shared" si="4"/>
        <v>7030</v>
      </c>
      <c r="T13" s="46">
        <f t="shared" si="5"/>
        <v>5.4921875</v>
      </c>
      <c r="U13" s="5">
        <v>107</v>
      </c>
      <c r="V13" t="str">
        <f>_xlfn.XLOOKUP(U13,[3]Sheet1!$B:$B,[3]Sheet1!$K:$K)</f>
        <v>1|9|200</v>
      </c>
      <c r="W13">
        <v>550</v>
      </c>
      <c r="X13" t="s">
        <v>1056</v>
      </c>
      <c r="Y13" t="s">
        <v>1057</v>
      </c>
      <c r="Z13">
        <v>105</v>
      </c>
      <c r="AA13" t="s">
        <v>1040</v>
      </c>
      <c r="AB13">
        <v>128</v>
      </c>
      <c r="AD13" t="s">
        <v>1049</v>
      </c>
      <c r="AE13">
        <v>10</v>
      </c>
    </row>
    <row r="14" ht="15.6" spans="2:31">
      <c r="B14" t="str">
        <f t="shared" si="0"/>
        <v>LV101幸运礼包</v>
      </c>
      <c r="C14" s="38">
        <v>101</v>
      </c>
      <c r="D14" s="38">
        <v>128</v>
      </c>
      <c r="E14" s="38" t="s">
        <v>6</v>
      </c>
      <c r="F14" s="38">
        <f t="shared" si="6"/>
        <v>1280</v>
      </c>
      <c r="G14" s="38" t="s">
        <v>34</v>
      </c>
      <c r="H14" s="38">
        <v>40</v>
      </c>
      <c r="I14" s="38" t="s">
        <v>14</v>
      </c>
      <c r="J14" s="38">
        <v>20000</v>
      </c>
      <c r="K14" s="38" t="s">
        <v>87</v>
      </c>
      <c r="L14" s="7">
        <v>1</v>
      </c>
      <c r="M14" s="42">
        <f>_xlfn.XLOOKUP(E14,道具表!$B:$B,道具表!$E:$E)</f>
        <v>1</v>
      </c>
      <c r="N14" s="42">
        <f>_xlfn.XLOOKUP(G14,道具表!$B:$B,道具表!$E:$E)</f>
        <v>100</v>
      </c>
      <c r="O14" s="42">
        <f>_xlfn.XLOOKUP(I14,道具表!$B:$B,道具表!$E:$E)</f>
        <v>0.1</v>
      </c>
      <c r="P14" s="42">
        <f t="shared" si="1"/>
        <v>1280</v>
      </c>
      <c r="Q14" s="42">
        <f t="shared" si="2"/>
        <v>4000</v>
      </c>
      <c r="R14" s="42">
        <f t="shared" si="3"/>
        <v>2000</v>
      </c>
      <c r="S14" s="6">
        <f t="shared" si="4"/>
        <v>7280</v>
      </c>
      <c r="T14" s="46">
        <f t="shared" si="5"/>
        <v>5.6875</v>
      </c>
      <c r="U14" s="5">
        <v>107</v>
      </c>
      <c r="V14" t="str">
        <f>_xlfn.XLOOKUP(U14,[3]Sheet1!$B:$B,[3]Sheet1!$K:$K)</f>
        <v>1|9|200</v>
      </c>
      <c r="W14">
        <v>570</v>
      </c>
      <c r="X14" t="s">
        <v>1058</v>
      </c>
      <c r="Y14" t="s">
        <v>1032</v>
      </c>
      <c r="Z14">
        <v>105</v>
      </c>
      <c r="AA14" t="s">
        <v>1040</v>
      </c>
      <c r="AB14">
        <v>128</v>
      </c>
      <c r="AD14" t="s">
        <v>1051</v>
      </c>
      <c r="AE14">
        <v>11</v>
      </c>
    </row>
    <row r="15" ht="15.6" spans="2:31">
      <c r="B15" t="str">
        <f t="shared" si="0"/>
        <v>LV102幸运礼包</v>
      </c>
      <c r="C15" s="38">
        <v>102</v>
      </c>
      <c r="D15" s="38">
        <v>128</v>
      </c>
      <c r="E15" s="38" t="s">
        <v>6</v>
      </c>
      <c r="F15" s="38">
        <f t="shared" si="6"/>
        <v>1280</v>
      </c>
      <c r="G15" s="38" t="s">
        <v>249</v>
      </c>
      <c r="H15" s="38">
        <v>1</v>
      </c>
      <c r="I15" s="38" t="s">
        <v>49</v>
      </c>
      <c r="J15" s="38">
        <v>3</v>
      </c>
      <c r="K15" s="38" t="s">
        <v>88</v>
      </c>
      <c r="L15" s="7">
        <v>1</v>
      </c>
      <c r="M15" s="42">
        <f>_xlfn.XLOOKUP(E15,道具表!$B:$B,道具表!$E:$E)</f>
        <v>1</v>
      </c>
      <c r="N15" s="42">
        <f>_xlfn.XLOOKUP(G15,道具表!$B:$B,道具表!$E:$E)</f>
        <v>5000</v>
      </c>
      <c r="O15" s="42">
        <f>_xlfn.XLOOKUP(I15,道具表!$B:$B,道具表!$E:$E)</f>
        <v>918</v>
      </c>
      <c r="P15" s="42">
        <f t="shared" si="1"/>
        <v>1280</v>
      </c>
      <c r="Q15" s="42">
        <f t="shared" si="2"/>
        <v>5000</v>
      </c>
      <c r="R15" s="42">
        <f t="shared" si="3"/>
        <v>2754</v>
      </c>
      <c r="S15" s="6">
        <f t="shared" si="4"/>
        <v>9034</v>
      </c>
      <c r="T15" s="46">
        <f t="shared" si="5"/>
        <v>7.0578125</v>
      </c>
      <c r="U15" s="5">
        <v>107</v>
      </c>
      <c r="V15" t="str">
        <f>_xlfn.XLOOKUP(U15,[3]Sheet1!$B:$B,[3]Sheet1!$K:$K)</f>
        <v>1|9|200</v>
      </c>
      <c r="W15">
        <v>570</v>
      </c>
      <c r="X15" t="s">
        <v>1059</v>
      </c>
      <c r="Y15" t="s">
        <v>1036</v>
      </c>
      <c r="Z15">
        <v>105</v>
      </c>
      <c r="AA15" t="s">
        <v>1060</v>
      </c>
      <c r="AB15">
        <v>328</v>
      </c>
      <c r="AD15" t="s">
        <v>1057</v>
      </c>
      <c r="AE15">
        <v>12</v>
      </c>
    </row>
    <row r="16" ht="15.6" spans="2:28">
      <c r="B16" t="str">
        <f t="shared" si="0"/>
        <v>LV103幸运礼包</v>
      </c>
      <c r="C16" s="38">
        <v>103</v>
      </c>
      <c r="D16" s="38">
        <v>128</v>
      </c>
      <c r="E16" s="38" t="s">
        <v>6</v>
      </c>
      <c r="F16" s="38">
        <f t="shared" si="6"/>
        <v>1280</v>
      </c>
      <c r="G16" s="38" t="s">
        <v>45</v>
      </c>
      <c r="H16" s="38">
        <v>50</v>
      </c>
      <c r="I16" s="38" t="s">
        <v>46</v>
      </c>
      <c r="J16" s="38">
        <v>2000</v>
      </c>
      <c r="K16" s="38" t="s">
        <v>89</v>
      </c>
      <c r="L16" s="7">
        <v>1</v>
      </c>
      <c r="M16" s="42">
        <f>_xlfn.XLOOKUP(E16,道具表!$B:$B,道具表!$E:$E)</f>
        <v>1</v>
      </c>
      <c r="N16" s="42">
        <f>_xlfn.XLOOKUP(G16,道具表!$B:$B,道具表!$E:$E)</f>
        <v>100</v>
      </c>
      <c r="O16" s="42">
        <f>_xlfn.XLOOKUP(I16,道具表!$B:$B,道具表!$E:$E)</f>
        <v>0.5</v>
      </c>
      <c r="P16" s="42">
        <f t="shared" si="1"/>
        <v>1280</v>
      </c>
      <c r="Q16" s="42">
        <f t="shared" si="2"/>
        <v>5000</v>
      </c>
      <c r="R16" s="42">
        <f t="shared" si="3"/>
        <v>1000</v>
      </c>
      <c r="S16" s="6">
        <f t="shared" si="4"/>
        <v>7280</v>
      </c>
      <c r="T16" s="46">
        <f t="shared" si="5"/>
        <v>5.6875</v>
      </c>
      <c r="U16" s="5">
        <v>107</v>
      </c>
      <c r="V16" t="str">
        <f>_xlfn.XLOOKUP(U16,[3]Sheet1!$B:$B,[3]Sheet1!$K:$K)</f>
        <v>1|9|200</v>
      </c>
      <c r="W16">
        <v>570</v>
      </c>
      <c r="X16" t="s">
        <v>1061</v>
      </c>
      <c r="Y16" t="s">
        <v>1039</v>
      </c>
      <c r="Z16">
        <v>105</v>
      </c>
      <c r="AA16" t="s">
        <v>1060</v>
      </c>
      <c r="AB16">
        <v>648</v>
      </c>
    </row>
    <row r="17" ht="15.6" spans="2:28">
      <c r="B17" t="str">
        <f t="shared" si="0"/>
        <v>LV100幸运礼包</v>
      </c>
      <c r="C17" s="39">
        <v>100</v>
      </c>
      <c r="D17" s="39">
        <v>198</v>
      </c>
      <c r="E17" s="39" t="s">
        <v>6</v>
      </c>
      <c r="F17" s="39">
        <f t="shared" si="6"/>
        <v>1980</v>
      </c>
      <c r="G17" s="39" t="s">
        <v>10</v>
      </c>
      <c r="H17" s="39">
        <v>75</v>
      </c>
      <c r="I17" s="39" t="s">
        <v>47</v>
      </c>
      <c r="J17" s="39">
        <v>100</v>
      </c>
      <c r="K17" s="39" t="s">
        <v>86</v>
      </c>
      <c r="L17" s="7">
        <v>1</v>
      </c>
      <c r="M17" s="43">
        <f>_xlfn.XLOOKUP(E17,道具表!$B:$B,道具表!$E:$E)</f>
        <v>1</v>
      </c>
      <c r="N17" s="43">
        <f>_xlfn.XLOOKUP(G17,道具表!$B:$B,道具表!$E:$E)</f>
        <v>100</v>
      </c>
      <c r="O17" s="43">
        <f>_xlfn.XLOOKUP(I17,道具表!$B:$B,道具表!$E:$E)</f>
        <v>15</v>
      </c>
      <c r="P17" s="43">
        <f t="shared" si="1"/>
        <v>1980</v>
      </c>
      <c r="Q17" s="43">
        <f t="shared" si="2"/>
        <v>7500</v>
      </c>
      <c r="R17" s="43">
        <f t="shared" si="3"/>
        <v>1500</v>
      </c>
      <c r="S17" s="6">
        <f t="shared" si="4"/>
        <v>10980</v>
      </c>
      <c r="T17" s="46">
        <f t="shared" si="5"/>
        <v>5.54545454545455</v>
      </c>
      <c r="U17" s="5">
        <v>108</v>
      </c>
      <c r="V17" t="str">
        <f>_xlfn.XLOOKUP(U17,[3]Sheet1!$B:$B,[3]Sheet1!$K:$K)</f>
        <v>1|9|305</v>
      </c>
      <c r="W17">
        <v>550</v>
      </c>
      <c r="X17" t="s">
        <v>1062</v>
      </c>
      <c r="Y17" t="s">
        <v>1032</v>
      </c>
      <c r="Z17">
        <v>105</v>
      </c>
      <c r="AA17" t="s">
        <v>1060</v>
      </c>
      <c r="AB17">
        <v>648</v>
      </c>
    </row>
    <row r="18" ht="15.6" spans="2:28">
      <c r="B18" t="str">
        <f t="shared" si="0"/>
        <v>LV101幸运礼包</v>
      </c>
      <c r="C18" s="39">
        <v>101</v>
      </c>
      <c r="D18" s="39">
        <v>198</v>
      </c>
      <c r="E18" s="39" t="s">
        <v>6</v>
      </c>
      <c r="F18" s="39">
        <f t="shared" si="6"/>
        <v>1980</v>
      </c>
      <c r="G18" s="39" t="s">
        <v>34</v>
      </c>
      <c r="H18" s="39">
        <v>60</v>
      </c>
      <c r="I18" s="39" t="s">
        <v>14</v>
      </c>
      <c r="J18" s="39">
        <v>30000</v>
      </c>
      <c r="K18" s="39" t="s">
        <v>87</v>
      </c>
      <c r="L18" s="7">
        <v>1</v>
      </c>
      <c r="M18" s="43">
        <f>_xlfn.XLOOKUP(E18,道具表!$B:$B,道具表!$E:$E)</f>
        <v>1</v>
      </c>
      <c r="N18" s="43">
        <f>_xlfn.XLOOKUP(G18,道具表!$B:$B,道具表!$E:$E)</f>
        <v>100</v>
      </c>
      <c r="O18" s="43">
        <f>_xlfn.XLOOKUP(I18,道具表!$B:$B,道具表!$E:$E)</f>
        <v>0.1</v>
      </c>
      <c r="P18" s="43">
        <f t="shared" si="1"/>
        <v>1980</v>
      </c>
      <c r="Q18" s="43">
        <f t="shared" si="2"/>
        <v>6000</v>
      </c>
      <c r="R18" s="43">
        <f t="shared" si="3"/>
        <v>3000</v>
      </c>
      <c r="S18" s="6">
        <f t="shared" si="4"/>
        <v>10980</v>
      </c>
      <c r="T18" s="46">
        <f t="shared" si="5"/>
        <v>5.54545454545455</v>
      </c>
      <c r="U18" s="5">
        <v>108</v>
      </c>
      <c r="V18" t="str">
        <f>_xlfn.XLOOKUP(U18,[3]Sheet1!$B:$B,[3]Sheet1!$K:$K)</f>
        <v>1|9|305</v>
      </c>
      <c r="W18">
        <v>550</v>
      </c>
      <c r="X18" t="s">
        <v>1063</v>
      </c>
      <c r="Y18" t="s">
        <v>1043</v>
      </c>
      <c r="Z18">
        <v>105</v>
      </c>
      <c r="AA18" t="s">
        <v>1060</v>
      </c>
      <c r="AB18">
        <v>648</v>
      </c>
    </row>
    <row r="19" ht="15.6" spans="2:23">
      <c r="B19" t="str">
        <f t="shared" si="0"/>
        <v>LV102幸运礼包</v>
      </c>
      <c r="C19" s="39">
        <v>102</v>
      </c>
      <c r="D19" s="39">
        <v>198</v>
      </c>
      <c r="E19" s="39" t="s">
        <v>6</v>
      </c>
      <c r="F19" s="39">
        <f t="shared" si="6"/>
        <v>1980</v>
      </c>
      <c r="G19" s="39" t="s">
        <v>249</v>
      </c>
      <c r="H19" s="39">
        <v>2</v>
      </c>
      <c r="I19" s="39" t="s">
        <v>49</v>
      </c>
      <c r="J19" s="39">
        <v>3</v>
      </c>
      <c r="K19" s="39" t="s">
        <v>88</v>
      </c>
      <c r="L19" s="7">
        <v>1</v>
      </c>
      <c r="M19" s="43">
        <f>_xlfn.XLOOKUP(E19,道具表!$B:$B,道具表!$E:$E)</f>
        <v>1</v>
      </c>
      <c r="N19" s="43">
        <f>_xlfn.XLOOKUP(G19,道具表!$B:$B,道具表!$E:$E)</f>
        <v>5000</v>
      </c>
      <c r="O19" s="43">
        <f>_xlfn.XLOOKUP(I19,道具表!$B:$B,道具表!$E:$E)</f>
        <v>918</v>
      </c>
      <c r="P19" s="43">
        <f t="shared" si="1"/>
        <v>1980</v>
      </c>
      <c r="Q19" s="43">
        <f t="shared" si="2"/>
        <v>10000</v>
      </c>
      <c r="R19" s="43">
        <f t="shared" si="3"/>
        <v>2754</v>
      </c>
      <c r="S19" s="6">
        <f t="shared" si="4"/>
        <v>14734</v>
      </c>
      <c r="T19" s="46">
        <f t="shared" si="5"/>
        <v>7.44141414141414</v>
      </c>
      <c r="U19" s="5">
        <v>108</v>
      </c>
      <c r="V19" t="str">
        <f>_xlfn.XLOOKUP(U19,[3]Sheet1!$B:$B,[3]Sheet1!$K:$K)</f>
        <v>1|9|305</v>
      </c>
      <c r="W19">
        <v>550</v>
      </c>
    </row>
    <row r="20" ht="15.6" spans="2:28">
      <c r="B20" t="str">
        <f t="shared" si="0"/>
        <v>LV103幸运礼包</v>
      </c>
      <c r="C20" s="39">
        <v>103</v>
      </c>
      <c r="D20" s="39">
        <v>198</v>
      </c>
      <c r="E20" s="39" t="s">
        <v>6</v>
      </c>
      <c r="F20" s="39">
        <f t="shared" si="6"/>
        <v>1980</v>
      </c>
      <c r="G20" s="39" t="s">
        <v>45</v>
      </c>
      <c r="H20" s="39">
        <v>75</v>
      </c>
      <c r="I20" s="39" t="s">
        <v>46</v>
      </c>
      <c r="J20" s="39">
        <v>3000</v>
      </c>
      <c r="K20" s="39" t="s">
        <v>89</v>
      </c>
      <c r="L20" s="7">
        <v>1</v>
      </c>
      <c r="M20" s="43">
        <f>_xlfn.XLOOKUP(E20,道具表!$B:$B,道具表!$E:$E)</f>
        <v>1</v>
      </c>
      <c r="N20" s="43">
        <f>_xlfn.XLOOKUP(G20,道具表!$B:$B,道具表!$E:$E)</f>
        <v>100</v>
      </c>
      <c r="O20" s="43">
        <f>_xlfn.XLOOKUP(I20,道具表!$B:$B,道具表!$E:$E)</f>
        <v>0.5</v>
      </c>
      <c r="P20" s="43">
        <f t="shared" si="1"/>
        <v>1980</v>
      </c>
      <c r="Q20" s="43">
        <f t="shared" si="2"/>
        <v>7500</v>
      </c>
      <c r="R20" s="43">
        <f t="shared" si="3"/>
        <v>1500</v>
      </c>
      <c r="S20" s="6">
        <f t="shared" si="4"/>
        <v>10980</v>
      </c>
      <c r="T20" s="46">
        <f t="shared" si="5"/>
        <v>5.54545454545455</v>
      </c>
      <c r="U20" s="5">
        <v>108</v>
      </c>
      <c r="V20" t="str">
        <f>_xlfn.XLOOKUP(U20,[3]Sheet1!$B:$B,[3]Sheet1!$K:$K)</f>
        <v>1|9|305</v>
      </c>
      <c r="W20">
        <v>550</v>
      </c>
      <c r="AB20" t="s">
        <v>1064</v>
      </c>
    </row>
    <row r="21" ht="15.6" spans="2:35">
      <c r="B21" t="str">
        <f t="shared" si="0"/>
        <v>LV100幸运礼包</v>
      </c>
      <c r="C21" s="40">
        <v>100</v>
      </c>
      <c r="D21" s="40">
        <v>328</v>
      </c>
      <c r="E21" s="40" t="s">
        <v>6</v>
      </c>
      <c r="F21" s="40">
        <f t="shared" si="6"/>
        <v>3280</v>
      </c>
      <c r="G21" s="40" t="s">
        <v>10</v>
      </c>
      <c r="H21" s="40">
        <v>120</v>
      </c>
      <c r="I21" s="40" t="s">
        <v>47</v>
      </c>
      <c r="J21" s="40">
        <v>200</v>
      </c>
      <c r="K21" s="40" t="s">
        <v>90</v>
      </c>
      <c r="L21" s="7">
        <v>1</v>
      </c>
      <c r="M21" s="44">
        <f>_xlfn.XLOOKUP(E21,道具表!$B:$B,道具表!$E:$E)</f>
        <v>1</v>
      </c>
      <c r="N21" s="44">
        <f>_xlfn.XLOOKUP(G21,道具表!$B:$B,道具表!$E:$E)</f>
        <v>100</v>
      </c>
      <c r="O21" s="44">
        <f>_xlfn.XLOOKUP(I21,道具表!$B:$B,道具表!$E:$E)</f>
        <v>15</v>
      </c>
      <c r="P21" s="44">
        <f t="shared" si="1"/>
        <v>3280</v>
      </c>
      <c r="Q21" s="44">
        <f t="shared" si="2"/>
        <v>12000</v>
      </c>
      <c r="R21" s="44">
        <f t="shared" si="3"/>
        <v>3000</v>
      </c>
      <c r="S21" s="6">
        <f t="shared" si="4"/>
        <v>18280</v>
      </c>
      <c r="T21" s="46">
        <f t="shared" si="5"/>
        <v>5.57317073170732</v>
      </c>
      <c r="U21" s="5">
        <v>110</v>
      </c>
      <c r="V21" t="str">
        <f>_xlfn.XLOOKUP(U21,[3]Sheet1!$B:$B,[3]Sheet1!$K:$K)</f>
        <v>1|9|510</v>
      </c>
      <c r="W21">
        <v>560</v>
      </c>
      <c r="X21" t="s">
        <v>1065</v>
      </c>
      <c r="Y21" t="s">
        <v>3</v>
      </c>
      <c r="Z21" t="s">
        <v>974</v>
      </c>
      <c r="AA21" t="s">
        <v>337</v>
      </c>
      <c r="AB21" t="s">
        <v>1066</v>
      </c>
      <c r="AC21" t="s">
        <v>1067</v>
      </c>
      <c r="AD21" s="47" t="s">
        <v>1068</v>
      </c>
      <c r="AE21" s="47" t="s">
        <v>1069</v>
      </c>
      <c r="AF21" s="47" t="s">
        <v>1070</v>
      </c>
      <c r="AG21" s="47" t="s">
        <v>1071</v>
      </c>
      <c r="AH21" s="47" t="s">
        <v>880</v>
      </c>
      <c r="AI21" s="47" t="s">
        <v>1072</v>
      </c>
    </row>
    <row r="22" ht="15.6" spans="2:35">
      <c r="B22" t="str">
        <f t="shared" si="0"/>
        <v>LV101幸运礼包</v>
      </c>
      <c r="C22" s="40">
        <v>101</v>
      </c>
      <c r="D22" s="40">
        <v>328</v>
      </c>
      <c r="E22" s="40" t="s">
        <v>6</v>
      </c>
      <c r="F22" s="40">
        <f t="shared" si="6"/>
        <v>3280</v>
      </c>
      <c r="G22" s="40" t="s">
        <v>34</v>
      </c>
      <c r="H22" s="40">
        <v>95</v>
      </c>
      <c r="I22" s="40" t="s">
        <v>14</v>
      </c>
      <c r="J22" s="40">
        <v>50000</v>
      </c>
      <c r="K22" s="40" t="s">
        <v>91</v>
      </c>
      <c r="L22" s="7">
        <v>1</v>
      </c>
      <c r="M22" s="44">
        <f>_xlfn.XLOOKUP(E22,道具表!$B:$B,道具表!$E:$E)</f>
        <v>1</v>
      </c>
      <c r="N22" s="44">
        <f>_xlfn.XLOOKUP(G22,道具表!$B:$B,道具表!$E:$E)</f>
        <v>100</v>
      </c>
      <c r="O22" s="44">
        <f>_xlfn.XLOOKUP(I22,道具表!$B:$B,道具表!$E:$E)</f>
        <v>0.1</v>
      </c>
      <c r="P22" s="44">
        <f t="shared" si="1"/>
        <v>3280</v>
      </c>
      <c r="Q22" s="44">
        <f t="shared" si="2"/>
        <v>9500</v>
      </c>
      <c r="R22" s="44">
        <f t="shared" si="3"/>
        <v>5000</v>
      </c>
      <c r="S22" s="6">
        <f t="shared" si="4"/>
        <v>17780</v>
      </c>
      <c r="T22" s="46">
        <f t="shared" si="5"/>
        <v>5.42073170731707</v>
      </c>
      <c r="U22" s="5">
        <v>110</v>
      </c>
      <c r="V22" t="str">
        <f>_xlfn.XLOOKUP(U22,[3]Sheet1!$B:$B,[3]Sheet1!$K:$K)</f>
        <v>1|9|510</v>
      </c>
      <c r="W22">
        <v>540</v>
      </c>
      <c r="X22" t="s">
        <v>1043</v>
      </c>
      <c r="Y22" t="s">
        <v>1037</v>
      </c>
      <c r="Z22">
        <v>80</v>
      </c>
      <c r="AA22" t="s">
        <v>77</v>
      </c>
      <c r="AB22">
        <v>7</v>
      </c>
      <c r="AC22">
        <v>3</v>
      </c>
      <c r="AD22" s="48">
        <f>(_xlfn.XLOOKUP($AB22,[1]Sheet1!$B:$B,[1]Sheet1!D:D)+_xlfn.XLOOKUP($Z22,[2]Sheet1!$B:$B,[2]Sheet1!C:C)*1.012)*1.1</f>
        <v>330.1584</v>
      </c>
      <c r="AE22" s="48">
        <f>(_xlfn.XLOOKUP($AB22,[1]Sheet1!$B:$B,[1]Sheet1!E:E)+_xlfn.XLOOKUP($Z22,[2]Sheet1!$B:$B,[2]Sheet1!D:D)*1.012)*1.1</f>
        <v>9904.752</v>
      </c>
      <c r="AF22" s="48">
        <f>(_xlfn.XLOOKUP($AB22,[1]Sheet1!$B:$B,[1]Sheet1!F:F)+_xlfn.XLOOKUP($Z22,[2]Sheet1!$B:$B,[2]Sheet1!E:E)*1.012)*1.1</f>
        <v>1980.9504</v>
      </c>
      <c r="AG22" s="48">
        <f>(_xlfn.XLOOKUP($AB22,[1]Sheet1!$B:$B,[1]Sheet1!G:G)+_xlfn.XLOOKUP($Z22,[2]Sheet1!$B:$B,[2]Sheet1!F:F)*1.012)*1.1</f>
        <v>660.3168</v>
      </c>
      <c r="AH22" t="str">
        <f>_xlfn.XLOOKUP($AB22,[1]Sheet1!$B:$B,[1]Sheet1!$K:$K)</f>
        <v>350,450</v>
      </c>
      <c r="AI22" t="str">
        <f>_xlfn.XLOOKUP($AB22,[1]Sheet1!$B:$B,[1]Sheet1!$O:$O)</f>
        <v>350,450</v>
      </c>
    </row>
    <row r="23" ht="15.6" spans="2:35">
      <c r="B23" t="str">
        <f t="shared" si="0"/>
        <v>LV102幸运礼包</v>
      </c>
      <c r="C23" s="40">
        <v>102</v>
      </c>
      <c r="D23" s="40">
        <v>328</v>
      </c>
      <c r="E23" s="40" t="s">
        <v>6</v>
      </c>
      <c r="F23" s="40">
        <f t="shared" si="6"/>
        <v>3280</v>
      </c>
      <c r="G23" s="40" t="s">
        <v>249</v>
      </c>
      <c r="H23" s="40">
        <v>2</v>
      </c>
      <c r="I23" s="40" t="s">
        <v>49</v>
      </c>
      <c r="J23" s="40">
        <v>8</v>
      </c>
      <c r="K23" s="40" t="s">
        <v>92</v>
      </c>
      <c r="L23" s="7">
        <v>1</v>
      </c>
      <c r="M23" s="44">
        <f>_xlfn.XLOOKUP(E23,道具表!$B:$B,道具表!$E:$E)</f>
        <v>1</v>
      </c>
      <c r="N23" s="44">
        <f>_xlfn.XLOOKUP(G23,道具表!$B:$B,道具表!$E:$E)</f>
        <v>5000</v>
      </c>
      <c r="O23" s="44">
        <f>_xlfn.XLOOKUP(I23,道具表!$B:$B,道具表!$E:$E)</f>
        <v>918</v>
      </c>
      <c r="P23" s="44">
        <f t="shared" si="1"/>
        <v>3280</v>
      </c>
      <c r="Q23" s="44">
        <f t="shared" si="2"/>
        <v>10000</v>
      </c>
      <c r="R23" s="44">
        <f t="shared" si="3"/>
        <v>7344</v>
      </c>
      <c r="S23" s="6">
        <f t="shared" si="4"/>
        <v>20624</v>
      </c>
      <c r="T23" s="46">
        <f t="shared" si="5"/>
        <v>6.28780487804878</v>
      </c>
      <c r="U23" s="5">
        <v>110</v>
      </c>
      <c r="V23" t="str">
        <f>_xlfn.XLOOKUP(U23,[3]Sheet1!$B:$B,[3]Sheet1!$K:$K)</f>
        <v>1|9|510</v>
      </c>
      <c r="W23">
        <v>530</v>
      </c>
      <c r="X23" t="s">
        <v>1041</v>
      </c>
      <c r="Y23" t="s">
        <v>1040</v>
      </c>
      <c r="Z23">
        <v>90</v>
      </c>
      <c r="AA23" t="s">
        <v>78</v>
      </c>
      <c r="AB23">
        <v>8</v>
      </c>
      <c r="AC23">
        <v>2</v>
      </c>
      <c r="AD23" s="48">
        <f>(_xlfn.XLOOKUP($AB23,[1]Sheet1!$B:$B,[1]Sheet1!D:D)+_xlfn.XLOOKUP($Z23,[2]Sheet1!$B:$B,[2]Sheet1!C:C)*1.012)*1.1</f>
        <v>390.1524</v>
      </c>
      <c r="AE23" s="48">
        <f>(_xlfn.XLOOKUP($AB23,[1]Sheet1!$B:$B,[1]Sheet1!E:E)+_xlfn.XLOOKUP($Z23,[2]Sheet1!$B:$B,[2]Sheet1!D:D)*1.012)*1.1</f>
        <v>11704.572</v>
      </c>
      <c r="AF23" s="48">
        <f>(_xlfn.XLOOKUP($AB23,[1]Sheet1!$B:$B,[1]Sheet1!F:F)+_xlfn.XLOOKUP($Z23,[2]Sheet1!$B:$B,[2]Sheet1!E:E)*1.012)*1.1</f>
        <v>2340.9144</v>
      </c>
      <c r="AG23" s="48">
        <f>(_xlfn.XLOOKUP($AB23,[1]Sheet1!$B:$B,[1]Sheet1!G:G)+_xlfn.XLOOKUP($Z23,[2]Sheet1!$B:$B,[2]Sheet1!F:F)*1.012)*1.1</f>
        <v>780.3048</v>
      </c>
      <c r="AH23" t="str">
        <f>_xlfn.XLOOKUP($AB23,[1]Sheet1!$B:$B,[1]Sheet1!$K:$K)</f>
        <v>450,550</v>
      </c>
      <c r="AI23" t="str">
        <f>_xlfn.XLOOKUP($AB23,[1]Sheet1!$B:$B,[1]Sheet1!$O:$O)</f>
        <v>450,550</v>
      </c>
    </row>
    <row r="24" ht="15.6" spans="2:35">
      <c r="B24" t="str">
        <f t="shared" si="0"/>
        <v>LV103幸运礼包</v>
      </c>
      <c r="C24" s="40">
        <v>103</v>
      </c>
      <c r="D24" s="40">
        <v>328</v>
      </c>
      <c r="E24" s="40" t="s">
        <v>6</v>
      </c>
      <c r="F24" s="40">
        <f t="shared" si="6"/>
        <v>3280</v>
      </c>
      <c r="G24" s="40" t="s">
        <v>45</v>
      </c>
      <c r="H24" s="40">
        <v>125</v>
      </c>
      <c r="I24" s="40" t="s">
        <v>46</v>
      </c>
      <c r="J24" s="40">
        <v>5000</v>
      </c>
      <c r="K24" s="40" t="s">
        <v>93</v>
      </c>
      <c r="L24" s="7">
        <v>1</v>
      </c>
      <c r="M24" s="44">
        <f>_xlfn.XLOOKUP(E24,道具表!$B:$B,道具表!$E:$E)</f>
        <v>1</v>
      </c>
      <c r="N24" s="44">
        <f>_xlfn.XLOOKUP(G24,道具表!$B:$B,道具表!$E:$E)</f>
        <v>100</v>
      </c>
      <c r="O24" s="44">
        <f>_xlfn.XLOOKUP(I24,道具表!$B:$B,道具表!$E:$E)</f>
        <v>0.5</v>
      </c>
      <c r="P24" s="44">
        <f t="shared" si="1"/>
        <v>3280</v>
      </c>
      <c r="Q24" s="44">
        <f t="shared" si="2"/>
        <v>12500</v>
      </c>
      <c r="R24" s="44">
        <f t="shared" si="3"/>
        <v>2500</v>
      </c>
      <c r="S24" s="6">
        <f t="shared" si="4"/>
        <v>18280</v>
      </c>
      <c r="T24" s="46">
        <f t="shared" si="5"/>
        <v>5.57317073170732</v>
      </c>
      <c r="U24" s="5">
        <v>110</v>
      </c>
      <c r="V24" t="str">
        <f>_xlfn.XLOOKUP(U24,[3]Sheet1!$B:$B,[3]Sheet1!$K:$K)</f>
        <v>1|9|510</v>
      </c>
      <c r="W24">
        <v>550</v>
      </c>
      <c r="X24" t="s">
        <v>1047</v>
      </c>
      <c r="Y24" t="s">
        <v>1040</v>
      </c>
      <c r="Z24">
        <v>95</v>
      </c>
      <c r="AA24" t="s">
        <v>79</v>
      </c>
      <c r="AB24">
        <v>8</v>
      </c>
      <c r="AC24">
        <v>9</v>
      </c>
      <c r="AD24" s="48">
        <f>(_xlfn.XLOOKUP($AB24,[1]Sheet1!$B:$B,[1]Sheet1!D:D)+_xlfn.XLOOKUP($Z24,[2]Sheet1!$B:$B,[2]Sheet1!C:C)*1.012)*1.1</f>
        <v>415.756</v>
      </c>
      <c r="AE24" s="48">
        <f>(_xlfn.XLOOKUP($AB24,[1]Sheet1!$B:$B,[1]Sheet1!E:E)+_xlfn.XLOOKUP($Z24,[2]Sheet1!$B:$B,[2]Sheet1!D:D)*1.012)*1.1</f>
        <v>12455.982</v>
      </c>
      <c r="AF24" s="48">
        <f>(_xlfn.XLOOKUP($AB24,[1]Sheet1!$B:$B,[1]Sheet1!F:F)+_xlfn.XLOOKUP($Z24,[2]Sheet1!$B:$B,[2]Sheet1!E:E)*1.012)*1.1</f>
        <v>2491.1964</v>
      </c>
      <c r="AG24" s="48">
        <f>(_xlfn.XLOOKUP($AB24,[1]Sheet1!$B:$B,[1]Sheet1!G:G)+_xlfn.XLOOKUP($Z24,[2]Sheet1!$B:$B,[2]Sheet1!F:F)*1.012)*1.1</f>
        <v>830.3988</v>
      </c>
      <c r="AH24" t="str">
        <f>_xlfn.XLOOKUP($AB24,[1]Sheet1!$B:$B,[1]Sheet1!$K:$K)</f>
        <v>450,550</v>
      </c>
      <c r="AI24" t="str">
        <f>_xlfn.XLOOKUP($AB24,[1]Sheet1!$B:$B,[1]Sheet1!$O:$O)</f>
        <v>450,550</v>
      </c>
    </row>
    <row r="25" ht="15.6" spans="2:35">
      <c r="B25" t="str">
        <f t="shared" si="0"/>
        <v>LV100幸运礼包</v>
      </c>
      <c r="C25" s="41">
        <v>100</v>
      </c>
      <c r="D25" s="41">
        <v>648</v>
      </c>
      <c r="E25" s="41" t="s">
        <v>6</v>
      </c>
      <c r="F25" s="41">
        <f t="shared" si="6"/>
        <v>6480</v>
      </c>
      <c r="G25" s="41" t="s">
        <v>10</v>
      </c>
      <c r="H25" s="41">
        <v>250</v>
      </c>
      <c r="I25" s="41" t="s">
        <v>47</v>
      </c>
      <c r="J25" s="41">
        <v>300</v>
      </c>
      <c r="K25" s="41" t="s">
        <v>90</v>
      </c>
      <c r="L25" s="7">
        <v>1</v>
      </c>
      <c r="M25" s="45">
        <f>_xlfn.XLOOKUP(E25,道具表!$B:$B,道具表!$E:$E)</f>
        <v>1</v>
      </c>
      <c r="N25" s="45">
        <f>_xlfn.XLOOKUP(G25,道具表!$B:$B,道具表!$E:$E)</f>
        <v>100</v>
      </c>
      <c r="O25" s="45">
        <f>_xlfn.XLOOKUP(I25,道具表!$B:$B,道具表!$E:$E)</f>
        <v>15</v>
      </c>
      <c r="P25" s="45">
        <f t="shared" si="1"/>
        <v>6480</v>
      </c>
      <c r="Q25" s="45">
        <f t="shared" si="2"/>
        <v>25000</v>
      </c>
      <c r="R25" s="45">
        <f t="shared" si="3"/>
        <v>4500</v>
      </c>
      <c r="S25" s="6">
        <f t="shared" si="4"/>
        <v>35980</v>
      </c>
      <c r="T25" s="46">
        <f t="shared" si="5"/>
        <v>5.55246913580247</v>
      </c>
      <c r="U25" s="5">
        <v>111</v>
      </c>
      <c r="V25" t="str">
        <f>_xlfn.XLOOKUP(U25,[3]Sheet1!$B:$B,[3]Sheet1!$K:$K)</f>
        <v>1|9|1010</v>
      </c>
      <c r="W25">
        <v>550</v>
      </c>
      <c r="X25" t="s">
        <v>1049</v>
      </c>
      <c r="Y25" t="s">
        <v>1040</v>
      </c>
      <c r="Z25">
        <v>95</v>
      </c>
      <c r="AA25" t="s">
        <v>80</v>
      </c>
      <c r="AB25">
        <v>8</v>
      </c>
      <c r="AC25">
        <v>10</v>
      </c>
      <c r="AD25" s="48">
        <f>(_xlfn.XLOOKUP($AB25,[1]Sheet1!$B:$B,[1]Sheet1!D:D)+_xlfn.XLOOKUP($Z25,[2]Sheet1!$B:$B,[2]Sheet1!C:C)*1.012)*1.1</f>
        <v>415.756</v>
      </c>
      <c r="AE25" s="48">
        <f>(_xlfn.XLOOKUP($AB25,[1]Sheet1!$B:$B,[1]Sheet1!E:E)+_xlfn.XLOOKUP($Z25,[2]Sheet1!$B:$B,[2]Sheet1!D:D)*1.012)*1.1</f>
        <v>12455.982</v>
      </c>
      <c r="AF25" s="48">
        <f>(_xlfn.XLOOKUP($AB25,[1]Sheet1!$B:$B,[1]Sheet1!F:F)+_xlfn.XLOOKUP($Z25,[2]Sheet1!$B:$B,[2]Sheet1!E:E)*1.012)*1.1</f>
        <v>2491.1964</v>
      </c>
      <c r="AG25" s="48">
        <f>(_xlfn.XLOOKUP($AB25,[1]Sheet1!$B:$B,[1]Sheet1!G:G)+_xlfn.XLOOKUP($Z25,[2]Sheet1!$B:$B,[2]Sheet1!F:F)*1.012)*1.1</f>
        <v>830.3988</v>
      </c>
      <c r="AH25" t="str">
        <f>_xlfn.XLOOKUP($AB25,[1]Sheet1!$B:$B,[1]Sheet1!$K:$K)</f>
        <v>450,550</v>
      </c>
      <c r="AI25" t="str">
        <f>_xlfn.XLOOKUP($AB25,[1]Sheet1!$B:$B,[1]Sheet1!$O:$O)</f>
        <v>450,550</v>
      </c>
    </row>
    <row r="26" ht="15.6" spans="2:35">
      <c r="B26" t="str">
        <f t="shared" si="0"/>
        <v>LV101幸运礼包</v>
      </c>
      <c r="C26" s="41">
        <v>101</v>
      </c>
      <c r="D26" s="41">
        <v>648</v>
      </c>
      <c r="E26" s="41" t="s">
        <v>6</v>
      </c>
      <c r="F26" s="41">
        <f t="shared" si="6"/>
        <v>6480</v>
      </c>
      <c r="G26" s="41" t="s">
        <v>34</v>
      </c>
      <c r="H26" s="41">
        <v>190</v>
      </c>
      <c r="I26" s="41" t="s">
        <v>14</v>
      </c>
      <c r="J26" s="41">
        <v>100000</v>
      </c>
      <c r="K26" s="41" t="s">
        <v>91</v>
      </c>
      <c r="L26" s="7">
        <v>1</v>
      </c>
      <c r="M26" s="45">
        <f>_xlfn.XLOOKUP(E26,道具表!$B:$B,道具表!$E:$E)</f>
        <v>1</v>
      </c>
      <c r="N26" s="45">
        <f>_xlfn.XLOOKUP(G26,道具表!$B:$B,道具表!$E:$E)</f>
        <v>100</v>
      </c>
      <c r="O26" s="45">
        <f>_xlfn.XLOOKUP(I26,道具表!$B:$B,道具表!$E:$E)</f>
        <v>0.1</v>
      </c>
      <c r="P26" s="45">
        <f t="shared" si="1"/>
        <v>6480</v>
      </c>
      <c r="Q26" s="45">
        <f t="shared" si="2"/>
        <v>19000</v>
      </c>
      <c r="R26" s="45">
        <f t="shared" si="3"/>
        <v>10000</v>
      </c>
      <c r="S26" s="6">
        <f t="shared" si="4"/>
        <v>35480</v>
      </c>
      <c r="T26" s="46">
        <f t="shared" si="5"/>
        <v>5.47530864197531</v>
      </c>
      <c r="U26" s="5">
        <v>111</v>
      </c>
      <c r="V26" t="str">
        <f>_xlfn.XLOOKUP(U26,[3]Sheet1!$B:$B,[3]Sheet1!$K:$K)</f>
        <v>1|9|1010</v>
      </c>
      <c r="W26">
        <v>550</v>
      </c>
      <c r="X26" t="s">
        <v>1051</v>
      </c>
      <c r="Y26" t="s">
        <v>1040</v>
      </c>
      <c r="Z26">
        <v>95</v>
      </c>
      <c r="AA26" t="s">
        <v>81</v>
      </c>
      <c r="AB26">
        <v>8</v>
      </c>
      <c r="AC26">
        <v>11</v>
      </c>
      <c r="AD26" s="48">
        <f>(_xlfn.XLOOKUP($AB26,[1]Sheet1!$B:$B,[1]Sheet1!D:D)+_xlfn.XLOOKUP($Z26,[2]Sheet1!$B:$B,[2]Sheet1!C:C)*1.012)*1.1</f>
        <v>415.756</v>
      </c>
      <c r="AE26" s="48">
        <f>(_xlfn.XLOOKUP($AB26,[1]Sheet1!$B:$B,[1]Sheet1!E:E)+_xlfn.XLOOKUP($Z26,[2]Sheet1!$B:$B,[2]Sheet1!D:D)*1.012)*1.1</f>
        <v>12455.982</v>
      </c>
      <c r="AF26" s="48">
        <f>(_xlfn.XLOOKUP($AB26,[1]Sheet1!$B:$B,[1]Sheet1!F:F)+_xlfn.XLOOKUP($Z26,[2]Sheet1!$B:$B,[2]Sheet1!E:E)*1.012)*1.1</f>
        <v>2491.1964</v>
      </c>
      <c r="AG26" s="48">
        <f>(_xlfn.XLOOKUP($AB26,[1]Sheet1!$B:$B,[1]Sheet1!G:G)+_xlfn.XLOOKUP($Z26,[2]Sheet1!$B:$B,[2]Sheet1!F:F)*1.012)*1.1</f>
        <v>830.3988</v>
      </c>
      <c r="AH26" t="str">
        <f>_xlfn.XLOOKUP($AB26,[1]Sheet1!$B:$B,[1]Sheet1!$K:$K)</f>
        <v>450,550</v>
      </c>
      <c r="AI26" t="str">
        <f>_xlfn.XLOOKUP($AB26,[1]Sheet1!$B:$B,[1]Sheet1!$O:$O)</f>
        <v>450,550</v>
      </c>
    </row>
    <row r="27" ht="15.6" spans="2:35">
      <c r="B27" t="str">
        <f t="shared" si="0"/>
        <v>LV102幸运礼包</v>
      </c>
      <c r="C27" s="41">
        <v>102</v>
      </c>
      <c r="D27" s="41">
        <v>648</v>
      </c>
      <c r="E27" s="41" t="s">
        <v>6</v>
      </c>
      <c r="F27" s="41">
        <f t="shared" si="6"/>
        <v>6480</v>
      </c>
      <c r="G27" s="41" t="s">
        <v>249</v>
      </c>
      <c r="H27" s="41">
        <v>3</v>
      </c>
      <c r="I27" s="41" t="s">
        <v>49</v>
      </c>
      <c r="J27" s="41">
        <v>20</v>
      </c>
      <c r="K27" s="41" t="s">
        <v>92</v>
      </c>
      <c r="L27" s="7">
        <v>1</v>
      </c>
      <c r="M27" s="45">
        <f>_xlfn.XLOOKUP(E27,道具表!$B:$B,道具表!$E:$E)</f>
        <v>1</v>
      </c>
      <c r="N27" s="45">
        <f>_xlfn.XLOOKUP(G27,道具表!$B:$B,道具表!$E:$E)</f>
        <v>5000</v>
      </c>
      <c r="O27" s="45">
        <f>_xlfn.XLOOKUP(I27,道具表!$B:$B,道具表!$E:$E)</f>
        <v>918</v>
      </c>
      <c r="P27" s="45">
        <f t="shared" si="1"/>
        <v>6480</v>
      </c>
      <c r="Q27" s="45">
        <f t="shared" si="2"/>
        <v>15000</v>
      </c>
      <c r="R27" s="45">
        <f t="shared" si="3"/>
        <v>18360</v>
      </c>
      <c r="S27" s="6">
        <f t="shared" si="4"/>
        <v>39840</v>
      </c>
      <c r="T27" s="46">
        <f t="shared" si="5"/>
        <v>6.14814814814815</v>
      </c>
      <c r="U27" s="5">
        <v>111</v>
      </c>
      <c r="V27" t="str">
        <f>_xlfn.XLOOKUP(U27,[3]Sheet1!$B:$B,[3]Sheet1!$K:$K)</f>
        <v>1|9|1010</v>
      </c>
      <c r="W27">
        <v>550</v>
      </c>
      <c r="X27" t="s">
        <v>1054</v>
      </c>
      <c r="Y27" t="s">
        <v>1040</v>
      </c>
      <c r="Z27">
        <v>100</v>
      </c>
      <c r="AA27" t="s">
        <v>82</v>
      </c>
      <c r="AB27">
        <v>8</v>
      </c>
      <c r="AC27">
        <v>8</v>
      </c>
      <c r="AD27" s="48">
        <f>(_xlfn.XLOOKUP($AB27,[1]Sheet1!$B:$B,[1]Sheet1!D:D)+_xlfn.XLOOKUP($Z27,[2]Sheet1!$B:$B,[2]Sheet1!C:C)*1.012)*1.1</f>
        <v>441.3596</v>
      </c>
      <c r="AE27" s="48">
        <f>(_xlfn.XLOOKUP($AB27,[1]Sheet1!$B:$B,[1]Sheet1!E:E)+_xlfn.XLOOKUP($Z27,[2]Sheet1!$B:$B,[2]Sheet1!D:D)*1.012)*1.1</f>
        <v>13224.09</v>
      </c>
      <c r="AF27" s="48">
        <f>(_xlfn.XLOOKUP($AB27,[1]Sheet1!$B:$B,[1]Sheet1!F:F)+_xlfn.XLOOKUP($Z27,[2]Sheet1!$B:$B,[2]Sheet1!E:E)*1.012)*1.1</f>
        <v>2644.818</v>
      </c>
      <c r="AG27" s="48">
        <f>(_xlfn.XLOOKUP($AB27,[1]Sheet1!$B:$B,[1]Sheet1!G:G)+_xlfn.XLOOKUP($Z27,[2]Sheet1!$B:$B,[2]Sheet1!F:F)*1.012)*1.1</f>
        <v>881.606</v>
      </c>
      <c r="AH27" t="str">
        <f>_xlfn.XLOOKUP($AB27,[1]Sheet1!$B:$B,[1]Sheet1!$K:$K)</f>
        <v>450,550</v>
      </c>
      <c r="AI27" t="str">
        <f>_xlfn.XLOOKUP($AB27,[1]Sheet1!$B:$B,[1]Sheet1!$O:$O)</f>
        <v>450,550</v>
      </c>
    </row>
    <row r="28" ht="15.6" spans="2:35">
      <c r="B28" t="str">
        <f t="shared" si="0"/>
        <v>LV103幸运礼包</v>
      </c>
      <c r="C28" s="41">
        <v>103</v>
      </c>
      <c r="D28" s="41">
        <v>648</v>
      </c>
      <c r="E28" s="41" t="s">
        <v>6</v>
      </c>
      <c r="F28" s="41">
        <f t="shared" si="6"/>
        <v>6480</v>
      </c>
      <c r="G28" s="41" t="s">
        <v>45</v>
      </c>
      <c r="H28" s="41">
        <v>245</v>
      </c>
      <c r="I28" s="41" t="s">
        <v>46</v>
      </c>
      <c r="J28" s="41">
        <v>10000</v>
      </c>
      <c r="K28" s="41" t="s">
        <v>93</v>
      </c>
      <c r="L28" s="7">
        <v>1</v>
      </c>
      <c r="M28" s="45">
        <f>_xlfn.XLOOKUP(E28,道具表!$B:$B,道具表!$E:$E)</f>
        <v>1</v>
      </c>
      <c r="N28" s="45">
        <f>_xlfn.XLOOKUP(G28,道具表!$B:$B,道具表!$E:$E)</f>
        <v>100</v>
      </c>
      <c r="O28" s="45">
        <f>_xlfn.XLOOKUP(I28,道具表!$B:$B,道具表!$E:$E)</f>
        <v>0.5</v>
      </c>
      <c r="P28" s="45">
        <f t="shared" si="1"/>
        <v>6480</v>
      </c>
      <c r="Q28" s="45">
        <f t="shared" si="2"/>
        <v>24500</v>
      </c>
      <c r="R28" s="45">
        <f t="shared" si="3"/>
        <v>5000</v>
      </c>
      <c r="S28" s="6">
        <f t="shared" si="4"/>
        <v>35980</v>
      </c>
      <c r="T28" s="46">
        <f t="shared" si="5"/>
        <v>5.55246913580247</v>
      </c>
      <c r="U28" s="5">
        <v>111</v>
      </c>
      <c r="V28" t="str">
        <f>_xlfn.XLOOKUP(U28,[3]Sheet1!$B:$B,[3]Sheet1!$K:$K)</f>
        <v>1|9|1010</v>
      </c>
      <c r="W28">
        <v>550</v>
      </c>
      <c r="X28" t="s">
        <v>1045</v>
      </c>
      <c r="Y28" t="s">
        <v>1040</v>
      </c>
      <c r="Z28">
        <v>100</v>
      </c>
      <c r="AA28" t="s">
        <v>83</v>
      </c>
      <c r="AB28">
        <v>8</v>
      </c>
      <c r="AC28">
        <v>4</v>
      </c>
      <c r="AD28" s="48">
        <f>(_xlfn.XLOOKUP($AB28,[1]Sheet1!$B:$B,[1]Sheet1!D:D)+_xlfn.XLOOKUP($Z28,[2]Sheet1!$B:$B,[2]Sheet1!C:C)*1.012)*1.1</f>
        <v>441.3596</v>
      </c>
      <c r="AE28" s="48">
        <f>(_xlfn.XLOOKUP($AB28,[1]Sheet1!$B:$B,[1]Sheet1!E:E)+_xlfn.XLOOKUP($Z28,[2]Sheet1!$B:$B,[2]Sheet1!D:D)*1.012)*1.1</f>
        <v>13224.09</v>
      </c>
      <c r="AF28" s="48">
        <f>(_xlfn.XLOOKUP($AB28,[1]Sheet1!$B:$B,[1]Sheet1!F:F)+_xlfn.XLOOKUP($Z28,[2]Sheet1!$B:$B,[2]Sheet1!E:E)*1.012)*1.1</f>
        <v>2644.818</v>
      </c>
      <c r="AG28" s="48">
        <f>(_xlfn.XLOOKUP($AB28,[1]Sheet1!$B:$B,[1]Sheet1!G:G)+_xlfn.XLOOKUP($Z28,[2]Sheet1!$B:$B,[2]Sheet1!F:F)*1.012)*1.1</f>
        <v>881.606</v>
      </c>
      <c r="AH28" t="str">
        <f>_xlfn.XLOOKUP($AB28,[1]Sheet1!$B:$B,[1]Sheet1!$K:$K)</f>
        <v>450,550</v>
      </c>
      <c r="AI28" t="str">
        <f>_xlfn.XLOOKUP($AB28,[1]Sheet1!$B:$B,[1]Sheet1!$O:$O)</f>
        <v>450,550</v>
      </c>
    </row>
    <row r="29" spans="24:35">
      <c r="X29" t="s">
        <v>1057</v>
      </c>
      <c r="Y29" t="s">
        <v>1040</v>
      </c>
      <c r="Z29">
        <v>105</v>
      </c>
      <c r="AA29" t="s">
        <v>84</v>
      </c>
      <c r="AB29">
        <v>8</v>
      </c>
      <c r="AC29">
        <v>12</v>
      </c>
      <c r="AD29" s="48">
        <f>(_xlfn.XLOOKUP($AB29,[1]Sheet1!$B:$B,[1]Sheet1!D:D)+_xlfn.XLOOKUP($Z29,[2]Sheet1!$B:$B,[2]Sheet1!C:C)*1.012)*1.1</f>
        <v>469.1896</v>
      </c>
      <c r="AE29" s="48">
        <f>(_xlfn.XLOOKUP($AB29,[1]Sheet1!$B:$B,[1]Sheet1!E:E)+_xlfn.XLOOKUP($Z29,[2]Sheet1!$B:$B,[2]Sheet1!D:D)*1.012)*1.1</f>
        <v>14058.99</v>
      </c>
      <c r="AF29" s="48">
        <f>(_xlfn.XLOOKUP($AB29,[1]Sheet1!$B:$B,[1]Sheet1!F:F)+_xlfn.XLOOKUP($Z29,[2]Sheet1!$B:$B,[2]Sheet1!E:E)*1.012)*1.1</f>
        <v>2811.798</v>
      </c>
      <c r="AG29" s="48">
        <f>(_xlfn.XLOOKUP($AB29,[1]Sheet1!$B:$B,[1]Sheet1!G:G)+_xlfn.XLOOKUP($Z29,[2]Sheet1!$B:$B,[2]Sheet1!F:F)*1.012)*1.1</f>
        <v>937.266</v>
      </c>
      <c r="AH29" t="str">
        <f>_xlfn.XLOOKUP($AB29,[1]Sheet1!$B:$B,[1]Sheet1!$K:$K)</f>
        <v>450,550</v>
      </c>
      <c r="AI29" t="str">
        <f>_xlfn.XLOOKUP($AB29,[1]Sheet1!$B:$B,[1]Sheet1!$O:$O)</f>
        <v>450,550</v>
      </c>
    </row>
    <row r="30" spans="24:35">
      <c r="X30" t="s">
        <v>1052</v>
      </c>
      <c r="Y30" t="s">
        <v>1040</v>
      </c>
      <c r="Z30">
        <v>105</v>
      </c>
      <c r="AA30" t="s">
        <v>85</v>
      </c>
      <c r="AB30">
        <v>8</v>
      </c>
      <c r="AC30">
        <v>7</v>
      </c>
      <c r="AD30" s="48">
        <f>(_xlfn.XLOOKUP($AB30,[1]Sheet1!$B:$B,[1]Sheet1!D:D)+_xlfn.XLOOKUP($Z30,[2]Sheet1!$B:$B,[2]Sheet1!C:C)*1.012)*1.1</f>
        <v>469.1896</v>
      </c>
      <c r="AE30" s="48">
        <f>(_xlfn.XLOOKUP($AB30,[1]Sheet1!$B:$B,[1]Sheet1!E:E)+_xlfn.XLOOKUP($Z30,[2]Sheet1!$B:$B,[2]Sheet1!D:D)*1.012)*1.1</f>
        <v>14058.99</v>
      </c>
      <c r="AF30" s="48">
        <f>(_xlfn.XLOOKUP($AB30,[1]Sheet1!$B:$B,[1]Sheet1!F:F)+_xlfn.XLOOKUP($Z30,[2]Sheet1!$B:$B,[2]Sheet1!E:E)*1.012)*1.1</f>
        <v>2811.798</v>
      </c>
      <c r="AG30" s="48">
        <f>(_xlfn.XLOOKUP($AB30,[1]Sheet1!$B:$B,[1]Sheet1!G:G)+_xlfn.XLOOKUP($Z30,[2]Sheet1!$B:$B,[2]Sheet1!F:F)*1.012)*1.1</f>
        <v>937.266</v>
      </c>
      <c r="AH30" t="str">
        <f>_xlfn.XLOOKUP($AB30,[1]Sheet1!$B:$B,[1]Sheet1!$K:$K)</f>
        <v>450,550</v>
      </c>
      <c r="AI30" t="str">
        <f>_xlfn.XLOOKUP($AB30,[1]Sheet1!$B:$B,[1]Sheet1!$O:$O)</f>
        <v>450,550</v>
      </c>
    </row>
    <row r="31" spans="24:35">
      <c r="X31" t="s">
        <v>1036</v>
      </c>
      <c r="Y31" t="s">
        <v>1040</v>
      </c>
      <c r="Z31">
        <v>105</v>
      </c>
      <c r="AA31" t="s">
        <v>86</v>
      </c>
      <c r="AB31">
        <v>8</v>
      </c>
      <c r="AC31">
        <v>6</v>
      </c>
      <c r="AD31" s="48">
        <f>(_xlfn.XLOOKUP($AB31,[1]Sheet1!$B:$B,[1]Sheet1!D:D)+_xlfn.XLOOKUP($Z31,[2]Sheet1!$B:$B,[2]Sheet1!C:C)*1.012)*1.1</f>
        <v>469.1896</v>
      </c>
      <c r="AE31" s="48">
        <f>(_xlfn.XLOOKUP($AB31,[1]Sheet1!$B:$B,[1]Sheet1!E:E)+_xlfn.XLOOKUP($Z31,[2]Sheet1!$B:$B,[2]Sheet1!D:D)*1.012)*1.1</f>
        <v>14058.99</v>
      </c>
      <c r="AF31" s="48">
        <f>(_xlfn.XLOOKUP($AB31,[1]Sheet1!$B:$B,[1]Sheet1!F:F)+_xlfn.XLOOKUP($Z31,[2]Sheet1!$B:$B,[2]Sheet1!E:E)*1.012)*1.1</f>
        <v>2811.798</v>
      </c>
      <c r="AG31" s="48">
        <f>(_xlfn.XLOOKUP($AB31,[1]Sheet1!$B:$B,[1]Sheet1!G:G)+_xlfn.XLOOKUP($Z31,[2]Sheet1!$B:$B,[2]Sheet1!F:F)*1.012)*1.1</f>
        <v>937.266</v>
      </c>
      <c r="AH31" t="str">
        <f>_xlfn.XLOOKUP($AB31,[1]Sheet1!$B:$B,[1]Sheet1!$K:$K)</f>
        <v>450,550</v>
      </c>
      <c r="AI31" t="str">
        <f>_xlfn.XLOOKUP($AB31,[1]Sheet1!$B:$B,[1]Sheet1!$O:$O)</f>
        <v>450,550</v>
      </c>
    </row>
    <row r="32" spans="24:35">
      <c r="X32" t="s">
        <v>1039</v>
      </c>
      <c r="Y32" t="s">
        <v>1040</v>
      </c>
      <c r="Z32">
        <v>105</v>
      </c>
      <c r="AA32" t="s">
        <v>87</v>
      </c>
      <c r="AB32">
        <v>8</v>
      </c>
      <c r="AC32">
        <v>5</v>
      </c>
      <c r="AD32" s="48">
        <f>(_xlfn.XLOOKUP($AB32,[1]Sheet1!$B:$B,[1]Sheet1!D:D)+_xlfn.XLOOKUP($Z32,[2]Sheet1!$B:$B,[2]Sheet1!C:C)*1.012)*1.1</f>
        <v>469.1896</v>
      </c>
      <c r="AE32" s="48">
        <f>(_xlfn.XLOOKUP($AB32,[1]Sheet1!$B:$B,[1]Sheet1!E:E)+_xlfn.XLOOKUP($Z32,[2]Sheet1!$B:$B,[2]Sheet1!D:D)*1.012)*1.1</f>
        <v>14058.99</v>
      </c>
      <c r="AF32" s="48">
        <f>(_xlfn.XLOOKUP($AB32,[1]Sheet1!$B:$B,[1]Sheet1!F:F)+_xlfn.XLOOKUP($Z32,[2]Sheet1!$B:$B,[2]Sheet1!E:E)*1.012)*1.1</f>
        <v>2811.798</v>
      </c>
      <c r="AG32" s="48">
        <f>(_xlfn.XLOOKUP($AB32,[1]Sheet1!$B:$B,[1]Sheet1!G:G)+_xlfn.XLOOKUP($Z32,[2]Sheet1!$B:$B,[2]Sheet1!F:F)*1.012)*1.1</f>
        <v>937.266</v>
      </c>
      <c r="AH32" t="str">
        <f>_xlfn.XLOOKUP($AB32,[1]Sheet1!$B:$B,[1]Sheet1!$K:$K)</f>
        <v>450,550</v>
      </c>
      <c r="AI32" t="str">
        <f>_xlfn.XLOOKUP($AB32,[1]Sheet1!$B:$B,[1]Sheet1!$O:$O)</f>
        <v>450,550</v>
      </c>
    </row>
    <row r="33" spans="24:35">
      <c r="X33" t="s">
        <v>1032</v>
      </c>
      <c r="Y33" t="s">
        <v>1040</v>
      </c>
      <c r="Z33">
        <v>105</v>
      </c>
      <c r="AA33" t="s">
        <v>88</v>
      </c>
      <c r="AB33">
        <v>8</v>
      </c>
      <c r="AC33">
        <v>1</v>
      </c>
      <c r="AD33" s="48">
        <f>(_xlfn.XLOOKUP($AB33,[1]Sheet1!$B:$B,[1]Sheet1!D:D)+_xlfn.XLOOKUP($Z33,[2]Sheet1!$B:$B,[2]Sheet1!C:C)*1.012)*1.1</f>
        <v>469.1896</v>
      </c>
      <c r="AE33" s="48">
        <f>(_xlfn.XLOOKUP($AB33,[1]Sheet1!$B:$B,[1]Sheet1!E:E)+_xlfn.XLOOKUP($Z33,[2]Sheet1!$B:$B,[2]Sheet1!D:D)*1.012)*1.1</f>
        <v>14058.99</v>
      </c>
      <c r="AF33" s="48">
        <f>(_xlfn.XLOOKUP($AB33,[1]Sheet1!$B:$B,[1]Sheet1!F:F)+_xlfn.XLOOKUP($Z33,[2]Sheet1!$B:$B,[2]Sheet1!E:E)*1.012)*1.1</f>
        <v>2811.798</v>
      </c>
      <c r="AG33" s="48">
        <f>(_xlfn.XLOOKUP($AB33,[1]Sheet1!$B:$B,[1]Sheet1!G:G)+_xlfn.XLOOKUP($Z33,[2]Sheet1!$B:$B,[2]Sheet1!F:F)*1.012)*1.1</f>
        <v>937.266</v>
      </c>
      <c r="AH33" t="str">
        <f>_xlfn.XLOOKUP($AB33,[1]Sheet1!$B:$B,[1]Sheet1!$K:$K)</f>
        <v>450,550</v>
      </c>
      <c r="AI33" t="str">
        <f>_xlfn.XLOOKUP($AB33,[1]Sheet1!$B:$B,[1]Sheet1!$O:$O)</f>
        <v>450,550</v>
      </c>
    </row>
    <row r="34" spans="24:35">
      <c r="X34" t="s">
        <v>1043</v>
      </c>
      <c r="Y34" t="s">
        <v>1040</v>
      </c>
      <c r="Z34">
        <v>105</v>
      </c>
      <c r="AA34" t="s">
        <v>89</v>
      </c>
      <c r="AB34">
        <v>8</v>
      </c>
      <c r="AC34">
        <v>3</v>
      </c>
      <c r="AD34" s="48">
        <f>(_xlfn.XLOOKUP($AB34,[1]Sheet1!$B:$B,[1]Sheet1!D:D)+_xlfn.XLOOKUP($Z34,[2]Sheet1!$B:$B,[2]Sheet1!C:C)*1.012)*1.1</f>
        <v>469.1896</v>
      </c>
      <c r="AE34" s="48">
        <f>(_xlfn.XLOOKUP($AB34,[1]Sheet1!$B:$B,[1]Sheet1!E:E)+_xlfn.XLOOKUP($Z34,[2]Sheet1!$B:$B,[2]Sheet1!D:D)*1.012)*1.1</f>
        <v>14058.99</v>
      </c>
      <c r="AF34" s="48">
        <f>(_xlfn.XLOOKUP($AB34,[1]Sheet1!$B:$B,[1]Sheet1!F:F)+_xlfn.XLOOKUP($Z34,[2]Sheet1!$B:$B,[2]Sheet1!E:E)*1.012)*1.1</f>
        <v>2811.798</v>
      </c>
      <c r="AG34" s="48">
        <f>(_xlfn.XLOOKUP($AB34,[1]Sheet1!$B:$B,[1]Sheet1!G:G)+_xlfn.XLOOKUP($Z34,[2]Sheet1!$B:$B,[2]Sheet1!F:F)*1.012)*1.1</f>
        <v>937.266</v>
      </c>
      <c r="AH34" t="str">
        <f>_xlfn.XLOOKUP($AB34,[1]Sheet1!$B:$B,[1]Sheet1!$K:$K)</f>
        <v>450,550</v>
      </c>
      <c r="AI34" t="str">
        <f>_xlfn.XLOOKUP($AB34,[1]Sheet1!$B:$B,[1]Sheet1!$O:$O)</f>
        <v>450,550</v>
      </c>
    </row>
    <row r="35" ht="15.6" spans="3:35">
      <c r="C35" s="6" t="str">
        <f>C3</f>
        <v>等级</v>
      </c>
      <c r="D35" s="6" t="str">
        <f>D3</f>
        <v>价格</v>
      </c>
      <c r="E35" s="6" t="s">
        <v>815</v>
      </c>
      <c r="F35" s="6" t="str">
        <f>F3</f>
        <v>数量</v>
      </c>
      <c r="G35" s="6" t="s">
        <v>816</v>
      </c>
      <c r="H35" s="6" t="str">
        <f>H3</f>
        <v>数量</v>
      </c>
      <c r="I35" s="6" t="s">
        <v>817</v>
      </c>
      <c r="J35" s="6" t="str">
        <f>J3</f>
        <v>数量</v>
      </c>
      <c r="K35" s="9" t="s">
        <v>1073</v>
      </c>
      <c r="L35" s="6" t="str">
        <f>L3</f>
        <v>数量</v>
      </c>
      <c r="M35" s="6" t="s">
        <v>327</v>
      </c>
      <c r="X35" t="s">
        <v>1036</v>
      </c>
      <c r="Y35" t="s">
        <v>1060</v>
      </c>
      <c r="Z35">
        <v>105</v>
      </c>
      <c r="AA35" t="s">
        <v>90</v>
      </c>
      <c r="AB35">
        <v>9</v>
      </c>
      <c r="AC35">
        <v>6</v>
      </c>
      <c r="AD35" s="48">
        <f>(_xlfn.XLOOKUP($AB35,[1]Sheet1!$B:$B,[1]Sheet1!D:D)+_xlfn.XLOOKUP($Z35,[2]Sheet1!$B:$B,[2]Sheet1!C:C)*1.012)*1.1</f>
        <v>480.1896</v>
      </c>
      <c r="AE35" s="48">
        <f>(_xlfn.XLOOKUP($AB35,[1]Sheet1!$B:$B,[1]Sheet1!E:E)+_xlfn.XLOOKUP($Z35,[2]Sheet1!$B:$B,[2]Sheet1!D:D)*1.012)*1.1</f>
        <v>14388.99</v>
      </c>
      <c r="AF35" s="48">
        <f>(_xlfn.XLOOKUP($AB35,[1]Sheet1!$B:$B,[1]Sheet1!F:F)+_xlfn.XLOOKUP($Z35,[2]Sheet1!$B:$B,[2]Sheet1!E:E)*1.012)*1.1</f>
        <v>2877.798</v>
      </c>
      <c r="AG35" s="48">
        <f>(_xlfn.XLOOKUP($AB35,[1]Sheet1!$B:$B,[1]Sheet1!G:G)+_xlfn.XLOOKUP($Z35,[2]Sheet1!$B:$B,[2]Sheet1!F:F)*1.012)*1.1</f>
        <v>959.266</v>
      </c>
      <c r="AH35" t="str">
        <f>_xlfn.XLOOKUP($AB35,[1]Sheet1!$B:$B,[1]Sheet1!$K:$K)</f>
        <v>550,650</v>
      </c>
      <c r="AI35" t="str">
        <f>_xlfn.XLOOKUP($AB35,[1]Sheet1!$B:$B,[1]Sheet1!$O:$O)</f>
        <v>550,650</v>
      </c>
    </row>
    <row r="36" ht="15.6" spans="3:35">
      <c r="C36" s="6">
        <f t="shared" ref="C36:C60" si="7">C4</f>
        <v>25</v>
      </c>
      <c r="D36" s="6">
        <f t="shared" ref="D36:D60" si="8">D4</f>
        <v>18</v>
      </c>
      <c r="E36" s="6" t="str">
        <f>_xlfn.XLOOKUP(E4,道具表!$B:$B,道具表!$C:$C)&amp;"|"&amp;_xlfn.XLOOKUP(E4,道具表!$B:$B,道具表!$A:$A)&amp;"|"</f>
        <v>1|2|</v>
      </c>
      <c r="F36" s="6">
        <f t="shared" ref="F36:F60" si="9">F4</f>
        <v>180</v>
      </c>
      <c r="G36" s="6" t="str">
        <f>_xlfn.XLOOKUP(G4,道具表!$B:$B,道具表!$C:$C)&amp;"|"&amp;_xlfn.XLOOKUP(G4,道具表!$B:$B,道具表!$A:$A)&amp;"|"</f>
        <v>1|10002|</v>
      </c>
      <c r="H36" s="6">
        <f t="shared" ref="H36:H60" si="10">H4</f>
        <v>20</v>
      </c>
      <c r="I36" s="6" t="str">
        <f>_xlfn.XLOOKUP(I4,道具表!$B:$B,道具表!$C:$C)&amp;"|"&amp;_xlfn.XLOOKUP(I4,道具表!$B:$B,道具表!$A:$A)&amp;"|"</f>
        <v>2|90065|</v>
      </c>
      <c r="J36" s="6">
        <f t="shared" ref="J36:J60" si="11">J4</f>
        <v>1</v>
      </c>
      <c r="K36" s="6"/>
      <c r="L36" s="6"/>
      <c r="M36" s="19" t="str">
        <f>E36&amp;F36&amp;","&amp;G36&amp;H36&amp;","&amp;I36&amp;J36&amp;","&amp;K36&amp;L36</f>
        <v>1|2|180,1|10002|20,2|90065|1,</v>
      </c>
      <c r="X36" t="s">
        <v>1039</v>
      </c>
      <c r="Y36" t="s">
        <v>1060</v>
      </c>
      <c r="Z36">
        <v>105</v>
      </c>
      <c r="AA36" t="s">
        <v>91</v>
      </c>
      <c r="AB36">
        <v>9</v>
      </c>
      <c r="AC36">
        <v>5</v>
      </c>
      <c r="AD36" s="48">
        <f>(_xlfn.XLOOKUP($AB36,[1]Sheet1!$B:$B,[1]Sheet1!D:D)+_xlfn.XLOOKUP($Z36,[2]Sheet1!$B:$B,[2]Sheet1!C:C)*1.012)*1.1</f>
        <v>480.1896</v>
      </c>
      <c r="AE36" s="48">
        <f>(_xlfn.XLOOKUP($AB36,[1]Sheet1!$B:$B,[1]Sheet1!E:E)+_xlfn.XLOOKUP($Z36,[2]Sheet1!$B:$B,[2]Sheet1!D:D)*1.012)*1.1</f>
        <v>14388.99</v>
      </c>
      <c r="AF36" s="48">
        <f>(_xlfn.XLOOKUP($AB36,[1]Sheet1!$B:$B,[1]Sheet1!F:F)+_xlfn.XLOOKUP($Z36,[2]Sheet1!$B:$B,[2]Sheet1!E:E)*1.012)*1.1</f>
        <v>2877.798</v>
      </c>
      <c r="AG36" s="48">
        <f>(_xlfn.XLOOKUP($AB36,[1]Sheet1!$B:$B,[1]Sheet1!G:G)+_xlfn.XLOOKUP($Z36,[2]Sheet1!$B:$B,[2]Sheet1!F:F)*1.012)*1.1</f>
        <v>959.266</v>
      </c>
      <c r="AH36" t="str">
        <f>_xlfn.XLOOKUP($AB36,[1]Sheet1!$B:$B,[1]Sheet1!$K:$K)</f>
        <v>550,650</v>
      </c>
      <c r="AI36" t="str">
        <f>_xlfn.XLOOKUP($AB36,[1]Sheet1!$B:$B,[1]Sheet1!$O:$O)</f>
        <v>550,650</v>
      </c>
    </row>
    <row r="37" ht="15.6" spans="3:35">
      <c r="C37" s="6">
        <f t="shared" si="7"/>
        <v>40</v>
      </c>
      <c r="D37" s="6">
        <f t="shared" si="8"/>
        <v>30</v>
      </c>
      <c r="E37" s="6" t="str">
        <f>_xlfn.XLOOKUP(E5,道具表!$B:$B,道具表!$C:$C)&amp;"|"&amp;_xlfn.XLOOKUP(E5,道具表!$B:$B,道具表!$A:$A)&amp;"|"</f>
        <v>1|2|</v>
      </c>
      <c r="F37" s="6">
        <f t="shared" si="9"/>
        <v>300</v>
      </c>
      <c r="G37" s="6" t="str">
        <f>_xlfn.XLOOKUP(G5,道具表!$B:$B,道具表!$C:$C)&amp;"|"&amp;_xlfn.XLOOKUP(G5,道具表!$B:$B,道具表!$A:$A)&amp;"|"</f>
        <v>1|10001|</v>
      </c>
      <c r="H37" s="6">
        <f t="shared" si="10"/>
        <v>15</v>
      </c>
      <c r="I37" s="6" t="str">
        <f>_xlfn.XLOOKUP(I5,道具表!$B:$B,道具表!$C:$C)&amp;"|"&amp;_xlfn.XLOOKUP(I5,道具表!$B:$B,道具表!$A:$A)&amp;"|"</f>
        <v>2|90066|</v>
      </c>
      <c r="J37" s="6">
        <f t="shared" si="11"/>
        <v>1</v>
      </c>
      <c r="K37" s="6"/>
      <c r="L37" s="6"/>
      <c r="M37" s="19" t="str">
        <f>E37&amp;F37&amp;","&amp;G37&amp;H37&amp;","&amp;I37&amp;J37&amp;","&amp;K37&amp;L37</f>
        <v>1|2|300,1|10001|15,2|90066|1,</v>
      </c>
      <c r="X37" t="s">
        <v>1032</v>
      </c>
      <c r="Y37" t="s">
        <v>1060</v>
      </c>
      <c r="Z37">
        <v>105</v>
      </c>
      <c r="AA37" t="s">
        <v>92</v>
      </c>
      <c r="AB37">
        <v>9</v>
      </c>
      <c r="AC37">
        <v>1</v>
      </c>
      <c r="AD37" s="48">
        <f>(_xlfn.XLOOKUP($AB37,[1]Sheet1!$B:$B,[1]Sheet1!D:D)+_xlfn.XLOOKUP($Z37,[2]Sheet1!$B:$B,[2]Sheet1!C:C)*1.012)*1.1</f>
        <v>480.1896</v>
      </c>
      <c r="AE37" s="48">
        <f>(_xlfn.XLOOKUP($AB37,[1]Sheet1!$B:$B,[1]Sheet1!E:E)+_xlfn.XLOOKUP($Z37,[2]Sheet1!$B:$B,[2]Sheet1!D:D)*1.012)*1.1</f>
        <v>14388.99</v>
      </c>
      <c r="AF37" s="48">
        <f>(_xlfn.XLOOKUP($AB37,[1]Sheet1!$B:$B,[1]Sheet1!F:F)+_xlfn.XLOOKUP($Z37,[2]Sheet1!$B:$B,[2]Sheet1!E:E)*1.012)*1.1</f>
        <v>2877.798</v>
      </c>
      <c r="AG37" s="48">
        <f>(_xlfn.XLOOKUP($AB37,[1]Sheet1!$B:$B,[1]Sheet1!G:G)+_xlfn.XLOOKUP($Z37,[2]Sheet1!$B:$B,[2]Sheet1!F:F)*1.012)*1.1</f>
        <v>959.266</v>
      </c>
      <c r="AH37" t="str">
        <f>_xlfn.XLOOKUP($AB37,[1]Sheet1!$B:$B,[1]Sheet1!$K:$K)</f>
        <v>550,650</v>
      </c>
      <c r="AI37" t="str">
        <f>_xlfn.XLOOKUP($AB37,[1]Sheet1!$B:$B,[1]Sheet1!$O:$O)</f>
        <v>550,650</v>
      </c>
    </row>
    <row r="38" ht="15.6" spans="3:35">
      <c r="C38" s="6">
        <f t="shared" si="7"/>
        <v>50</v>
      </c>
      <c r="D38" s="6">
        <f t="shared" si="8"/>
        <v>30</v>
      </c>
      <c r="E38" s="6" t="str">
        <f>_xlfn.XLOOKUP(E6,道具表!$B:$B,道具表!$C:$C)&amp;"|"&amp;_xlfn.XLOOKUP(E6,道具表!$B:$B,道具表!$A:$A)&amp;"|"</f>
        <v>1|2|</v>
      </c>
      <c r="F38" s="6">
        <f t="shared" si="9"/>
        <v>300</v>
      </c>
      <c r="G38" s="6" t="str">
        <f>_xlfn.XLOOKUP(G6,道具表!$B:$B,道具表!$C:$C)&amp;"|"&amp;_xlfn.XLOOKUP(G6,道具表!$B:$B,道具表!$A:$A)&amp;"|"</f>
        <v>1|10009|</v>
      </c>
      <c r="H38" s="6">
        <f t="shared" si="10"/>
        <v>10</v>
      </c>
      <c r="I38" s="6" t="str">
        <f>_xlfn.XLOOKUP(I6,道具表!$B:$B,道具表!$C:$C)&amp;"|"&amp;_xlfn.XLOOKUP(I6,道具表!$B:$B,道具表!$A:$A)&amp;"|"</f>
        <v>1|10007|</v>
      </c>
      <c r="J38" s="6">
        <f t="shared" si="11"/>
        <v>20</v>
      </c>
      <c r="K38" s="6" t="str">
        <f>_xlfn.XLOOKUP(K6,道具表!$B:$B,道具表!$C:$C)&amp;"|"&amp;_xlfn.XLOOKUP(K6,道具表!$B:$B,道具表!$A:$A)&amp;"|"</f>
        <v>2|90067|</v>
      </c>
      <c r="L38" s="6">
        <f t="shared" ref="L36:L60" si="12">L6</f>
        <v>1</v>
      </c>
      <c r="M38" s="19" t="str">
        <f t="shared" ref="M38:M60" si="13">E38&amp;F38&amp;","&amp;G38&amp;H38&amp;","&amp;I38&amp;J38&amp;","&amp;K38&amp;L38</f>
        <v>1|2|300,1|10009|10,1|10007|20,2|90067|1</v>
      </c>
      <c r="X38" t="s">
        <v>1043</v>
      </c>
      <c r="Y38" t="s">
        <v>1060</v>
      </c>
      <c r="Z38">
        <v>105</v>
      </c>
      <c r="AA38" t="s">
        <v>93</v>
      </c>
      <c r="AB38">
        <v>9</v>
      </c>
      <c r="AC38">
        <v>3</v>
      </c>
      <c r="AD38" s="48">
        <f>(_xlfn.XLOOKUP($AB38,[1]Sheet1!$B:$B,[1]Sheet1!D:D)+_xlfn.XLOOKUP($Z38,[2]Sheet1!$B:$B,[2]Sheet1!C:C)*1.012)*1.1</f>
        <v>480.1896</v>
      </c>
      <c r="AE38" s="48">
        <f>(_xlfn.XLOOKUP($AB38,[1]Sheet1!$B:$B,[1]Sheet1!E:E)+_xlfn.XLOOKUP($Z38,[2]Sheet1!$B:$B,[2]Sheet1!D:D)*1.012)*1.1</f>
        <v>14388.99</v>
      </c>
      <c r="AF38" s="48">
        <f>(_xlfn.XLOOKUP($AB38,[1]Sheet1!$B:$B,[1]Sheet1!F:F)+_xlfn.XLOOKUP($Z38,[2]Sheet1!$B:$B,[2]Sheet1!E:E)*1.012)*1.1</f>
        <v>2877.798</v>
      </c>
      <c r="AG38" s="48">
        <f>(_xlfn.XLOOKUP($AB38,[1]Sheet1!$B:$B,[1]Sheet1!G:G)+_xlfn.XLOOKUP($Z38,[2]Sheet1!$B:$B,[2]Sheet1!F:F)*1.012)*1.1</f>
        <v>959.266</v>
      </c>
      <c r="AH38" t="str">
        <f>_xlfn.XLOOKUP($AB38,[1]Sheet1!$B:$B,[1]Sheet1!$K:$K)</f>
        <v>550,650</v>
      </c>
      <c r="AI38" t="str">
        <f>_xlfn.XLOOKUP($AB38,[1]Sheet1!$B:$B,[1]Sheet1!$O:$O)</f>
        <v>550,650</v>
      </c>
    </row>
    <row r="39" ht="15.6" spans="3:13">
      <c r="C39" s="6">
        <f t="shared" si="7"/>
        <v>60</v>
      </c>
      <c r="D39" s="6">
        <f t="shared" si="8"/>
        <v>68</v>
      </c>
      <c r="E39" s="6" t="str">
        <f>_xlfn.XLOOKUP(E7,道具表!$B:$B,道具表!$C:$C)&amp;"|"&amp;_xlfn.XLOOKUP(E7,道具表!$B:$B,道具表!$A:$A)&amp;"|"</f>
        <v>1|2|</v>
      </c>
      <c r="F39" s="6">
        <f t="shared" si="9"/>
        <v>680</v>
      </c>
      <c r="G39" s="6" t="str">
        <f>_xlfn.XLOOKUP(G7,道具表!$B:$B,道具表!$C:$C)&amp;"|"&amp;_xlfn.XLOOKUP(G7,道具表!$B:$B,道具表!$A:$A)&amp;"|"</f>
        <v>1|1011|</v>
      </c>
      <c r="H39" s="6">
        <f t="shared" si="10"/>
        <v>25</v>
      </c>
      <c r="I39" s="6" t="str">
        <f>_xlfn.XLOOKUP(I7,道具表!$B:$B,道具表!$C:$C)&amp;"|"&amp;_xlfn.XLOOKUP(I7,道具表!$B:$B,道具表!$A:$A)&amp;"|"</f>
        <v>1|10007|</v>
      </c>
      <c r="J39" s="6">
        <f t="shared" si="11"/>
        <v>30</v>
      </c>
      <c r="K39" s="6" t="str">
        <f>_xlfn.XLOOKUP(K7,道具表!$B:$B,道具表!$C:$C)&amp;"|"&amp;_xlfn.XLOOKUP(K7,道具表!$B:$B,道具表!$A:$A)&amp;"|"</f>
        <v>2|90068|</v>
      </c>
      <c r="L39" s="6">
        <f t="shared" si="12"/>
        <v>1</v>
      </c>
      <c r="M39" s="19" t="str">
        <f t="shared" si="13"/>
        <v>1|2|680,1|1011|25,1|10007|30,2|90068|1</v>
      </c>
    </row>
    <row r="40" ht="15.6" spans="3:13">
      <c r="C40" s="6">
        <f t="shared" si="7"/>
        <v>70</v>
      </c>
      <c r="D40" s="6">
        <f t="shared" si="8"/>
        <v>68</v>
      </c>
      <c r="E40" s="6" t="str">
        <f>_xlfn.XLOOKUP(E8,道具表!$B:$B,道具表!$C:$C)&amp;"|"&amp;_xlfn.XLOOKUP(E8,道具表!$B:$B,道具表!$A:$A)&amp;"|"</f>
        <v>1|2|</v>
      </c>
      <c r="F40" s="6">
        <f t="shared" si="9"/>
        <v>680</v>
      </c>
      <c r="G40" s="6" t="str">
        <f>_xlfn.XLOOKUP(G8,道具表!$B:$B,道具表!$C:$C)&amp;"|"&amp;_xlfn.XLOOKUP(G8,道具表!$B:$B,道具表!$A:$A)&amp;"|"</f>
        <v>1|6|</v>
      </c>
      <c r="H40" s="6">
        <f t="shared" si="10"/>
        <v>25</v>
      </c>
      <c r="I40" s="6" t="str">
        <f>_xlfn.XLOOKUP(I8,道具表!$B:$B,道具表!$C:$C)&amp;"|"&amp;_xlfn.XLOOKUP(I8,道具表!$B:$B,道具表!$A:$A)&amp;"|"</f>
        <v>1|10007|</v>
      </c>
      <c r="J40" s="6">
        <f t="shared" si="11"/>
        <v>30</v>
      </c>
      <c r="K40" s="6" t="str">
        <f>_xlfn.XLOOKUP(K8,道具表!$B:$B,道具表!$C:$C)&amp;"|"&amp;_xlfn.XLOOKUP(K8,道具表!$B:$B,道具表!$A:$A)&amp;"|"</f>
        <v>2|90069|</v>
      </c>
      <c r="L40" s="6">
        <f t="shared" si="12"/>
        <v>1</v>
      </c>
      <c r="M40" s="19" t="str">
        <f t="shared" si="13"/>
        <v>1|2|680,1|6|25,1|10007|30,2|90069|1</v>
      </c>
    </row>
    <row r="41" ht="15.6" spans="3:13">
      <c r="C41" s="6">
        <f t="shared" si="7"/>
        <v>80</v>
      </c>
      <c r="D41" s="6">
        <f t="shared" si="8"/>
        <v>68</v>
      </c>
      <c r="E41" s="6" t="str">
        <f>_xlfn.XLOOKUP(E9,道具表!$B:$B,道具表!$C:$C)&amp;"|"&amp;_xlfn.XLOOKUP(E9,道具表!$B:$B,道具表!$A:$A)&amp;"|"</f>
        <v>1|2|</v>
      </c>
      <c r="F41" s="6">
        <f t="shared" si="9"/>
        <v>680</v>
      </c>
      <c r="G41" s="6" t="str">
        <f>_xlfn.XLOOKUP(G9,道具表!$B:$B,道具表!$C:$C)&amp;"|"&amp;_xlfn.XLOOKUP(G9,道具表!$B:$B,道具表!$A:$A)&amp;"|"</f>
        <v>1|10003|</v>
      </c>
      <c r="H41" s="6">
        <f t="shared" si="10"/>
        <v>5</v>
      </c>
      <c r="I41" s="6" t="str">
        <f>_xlfn.XLOOKUP(I9,道具表!$B:$B,道具表!$C:$C)&amp;"|"&amp;_xlfn.XLOOKUP(I9,道具表!$B:$B,道具表!$A:$A)&amp;"|"</f>
        <v>1|10002|</v>
      </c>
      <c r="J41" s="6">
        <f t="shared" si="11"/>
        <v>20</v>
      </c>
      <c r="K41" s="6" t="str">
        <f>_xlfn.XLOOKUP(K9,道具表!$B:$B,道具表!$C:$C)&amp;"|"&amp;_xlfn.XLOOKUP(K9,道具表!$B:$B,道具表!$A:$A)&amp;"|"</f>
        <v>2|90070|</v>
      </c>
      <c r="L41" s="6">
        <f t="shared" si="12"/>
        <v>1</v>
      </c>
      <c r="M41" s="19" t="str">
        <f t="shared" si="13"/>
        <v>1|2|680,1|10003|5,1|10002|20,2|90070|1</v>
      </c>
    </row>
    <row r="42" ht="15.6" spans="3:13">
      <c r="C42" s="6">
        <f t="shared" si="7"/>
        <v>90</v>
      </c>
      <c r="D42" s="6">
        <f t="shared" si="8"/>
        <v>128</v>
      </c>
      <c r="E42" s="6" t="str">
        <f>_xlfn.XLOOKUP(E10,道具表!$B:$B,道具表!$C:$C)&amp;"|"&amp;_xlfn.XLOOKUP(E10,道具表!$B:$B,道具表!$A:$A)&amp;"|"</f>
        <v>1|2|</v>
      </c>
      <c r="F42" s="6">
        <f t="shared" si="9"/>
        <v>1280</v>
      </c>
      <c r="G42" s="6" t="str">
        <f>_xlfn.XLOOKUP(G10,道具表!$B:$B,道具表!$C:$C)&amp;"|"&amp;_xlfn.XLOOKUP(G10,道具表!$B:$B,道具表!$A:$A)&amp;"|"</f>
        <v>1|10005|</v>
      </c>
      <c r="H42" s="6">
        <f t="shared" si="10"/>
        <v>50</v>
      </c>
      <c r="I42" s="6" t="str">
        <f>_xlfn.XLOOKUP(I10,道具表!$B:$B,道具表!$C:$C)&amp;"|"&amp;_xlfn.XLOOKUP(I10,道具表!$B:$B,道具表!$A:$A)&amp;"|"</f>
        <v>1|10006|</v>
      </c>
      <c r="J42" s="6">
        <f t="shared" si="11"/>
        <v>2000</v>
      </c>
      <c r="K42" s="6" t="str">
        <f>_xlfn.XLOOKUP(K10,道具表!$B:$B,道具表!$C:$C)&amp;"|"&amp;_xlfn.XLOOKUP(K10,道具表!$B:$B,道具表!$A:$A)&amp;"|"</f>
        <v>2|90071|</v>
      </c>
      <c r="L42" s="6">
        <f t="shared" si="12"/>
        <v>1</v>
      </c>
      <c r="M42" s="19" t="str">
        <f t="shared" si="13"/>
        <v>1|2|1280,1|10005|50,1|10006|2000,2|90071|1</v>
      </c>
    </row>
    <row r="43" ht="15.6" spans="3:13">
      <c r="C43" s="6">
        <f t="shared" si="7"/>
        <v>94</v>
      </c>
      <c r="D43" s="6">
        <f t="shared" si="8"/>
        <v>128</v>
      </c>
      <c r="E43" s="6" t="str">
        <f>_xlfn.XLOOKUP(E11,道具表!$B:$B,道具表!$C:$C)&amp;"|"&amp;_xlfn.XLOOKUP(E11,道具表!$B:$B,道具表!$A:$A)&amp;"|"</f>
        <v>1|2|</v>
      </c>
      <c r="F43" s="6">
        <f t="shared" si="9"/>
        <v>1280</v>
      </c>
      <c r="G43" s="6" t="str">
        <f>_xlfn.XLOOKUP(G11,道具表!$B:$B,道具表!$C:$C)&amp;"|"&amp;_xlfn.XLOOKUP(G11,道具表!$B:$B,道具表!$A:$A)&amp;"|"</f>
        <v>9|501|</v>
      </c>
      <c r="H43" s="6">
        <f t="shared" si="10"/>
        <v>1</v>
      </c>
      <c r="I43" s="6" t="str">
        <f>_xlfn.XLOOKUP(I11,道具表!$B:$B,道具表!$C:$C)&amp;"|"&amp;_xlfn.XLOOKUP(I11,道具表!$B:$B,道具表!$A:$A)&amp;"|"</f>
        <v>1|10009|</v>
      </c>
      <c r="J43" s="6">
        <f t="shared" si="11"/>
        <v>25</v>
      </c>
      <c r="K43" s="6" t="str">
        <f>_xlfn.XLOOKUP(K11,道具表!$B:$B,道具表!$C:$C)&amp;"|"&amp;_xlfn.XLOOKUP(K11,道具表!$B:$B,道具表!$A:$A)&amp;"|"</f>
        <v>2|90072|</v>
      </c>
      <c r="L43" s="6">
        <f t="shared" si="12"/>
        <v>1</v>
      </c>
      <c r="M43" s="19" t="str">
        <f t="shared" si="13"/>
        <v>1|2|1280,9|501|1,1|10009|25,2|90072|1</v>
      </c>
    </row>
    <row r="44" ht="15.6" spans="3:13">
      <c r="C44" s="6">
        <f t="shared" si="7"/>
        <v>98</v>
      </c>
      <c r="D44" s="6">
        <f t="shared" si="8"/>
        <v>128</v>
      </c>
      <c r="E44" s="6" t="str">
        <f>_xlfn.XLOOKUP(E12,道具表!$B:$B,道具表!$C:$C)&amp;"|"&amp;_xlfn.XLOOKUP(E12,道具表!$B:$B,道具表!$A:$A)&amp;"|"</f>
        <v>1|2|</v>
      </c>
      <c r="F44" s="6">
        <f t="shared" si="9"/>
        <v>1280</v>
      </c>
      <c r="G44" s="6" t="str">
        <f>_xlfn.XLOOKUP(G12,道具表!$B:$B,道具表!$C:$C)&amp;"|"&amp;_xlfn.XLOOKUP(G12,道具表!$B:$B,道具表!$A:$A)&amp;"|"</f>
        <v>1|10001|</v>
      </c>
      <c r="H44" s="6">
        <f t="shared" si="10"/>
        <v>40</v>
      </c>
      <c r="I44" s="6" t="str">
        <f>_xlfn.XLOOKUP(I12,道具表!$B:$B,道具表!$C:$C)&amp;"|"&amp;_xlfn.XLOOKUP(I12,道具表!$B:$B,道具表!$A:$A)&amp;"|"</f>
        <v>1|10002|</v>
      </c>
      <c r="J44" s="6">
        <f t="shared" si="11"/>
        <v>50</v>
      </c>
      <c r="K44" s="6" t="str">
        <f>_xlfn.XLOOKUP(K12,道具表!$B:$B,道具表!$C:$C)&amp;"|"&amp;_xlfn.XLOOKUP(K12,道具表!$B:$B,道具表!$A:$A)&amp;"|"</f>
        <v>2|90073|</v>
      </c>
      <c r="L44" s="6">
        <f t="shared" si="12"/>
        <v>1</v>
      </c>
      <c r="M44" s="19" t="str">
        <f t="shared" si="13"/>
        <v>1|2|1280,1|10001|40,1|10002|50,2|90073|1</v>
      </c>
    </row>
    <row r="45" ht="15.6" spans="3:13">
      <c r="C45" s="6">
        <f t="shared" si="7"/>
        <v>100</v>
      </c>
      <c r="D45" s="6">
        <f t="shared" si="8"/>
        <v>128</v>
      </c>
      <c r="E45" s="6" t="str">
        <f>_xlfn.XLOOKUP(E13,道具表!$B:$B,道具表!$C:$C)&amp;"|"&amp;_xlfn.XLOOKUP(E13,道具表!$B:$B,道具表!$A:$A)&amp;"|"</f>
        <v>1|2|</v>
      </c>
      <c r="F45" s="6">
        <f t="shared" si="9"/>
        <v>1280</v>
      </c>
      <c r="G45" s="6" t="str">
        <f>_xlfn.XLOOKUP(G13,道具表!$B:$B,道具表!$C:$C)&amp;"|"&amp;_xlfn.XLOOKUP(G13,道具表!$B:$B,道具表!$A:$A)&amp;"|"</f>
        <v>1|6|</v>
      </c>
      <c r="H45" s="6">
        <f t="shared" si="10"/>
        <v>50</v>
      </c>
      <c r="I45" s="6" t="str">
        <f>_xlfn.XLOOKUP(I13,道具表!$B:$B,道具表!$C:$C)&amp;"|"&amp;_xlfn.XLOOKUP(I13,道具表!$B:$B,道具表!$A:$A)&amp;"|"</f>
        <v>1|10007|</v>
      </c>
      <c r="J45" s="6">
        <f t="shared" si="11"/>
        <v>50</v>
      </c>
      <c r="K45" s="6" t="str">
        <f>_xlfn.XLOOKUP(K13,道具表!$B:$B,道具表!$C:$C)&amp;"|"&amp;_xlfn.XLOOKUP(K13,道具表!$B:$B,道具表!$A:$A)&amp;"|"</f>
        <v>2|90074|</v>
      </c>
      <c r="L45" s="6">
        <f t="shared" si="12"/>
        <v>1</v>
      </c>
      <c r="M45" s="19" t="str">
        <f t="shared" si="13"/>
        <v>1|2|1280,1|6|50,1|10007|50,2|90074|1</v>
      </c>
    </row>
    <row r="46" ht="15.6" spans="3:28">
      <c r="C46" s="6">
        <f t="shared" si="7"/>
        <v>101</v>
      </c>
      <c r="D46" s="6">
        <f t="shared" si="8"/>
        <v>128</v>
      </c>
      <c r="E46" s="6" t="str">
        <f>_xlfn.XLOOKUP(E14,道具表!$B:$B,道具表!$C:$C)&amp;"|"&amp;_xlfn.XLOOKUP(E14,道具表!$B:$B,道具表!$A:$A)&amp;"|"</f>
        <v>1|2|</v>
      </c>
      <c r="F46" s="6">
        <f t="shared" si="9"/>
        <v>1280</v>
      </c>
      <c r="G46" s="6" t="str">
        <f>_xlfn.XLOOKUP(G14,道具表!$B:$B,道具表!$C:$C)&amp;"|"&amp;_xlfn.XLOOKUP(G14,道具表!$B:$B,道具表!$A:$A)&amp;"|"</f>
        <v>1|1011|</v>
      </c>
      <c r="H46" s="6">
        <f t="shared" si="10"/>
        <v>40</v>
      </c>
      <c r="I46" s="6" t="str">
        <f>_xlfn.XLOOKUP(I14,道具表!$B:$B,道具表!$C:$C)&amp;"|"&amp;_xlfn.XLOOKUP(I14,道具表!$B:$B,道具表!$A:$A)&amp;"|"</f>
        <v>1|10|</v>
      </c>
      <c r="J46" s="6">
        <f t="shared" si="11"/>
        <v>20000</v>
      </c>
      <c r="K46" s="6" t="str">
        <f>_xlfn.XLOOKUP(K14,道具表!$B:$B,道具表!$C:$C)&amp;"|"&amp;_xlfn.XLOOKUP(K14,道具表!$B:$B,道具表!$A:$A)&amp;"|"</f>
        <v>2|90075|</v>
      </c>
      <c r="L46" s="6">
        <f t="shared" si="12"/>
        <v>1</v>
      </c>
      <c r="M46" s="19" t="str">
        <f t="shared" si="13"/>
        <v>1|2|1280,1|1011|40,1|10|20000,2|90075|1</v>
      </c>
      <c r="AB46" t="s">
        <v>1064</v>
      </c>
    </row>
    <row r="47" ht="15.6" spans="3:41">
      <c r="C47" s="6">
        <f t="shared" si="7"/>
        <v>102</v>
      </c>
      <c r="D47" s="6">
        <f t="shared" si="8"/>
        <v>128</v>
      </c>
      <c r="E47" s="6" t="str">
        <f>_xlfn.XLOOKUP(E15,道具表!$B:$B,道具表!$C:$C)&amp;"|"&amp;_xlfn.XLOOKUP(E15,道具表!$B:$B,道具表!$A:$A)&amp;"|"</f>
        <v>1|2|</v>
      </c>
      <c r="F47" s="6">
        <f t="shared" si="9"/>
        <v>1280</v>
      </c>
      <c r="G47" s="6" t="str">
        <f>_xlfn.XLOOKUP(G15,道具表!$B:$B,道具表!$C:$C)&amp;"|"&amp;_xlfn.XLOOKUP(G15,道具表!$B:$B,道具表!$A:$A)&amp;"|"</f>
        <v>9|501|</v>
      </c>
      <c r="H47" s="6">
        <f t="shared" si="10"/>
        <v>1</v>
      </c>
      <c r="I47" s="6" t="str">
        <f>_xlfn.XLOOKUP(I15,道具表!$B:$B,道具表!$C:$C)&amp;"|"&amp;_xlfn.XLOOKUP(I15,道具表!$B:$B,道具表!$A:$A)&amp;"|"</f>
        <v>1|10010|</v>
      </c>
      <c r="J47" s="6">
        <f t="shared" si="11"/>
        <v>3</v>
      </c>
      <c r="K47" s="6" t="str">
        <f>_xlfn.XLOOKUP(K15,道具表!$B:$B,道具表!$C:$C)&amp;"|"&amp;_xlfn.XLOOKUP(K15,道具表!$B:$B,道具表!$A:$A)&amp;"|"</f>
        <v>2|90076|</v>
      </c>
      <c r="L47" s="6">
        <f t="shared" si="12"/>
        <v>1</v>
      </c>
      <c r="M47" s="19" t="str">
        <f t="shared" si="13"/>
        <v>1|2|1280,9|501|1,1|10010|3,2|90076|1</v>
      </c>
      <c r="W47" t="s">
        <v>1074</v>
      </c>
      <c r="X47" t="s">
        <v>1065</v>
      </c>
      <c r="Y47" t="s">
        <v>3</v>
      </c>
      <c r="Z47" t="s">
        <v>974</v>
      </c>
      <c r="AA47" t="s">
        <v>337</v>
      </c>
      <c r="AB47" t="s">
        <v>1066</v>
      </c>
      <c r="AC47" t="s">
        <v>1067</v>
      </c>
      <c r="AD47" t="s">
        <v>1068</v>
      </c>
      <c r="AE47" t="s">
        <v>1069</v>
      </c>
      <c r="AF47" t="s">
        <v>1070</v>
      </c>
      <c r="AG47" t="s">
        <v>1071</v>
      </c>
      <c r="AH47" t="s">
        <v>880</v>
      </c>
      <c r="AI47" t="s">
        <v>1072</v>
      </c>
      <c r="AJ47" t="s">
        <v>327</v>
      </c>
      <c r="AM47" s="49" t="s">
        <v>1075</v>
      </c>
      <c r="AN47" s="49" t="s">
        <v>1076</v>
      </c>
      <c r="AO47" s="49" t="s">
        <v>1077</v>
      </c>
    </row>
    <row r="48" ht="15.6" spans="3:41">
      <c r="C48" s="6">
        <f t="shared" si="7"/>
        <v>103</v>
      </c>
      <c r="D48" s="6">
        <f t="shared" si="8"/>
        <v>128</v>
      </c>
      <c r="E48" s="6" t="str">
        <f>_xlfn.XLOOKUP(E16,道具表!$B:$B,道具表!$C:$C)&amp;"|"&amp;_xlfn.XLOOKUP(E16,道具表!$B:$B,道具表!$A:$A)&amp;"|"</f>
        <v>1|2|</v>
      </c>
      <c r="F48" s="6">
        <f t="shared" si="9"/>
        <v>1280</v>
      </c>
      <c r="G48" s="6" t="str">
        <f>_xlfn.XLOOKUP(G16,道具表!$B:$B,道具表!$C:$C)&amp;"|"&amp;_xlfn.XLOOKUP(G16,道具表!$B:$B,道具表!$A:$A)&amp;"|"</f>
        <v>1|10005|</v>
      </c>
      <c r="H48" s="6">
        <f t="shared" si="10"/>
        <v>50</v>
      </c>
      <c r="I48" s="6" t="str">
        <f>_xlfn.XLOOKUP(I16,道具表!$B:$B,道具表!$C:$C)&amp;"|"&amp;_xlfn.XLOOKUP(I16,道具表!$B:$B,道具表!$A:$A)&amp;"|"</f>
        <v>1|10006|</v>
      </c>
      <c r="J48" s="6">
        <f t="shared" si="11"/>
        <v>2000</v>
      </c>
      <c r="K48" s="6" t="str">
        <f>_xlfn.XLOOKUP(K16,道具表!$B:$B,道具表!$C:$C)&amp;"|"&amp;_xlfn.XLOOKUP(K16,道具表!$B:$B,道具表!$A:$A)&amp;"|"</f>
        <v>2|90077|</v>
      </c>
      <c r="L48" s="6">
        <f t="shared" si="12"/>
        <v>1</v>
      </c>
      <c r="M48" s="19" t="str">
        <f t="shared" si="13"/>
        <v>1|2|1280,1|10005|50,1|10006|2000,2|90077|1</v>
      </c>
      <c r="W48">
        <v>90065</v>
      </c>
      <c r="X48" t="s">
        <v>1043</v>
      </c>
      <c r="Y48" t="s">
        <v>1037</v>
      </c>
      <c r="Z48">
        <v>80</v>
      </c>
      <c r="AA48" t="s">
        <v>77</v>
      </c>
      <c r="AB48">
        <v>7</v>
      </c>
      <c r="AC48">
        <v>3</v>
      </c>
      <c r="AD48">
        <v>330</v>
      </c>
      <c r="AE48">
        <v>9900</v>
      </c>
      <c r="AF48">
        <v>2000</v>
      </c>
      <c r="AG48">
        <v>660</v>
      </c>
      <c r="AH48">
        <v>450</v>
      </c>
      <c r="AI48">
        <v>450</v>
      </c>
      <c r="AJ48" t="str">
        <f>"1|"&amp;AD48&amp;","&amp;"2|"&amp;AE48&amp;","&amp;"3|"&amp;AF48&amp;","&amp;"4|"&amp;AG48&amp;","&amp;"14|"&amp;AH48&amp;","&amp;"24|"&amp;AI48</f>
        <v>1|330,2|9900,3|2000,4|660,14|450,24|450</v>
      </c>
      <c r="AM48" s="49">
        <v>1</v>
      </c>
      <c r="AN48" s="49">
        <v>1</v>
      </c>
      <c r="AO48" s="49" t="s">
        <v>1078</v>
      </c>
    </row>
    <row r="49" ht="15.6" spans="3:41">
      <c r="C49" s="6">
        <f t="shared" si="7"/>
        <v>100</v>
      </c>
      <c r="D49" s="6">
        <f t="shared" si="8"/>
        <v>198</v>
      </c>
      <c r="E49" s="6" t="str">
        <f>_xlfn.XLOOKUP(E17,道具表!$B:$B,道具表!$C:$C)&amp;"|"&amp;_xlfn.XLOOKUP(E17,道具表!$B:$B,道具表!$A:$A)&amp;"|"</f>
        <v>1|2|</v>
      </c>
      <c r="F49" s="6">
        <f t="shared" si="9"/>
        <v>1980</v>
      </c>
      <c r="G49" s="6" t="str">
        <f>_xlfn.XLOOKUP(G17,道具表!$B:$B,道具表!$C:$C)&amp;"|"&amp;_xlfn.XLOOKUP(G17,道具表!$B:$B,道具表!$A:$A)&amp;"|"</f>
        <v>1|6|</v>
      </c>
      <c r="H49" s="6">
        <f t="shared" si="10"/>
        <v>75</v>
      </c>
      <c r="I49" s="6" t="str">
        <f>_xlfn.XLOOKUP(I17,道具表!$B:$B,道具表!$C:$C)&amp;"|"&amp;_xlfn.XLOOKUP(I17,道具表!$B:$B,道具表!$A:$A)&amp;"|"</f>
        <v>1|10007|</v>
      </c>
      <c r="J49" s="6">
        <f t="shared" si="11"/>
        <v>100</v>
      </c>
      <c r="K49" s="6" t="str">
        <f>_xlfn.XLOOKUP(K17,道具表!$B:$B,道具表!$C:$C)&amp;"|"&amp;_xlfn.XLOOKUP(K17,道具表!$B:$B,道具表!$A:$A)&amp;"|"</f>
        <v>2|90074|</v>
      </c>
      <c r="L49" s="6">
        <f t="shared" si="12"/>
        <v>1</v>
      </c>
      <c r="M49" s="19" t="str">
        <f t="shared" si="13"/>
        <v>1|2|1980,1|6|75,1|10007|100,2|90074|1</v>
      </c>
      <c r="W49">
        <v>90066</v>
      </c>
      <c r="X49" t="s">
        <v>1041</v>
      </c>
      <c r="Y49" t="s">
        <v>1040</v>
      </c>
      <c r="Z49">
        <v>90</v>
      </c>
      <c r="AA49" t="s">
        <v>78</v>
      </c>
      <c r="AB49">
        <v>8</v>
      </c>
      <c r="AC49">
        <v>2</v>
      </c>
      <c r="AD49">
        <v>390</v>
      </c>
      <c r="AE49">
        <v>11500</v>
      </c>
      <c r="AF49">
        <v>2350</v>
      </c>
      <c r="AG49">
        <v>780</v>
      </c>
      <c r="AH49">
        <v>550</v>
      </c>
      <c r="AI49">
        <v>550</v>
      </c>
      <c r="AJ49" t="str">
        <f t="shared" ref="AJ49:AJ64" si="14">"1|"&amp;AD49&amp;","&amp;"2|"&amp;AE49&amp;","&amp;"3|"&amp;AF49&amp;","&amp;"4|"&amp;AG49&amp;","&amp;"14|"&amp;AH49&amp;","&amp;"24|"&amp;AI49</f>
        <v>1|390,2|11500,3|2350,4|780,14|550,24|550</v>
      </c>
      <c r="AM49" s="49">
        <v>2</v>
      </c>
      <c r="AN49" s="49">
        <v>1</v>
      </c>
      <c r="AO49" s="49" t="s">
        <v>1079</v>
      </c>
    </row>
    <row r="50" ht="15.6" spans="3:41">
      <c r="C50" s="6">
        <f t="shared" si="7"/>
        <v>101</v>
      </c>
      <c r="D50" s="6">
        <f t="shared" si="8"/>
        <v>198</v>
      </c>
      <c r="E50" s="6" t="str">
        <f>_xlfn.XLOOKUP(E18,道具表!$B:$B,道具表!$C:$C)&amp;"|"&amp;_xlfn.XLOOKUP(E18,道具表!$B:$B,道具表!$A:$A)&amp;"|"</f>
        <v>1|2|</v>
      </c>
      <c r="F50" s="6">
        <f t="shared" si="9"/>
        <v>1980</v>
      </c>
      <c r="G50" s="6" t="str">
        <f>_xlfn.XLOOKUP(G18,道具表!$B:$B,道具表!$C:$C)&amp;"|"&amp;_xlfn.XLOOKUP(G18,道具表!$B:$B,道具表!$A:$A)&amp;"|"</f>
        <v>1|1011|</v>
      </c>
      <c r="H50" s="6">
        <f t="shared" si="10"/>
        <v>60</v>
      </c>
      <c r="I50" s="6" t="str">
        <f>_xlfn.XLOOKUP(I18,道具表!$B:$B,道具表!$C:$C)&amp;"|"&amp;_xlfn.XLOOKUP(I18,道具表!$B:$B,道具表!$A:$A)&amp;"|"</f>
        <v>1|10|</v>
      </c>
      <c r="J50" s="6">
        <f t="shared" si="11"/>
        <v>30000</v>
      </c>
      <c r="K50" s="6" t="str">
        <f>_xlfn.XLOOKUP(K18,道具表!$B:$B,道具表!$C:$C)&amp;"|"&amp;_xlfn.XLOOKUP(K18,道具表!$B:$B,道具表!$A:$A)&amp;"|"</f>
        <v>2|90075|</v>
      </c>
      <c r="L50" s="6">
        <f t="shared" si="12"/>
        <v>1</v>
      </c>
      <c r="M50" s="19" t="str">
        <f t="shared" si="13"/>
        <v>1|2|1980,1|1011|60,1|10|30000,2|90075|1</v>
      </c>
      <c r="W50">
        <v>90067</v>
      </c>
      <c r="X50" t="s">
        <v>1047</v>
      </c>
      <c r="Y50" t="s">
        <v>1040</v>
      </c>
      <c r="Z50">
        <v>95</v>
      </c>
      <c r="AA50" t="s">
        <v>79</v>
      </c>
      <c r="AB50">
        <v>8</v>
      </c>
      <c r="AC50">
        <v>9</v>
      </c>
      <c r="AD50">
        <v>415</v>
      </c>
      <c r="AE50">
        <v>12500</v>
      </c>
      <c r="AF50">
        <v>2500</v>
      </c>
      <c r="AG50">
        <v>830</v>
      </c>
      <c r="AH50">
        <v>550</v>
      </c>
      <c r="AI50">
        <v>550</v>
      </c>
      <c r="AJ50" t="str">
        <f t="shared" si="14"/>
        <v>1|415,2|12500,3|2500,4|830,14|550,24|550</v>
      </c>
      <c r="AM50" s="49">
        <v>3</v>
      </c>
      <c r="AN50" s="49">
        <v>1</v>
      </c>
      <c r="AO50" s="49" t="s">
        <v>1080</v>
      </c>
    </row>
    <row r="51" ht="15.6" spans="3:41">
      <c r="C51" s="6">
        <f t="shared" si="7"/>
        <v>102</v>
      </c>
      <c r="D51" s="6">
        <f t="shared" si="8"/>
        <v>198</v>
      </c>
      <c r="E51" s="6" t="str">
        <f>_xlfn.XLOOKUP(E19,道具表!$B:$B,道具表!$C:$C)&amp;"|"&amp;_xlfn.XLOOKUP(E19,道具表!$B:$B,道具表!$A:$A)&amp;"|"</f>
        <v>1|2|</v>
      </c>
      <c r="F51" s="6">
        <f t="shared" si="9"/>
        <v>1980</v>
      </c>
      <c r="G51" s="6" t="str">
        <f>_xlfn.XLOOKUP(G19,道具表!$B:$B,道具表!$C:$C)&amp;"|"&amp;_xlfn.XLOOKUP(G19,道具表!$B:$B,道具表!$A:$A)&amp;"|"</f>
        <v>9|501|</v>
      </c>
      <c r="H51" s="6">
        <f t="shared" si="10"/>
        <v>2</v>
      </c>
      <c r="I51" s="6" t="str">
        <f>_xlfn.XLOOKUP(I19,道具表!$B:$B,道具表!$C:$C)&amp;"|"&amp;_xlfn.XLOOKUP(I19,道具表!$B:$B,道具表!$A:$A)&amp;"|"</f>
        <v>1|10010|</v>
      </c>
      <c r="J51" s="6">
        <f t="shared" si="11"/>
        <v>3</v>
      </c>
      <c r="K51" s="6" t="str">
        <f>_xlfn.XLOOKUP(K19,道具表!$B:$B,道具表!$C:$C)&amp;"|"&amp;_xlfn.XLOOKUP(K19,道具表!$B:$B,道具表!$A:$A)&amp;"|"</f>
        <v>2|90076|</v>
      </c>
      <c r="L51" s="6">
        <f t="shared" si="12"/>
        <v>1</v>
      </c>
      <c r="M51" s="19" t="str">
        <f t="shared" si="13"/>
        <v>1|2|1980,9|501|2,1|10010|3,2|90076|1</v>
      </c>
      <c r="W51">
        <v>90068</v>
      </c>
      <c r="X51" t="s">
        <v>1049</v>
      </c>
      <c r="Y51" t="s">
        <v>1040</v>
      </c>
      <c r="Z51">
        <v>95</v>
      </c>
      <c r="AA51" t="s">
        <v>80</v>
      </c>
      <c r="AB51">
        <v>8</v>
      </c>
      <c r="AC51">
        <v>10</v>
      </c>
      <c r="AD51">
        <v>415</v>
      </c>
      <c r="AE51">
        <v>12500</v>
      </c>
      <c r="AF51">
        <v>2500</v>
      </c>
      <c r="AG51">
        <v>830</v>
      </c>
      <c r="AH51">
        <v>550</v>
      </c>
      <c r="AI51">
        <v>550</v>
      </c>
      <c r="AJ51" t="str">
        <f t="shared" si="14"/>
        <v>1|415,2|12500,3|2500,4|830,14|550,24|550</v>
      </c>
      <c r="AM51" s="49">
        <v>4</v>
      </c>
      <c r="AN51" s="49">
        <v>1</v>
      </c>
      <c r="AO51" s="49" t="s">
        <v>1081</v>
      </c>
    </row>
    <row r="52" ht="15.6" spans="3:41">
      <c r="C52" s="6">
        <f t="shared" si="7"/>
        <v>103</v>
      </c>
      <c r="D52" s="6">
        <f t="shared" si="8"/>
        <v>198</v>
      </c>
      <c r="E52" s="6" t="str">
        <f>_xlfn.XLOOKUP(E20,道具表!$B:$B,道具表!$C:$C)&amp;"|"&amp;_xlfn.XLOOKUP(E20,道具表!$B:$B,道具表!$A:$A)&amp;"|"</f>
        <v>1|2|</v>
      </c>
      <c r="F52" s="6">
        <f t="shared" si="9"/>
        <v>1980</v>
      </c>
      <c r="G52" s="6" t="str">
        <f>_xlfn.XLOOKUP(G20,道具表!$B:$B,道具表!$C:$C)&amp;"|"&amp;_xlfn.XLOOKUP(G20,道具表!$B:$B,道具表!$A:$A)&amp;"|"</f>
        <v>1|10005|</v>
      </c>
      <c r="H52" s="6">
        <f t="shared" si="10"/>
        <v>75</v>
      </c>
      <c r="I52" s="6" t="str">
        <f>_xlfn.XLOOKUP(I20,道具表!$B:$B,道具表!$C:$C)&amp;"|"&amp;_xlfn.XLOOKUP(I20,道具表!$B:$B,道具表!$A:$A)&amp;"|"</f>
        <v>1|10006|</v>
      </c>
      <c r="J52" s="6">
        <f t="shared" si="11"/>
        <v>3000</v>
      </c>
      <c r="K52" s="6" t="str">
        <f>_xlfn.XLOOKUP(K20,道具表!$B:$B,道具表!$C:$C)&amp;"|"&amp;_xlfn.XLOOKUP(K20,道具表!$B:$B,道具表!$A:$A)&amp;"|"</f>
        <v>2|90077|</v>
      </c>
      <c r="L52" s="6">
        <f t="shared" si="12"/>
        <v>1</v>
      </c>
      <c r="M52" s="19" t="str">
        <f t="shared" si="13"/>
        <v>1|2|1980,1|10005|75,1|10006|3000,2|90077|1</v>
      </c>
      <c r="W52">
        <v>90069</v>
      </c>
      <c r="X52" t="s">
        <v>1051</v>
      </c>
      <c r="Y52" t="s">
        <v>1040</v>
      </c>
      <c r="Z52">
        <v>95</v>
      </c>
      <c r="AA52" t="s">
        <v>81</v>
      </c>
      <c r="AB52">
        <v>8</v>
      </c>
      <c r="AC52">
        <v>11</v>
      </c>
      <c r="AD52">
        <v>415</v>
      </c>
      <c r="AE52">
        <v>12500</v>
      </c>
      <c r="AF52">
        <v>2500</v>
      </c>
      <c r="AG52">
        <v>830</v>
      </c>
      <c r="AH52">
        <v>550</v>
      </c>
      <c r="AI52">
        <v>550</v>
      </c>
      <c r="AJ52" t="str">
        <f t="shared" si="14"/>
        <v>1|415,2|12500,3|2500,4|830,14|550,24|550</v>
      </c>
      <c r="AM52" s="49">
        <v>5</v>
      </c>
      <c r="AN52" s="49">
        <v>1</v>
      </c>
      <c r="AO52" s="49" t="s">
        <v>1078</v>
      </c>
    </row>
    <row r="53" ht="15.6" spans="3:41">
      <c r="C53" s="6">
        <f t="shared" si="7"/>
        <v>100</v>
      </c>
      <c r="D53" s="6">
        <f t="shared" si="8"/>
        <v>328</v>
      </c>
      <c r="E53" s="6" t="str">
        <f>_xlfn.XLOOKUP(E21,道具表!$B:$B,道具表!$C:$C)&amp;"|"&amp;_xlfn.XLOOKUP(E21,道具表!$B:$B,道具表!$A:$A)&amp;"|"</f>
        <v>1|2|</v>
      </c>
      <c r="F53" s="6">
        <f t="shared" si="9"/>
        <v>3280</v>
      </c>
      <c r="G53" s="6" t="str">
        <f>_xlfn.XLOOKUP(G21,道具表!$B:$B,道具表!$C:$C)&amp;"|"&amp;_xlfn.XLOOKUP(G21,道具表!$B:$B,道具表!$A:$A)&amp;"|"</f>
        <v>1|6|</v>
      </c>
      <c r="H53" s="6">
        <f t="shared" si="10"/>
        <v>120</v>
      </c>
      <c r="I53" s="6" t="str">
        <f>_xlfn.XLOOKUP(I21,道具表!$B:$B,道具表!$C:$C)&amp;"|"&amp;_xlfn.XLOOKUP(I21,道具表!$B:$B,道具表!$A:$A)&amp;"|"</f>
        <v>1|10007|</v>
      </c>
      <c r="J53" s="6">
        <f t="shared" si="11"/>
        <v>200</v>
      </c>
      <c r="K53" s="6" t="str">
        <f>_xlfn.XLOOKUP(K21,道具表!$B:$B,道具表!$C:$C)&amp;"|"&amp;_xlfn.XLOOKUP(K21,道具表!$B:$B,道具表!$A:$A)&amp;"|"</f>
        <v>2|90078|</v>
      </c>
      <c r="L53" s="6">
        <f t="shared" si="12"/>
        <v>1</v>
      </c>
      <c r="M53" s="19" t="str">
        <f t="shared" si="13"/>
        <v>1|2|3280,1|6|120,1|10007|200,2|90078|1</v>
      </c>
      <c r="W53">
        <v>90070</v>
      </c>
      <c r="X53" t="s">
        <v>1054</v>
      </c>
      <c r="Y53" t="s">
        <v>1040</v>
      </c>
      <c r="Z53">
        <v>100</v>
      </c>
      <c r="AA53" t="s">
        <v>82</v>
      </c>
      <c r="AB53">
        <v>8</v>
      </c>
      <c r="AC53">
        <v>8</v>
      </c>
      <c r="AD53">
        <v>450</v>
      </c>
      <c r="AE53">
        <v>13300</v>
      </c>
      <c r="AF53">
        <v>2650</v>
      </c>
      <c r="AG53">
        <v>900</v>
      </c>
      <c r="AH53">
        <v>550</v>
      </c>
      <c r="AI53">
        <v>550</v>
      </c>
      <c r="AJ53" t="str">
        <f t="shared" si="14"/>
        <v>1|450,2|13300,3|2650,4|900,14|550,24|550</v>
      </c>
      <c r="AM53" s="49">
        <v>6</v>
      </c>
      <c r="AN53" s="49">
        <v>1</v>
      </c>
      <c r="AO53" s="49" t="s">
        <v>1079</v>
      </c>
    </row>
    <row r="54" ht="15.6" spans="3:41">
      <c r="C54" s="6">
        <f t="shared" si="7"/>
        <v>101</v>
      </c>
      <c r="D54" s="6">
        <f t="shared" si="8"/>
        <v>328</v>
      </c>
      <c r="E54" s="6" t="str">
        <f>_xlfn.XLOOKUP(E22,道具表!$B:$B,道具表!$C:$C)&amp;"|"&amp;_xlfn.XLOOKUP(E22,道具表!$B:$B,道具表!$A:$A)&amp;"|"</f>
        <v>1|2|</v>
      </c>
      <c r="F54" s="6">
        <f t="shared" si="9"/>
        <v>3280</v>
      </c>
      <c r="G54" s="6" t="str">
        <f>_xlfn.XLOOKUP(G22,道具表!$B:$B,道具表!$C:$C)&amp;"|"&amp;_xlfn.XLOOKUP(G22,道具表!$B:$B,道具表!$A:$A)&amp;"|"</f>
        <v>1|1011|</v>
      </c>
      <c r="H54" s="6">
        <f t="shared" si="10"/>
        <v>95</v>
      </c>
      <c r="I54" s="6" t="str">
        <f>_xlfn.XLOOKUP(I22,道具表!$B:$B,道具表!$C:$C)&amp;"|"&amp;_xlfn.XLOOKUP(I22,道具表!$B:$B,道具表!$A:$A)&amp;"|"</f>
        <v>1|10|</v>
      </c>
      <c r="J54" s="6">
        <f t="shared" si="11"/>
        <v>50000</v>
      </c>
      <c r="K54" s="6" t="str">
        <f>_xlfn.XLOOKUP(K22,道具表!$B:$B,道具表!$C:$C)&amp;"|"&amp;_xlfn.XLOOKUP(K22,道具表!$B:$B,道具表!$A:$A)&amp;"|"</f>
        <v>2|90079|</v>
      </c>
      <c r="L54" s="6">
        <f t="shared" si="12"/>
        <v>1</v>
      </c>
      <c r="M54" s="19" t="str">
        <f t="shared" si="13"/>
        <v>1|2|3280,1|1011|95,1|10|50000,2|90079|1</v>
      </c>
      <c r="W54">
        <v>90071</v>
      </c>
      <c r="X54" t="s">
        <v>1045</v>
      </c>
      <c r="Y54" t="s">
        <v>1040</v>
      </c>
      <c r="Z54">
        <v>100</v>
      </c>
      <c r="AA54" t="s">
        <v>83</v>
      </c>
      <c r="AB54">
        <v>8</v>
      </c>
      <c r="AC54">
        <v>4</v>
      </c>
      <c r="AD54">
        <v>450</v>
      </c>
      <c r="AE54">
        <v>13300</v>
      </c>
      <c r="AF54">
        <v>2650</v>
      </c>
      <c r="AG54">
        <v>900</v>
      </c>
      <c r="AH54">
        <v>550</v>
      </c>
      <c r="AI54">
        <v>550</v>
      </c>
      <c r="AJ54" t="str">
        <f t="shared" si="14"/>
        <v>1|450,2|13300,3|2650,4|900,14|550,24|550</v>
      </c>
      <c r="AM54" s="49">
        <v>7</v>
      </c>
      <c r="AN54" s="49">
        <v>1</v>
      </c>
      <c r="AO54" s="49" t="s">
        <v>1080</v>
      </c>
    </row>
    <row r="55" ht="15.6" spans="3:41">
      <c r="C55" s="6">
        <f t="shared" si="7"/>
        <v>102</v>
      </c>
      <c r="D55" s="6">
        <f t="shared" si="8"/>
        <v>328</v>
      </c>
      <c r="E55" s="6" t="str">
        <f>_xlfn.XLOOKUP(E23,道具表!$B:$B,道具表!$C:$C)&amp;"|"&amp;_xlfn.XLOOKUP(E23,道具表!$B:$B,道具表!$A:$A)&amp;"|"</f>
        <v>1|2|</v>
      </c>
      <c r="F55" s="6">
        <f t="shared" si="9"/>
        <v>3280</v>
      </c>
      <c r="G55" s="6" t="str">
        <f>_xlfn.XLOOKUP(G23,道具表!$B:$B,道具表!$C:$C)&amp;"|"&amp;_xlfn.XLOOKUP(G23,道具表!$B:$B,道具表!$A:$A)&amp;"|"</f>
        <v>9|501|</v>
      </c>
      <c r="H55" s="6">
        <f t="shared" si="10"/>
        <v>2</v>
      </c>
      <c r="I55" s="6" t="str">
        <f>_xlfn.XLOOKUP(I23,道具表!$B:$B,道具表!$C:$C)&amp;"|"&amp;_xlfn.XLOOKUP(I23,道具表!$B:$B,道具表!$A:$A)&amp;"|"</f>
        <v>1|10010|</v>
      </c>
      <c r="J55" s="6">
        <f t="shared" si="11"/>
        <v>8</v>
      </c>
      <c r="K55" s="6" t="str">
        <f>_xlfn.XLOOKUP(K23,道具表!$B:$B,道具表!$C:$C)&amp;"|"&amp;_xlfn.XLOOKUP(K23,道具表!$B:$B,道具表!$A:$A)&amp;"|"</f>
        <v>2|90080|</v>
      </c>
      <c r="L55" s="6">
        <f t="shared" si="12"/>
        <v>1</v>
      </c>
      <c r="M55" s="19" t="str">
        <f t="shared" si="13"/>
        <v>1|2|3280,9|501|2,1|10010|8,2|90080|1</v>
      </c>
      <c r="W55">
        <v>90072</v>
      </c>
      <c r="X55" t="s">
        <v>1057</v>
      </c>
      <c r="Y55" t="s">
        <v>1040</v>
      </c>
      <c r="Z55">
        <v>105</v>
      </c>
      <c r="AA55" t="s">
        <v>84</v>
      </c>
      <c r="AB55">
        <v>8</v>
      </c>
      <c r="AC55">
        <v>12</v>
      </c>
      <c r="AD55">
        <v>470</v>
      </c>
      <c r="AE55">
        <v>14100</v>
      </c>
      <c r="AF55">
        <v>2800</v>
      </c>
      <c r="AG55">
        <v>950</v>
      </c>
      <c r="AH55">
        <v>550</v>
      </c>
      <c r="AI55">
        <v>550</v>
      </c>
      <c r="AJ55" t="str">
        <f t="shared" si="14"/>
        <v>1|470,2|14100,3|2800,4|950,14|550,24|550</v>
      </c>
      <c r="AM55" s="49">
        <v>8</v>
      </c>
      <c r="AN55" s="49">
        <v>1</v>
      </c>
      <c r="AO55" s="49" t="s">
        <v>1081</v>
      </c>
    </row>
    <row r="56" ht="15.6" spans="3:41">
      <c r="C56" s="6">
        <f t="shared" si="7"/>
        <v>103</v>
      </c>
      <c r="D56" s="6">
        <f t="shared" si="8"/>
        <v>328</v>
      </c>
      <c r="E56" s="6" t="str">
        <f>_xlfn.XLOOKUP(E24,道具表!$B:$B,道具表!$C:$C)&amp;"|"&amp;_xlfn.XLOOKUP(E24,道具表!$B:$B,道具表!$A:$A)&amp;"|"</f>
        <v>1|2|</v>
      </c>
      <c r="F56" s="6">
        <f t="shared" si="9"/>
        <v>3280</v>
      </c>
      <c r="G56" s="6" t="str">
        <f>_xlfn.XLOOKUP(G24,道具表!$B:$B,道具表!$C:$C)&amp;"|"&amp;_xlfn.XLOOKUP(G24,道具表!$B:$B,道具表!$A:$A)&amp;"|"</f>
        <v>1|10005|</v>
      </c>
      <c r="H56" s="6">
        <f t="shared" si="10"/>
        <v>125</v>
      </c>
      <c r="I56" s="6" t="str">
        <f>_xlfn.XLOOKUP(I24,道具表!$B:$B,道具表!$C:$C)&amp;"|"&amp;_xlfn.XLOOKUP(I24,道具表!$B:$B,道具表!$A:$A)&amp;"|"</f>
        <v>1|10006|</v>
      </c>
      <c r="J56" s="6">
        <f t="shared" si="11"/>
        <v>5000</v>
      </c>
      <c r="K56" s="6" t="str">
        <f>_xlfn.XLOOKUP(K24,道具表!$B:$B,道具表!$C:$C)&amp;"|"&amp;_xlfn.XLOOKUP(K24,道具表!$B:$B,道具表!$A:$A)&amp;"|"</f>
        <v>2|90081|</v>
      </c>
      <c r="L56" s="6">
        <f t="shared" si="12"/>
        <v>1</v>
      </c>
      <c r="M56" s="19" t="str">
        <f t="shared" si="13"/>
        <v>1|2|3280,1|10005|125,1|10006|5000,2|90081|1</v>
      </c>
      <c r="W56">
        <v>90073</v>
      </c>
      <c r="X56" t="s">
        <v>1052</v>
      </c>
      <c r="Y56" t="s">
        <v>1040</v>
      </c>
      <c r="Z56">
        <v>105</v>
      </c>
      <c r="AA56" t="s">
        <v>85</v>
      </c>
      <c r="AB56">
        <v>8</v>
      </c>
      <c r="AC56">
        <v>7</v>
      </c>
      <c r="AD56">
        <v>470</v>
      </c>
      <c r="AE56">
        <v>14100</v>
      </c>
      <c r="AF56">
        <v>2800</v>
      </c>
      <c r="AG56">
        <v>950</v>
      </c>
      <c r="AH56">
        <v>550</v>
      </c>
      <c r="AI56">
        <v>550</v>
      </c>
      <c r="AJ56" t="str">
        <f t="shared" si="14"/>
        <v>1|470,2|14100,3|2800,4|950,14|550,24|550</v>
      </c>
      <c r="AM56" s="49">
        <v>11</v>
      </c>
      <c r="AN56" s="49">
        <v>2</v>
      </c>
      <c r="AO56" s="50" t="s">
        <v>1082</v>
      </c>
    </row>
    <row r="57" ht="15.6" spans="3:41">
      <c r="C57" s="6">
        <f t="shared" si="7"/>
        <v>100</v>
      </c>
      <c r="D57" s="6">
        <f t="shared" si="8"/>
        <v>648</v>
      </c>
      <c r="E57" s="6" t="str">
        <f>_xlfn.XLOOKUP(E25,道具表!$B:$B,道具表!$C:$C)&amp;"|"&amp;_xlfn.XLOOKUP(E25,道具表!$B:$B,道具表!$A:$A)&amp;"|"</f>
        <v>1|2|</v>
      </c>
      <c r="F57" s="6">
        <f t="shared" si="9"/>
        <v>6480</v>
      </c>
      <c r="G57" s="6" t="str">
        <f>_xlfn.XLOOKUP(G25,道具表!$B:$B,道具表!$C:$C)&amp;"|"&amp;_xlfn.XLOOKUP(G25,道具表!$B:$B,道具表!$A:$A)&amp;"|"</f>
        <v>1|6|</v>
      </c>
      <c r="H57" s="6">
        <f t="shared" si="10"/>
        <v>250</v>
      </c>
      <c r="I57" s="6" t="str">
        <f>_xlfn.XLOOKUP(I25,道具表!$B:$B,道具表!$C:$C)&amp;"|"&amp;_xlfn.XLOOKUP(I25,道具表!$B:$B,道具表!$A:$A)&amp;"|"</f>
        <v>1|10007|</v>
      </c>
      <c r="J57" s="6">
        <f t="shared" si="11"/>
        <v>300</v>
      </c>
      <c r="K57" s="6" t="str">
        <f>_xlfn.XLOOKUP(K25,道具表!$B:$B,道具表!$C:$C)&amp;"|"&amp;_xlfn.XLOOKUP(K25,道具表!$B:$B,道具表!$A:$A)&amp;"|"</f>
        <v>2|90078|</v>
      </c>
      <c r="L57" s="6">
        <f t="shared" si="12"/>
        <v>1</v>
      </c>
      <c r="M57" s="19" t="str">
        <f t="shared" si="13"/>
        <v>1|2|6480,1|6|250,1|10007|300,2|90078|1</v>
      </c>
      <c r="W57">
        <v>90074</v>
      </c>
      <c r="X57" t="s">
        <v>1036</v>
      </c>
      <c r="Y57" t="s">
        <v>1040</v>
      </c>
      <c r="Z57">
        <v>105</v>
      </c>
      <c r="AA57" t="s">
        <v>86</v>
      </c>
      <c r="AB57">
        <v>8</v>
      </c>
      <c r="AC57">
        <v>6</v>
      </c>
      <c r="AD57">
        <v>470</v>
      </c>
      <c r="AE57">
        <v>14100</v>
      </c>
      <c r="AF57">
        <v>2800</v>
      </c>
      <c r="AG57">
        <v>950</v>
      </c>
      <c r="AH57">
        <v>550</v>
      </c>
      <c r="AI57">
        <v>550</v>
      </c>
      <c r="AJ57" t="str">
        <f t="shared" si="14"/>
        <v>1|470,2|14100,3|2800,4|950,14|550,24|550</v>
      </c>
      <c r="AM57" s="49">
        <v>12</v>
      </c>
      <c r="AN57" s="49">
        <v>2</v>
      </c>
      <c r="AO57" s="49" t="s">
        <v>883</v>
      </c>
    </row>
    <row r="58" ht="15.6" spans="3:41">
      <c r="C58" s="6">
        <f t="shared" si="7"/>
        <v>101</v>
      </c>
      <c r="D58" s="6">
        <f t="shared" si="8"/>
        <v>648</v>
      </c>
      <c r="E58" s="6" t="str">
        <f>_xlfn.XLOOKUP(E26,道具表!$B:$B,道具表!$C:$C)&amp;"|"&amp;_xlfn.XLOOKUP(E26,道具表!$B:$B,道具表!$A:$A)&amp;"|"</f>
        <v>1|2|</v>
      </c>
      <c r="F58" s="6">
        <f t="shared" si="9"/>
        <v>6480</v>
      </c>
      <c r="G58" s="6" t="str">
        <f>_xlfn.XLOOKUP(G26,道具表!$B:$B,道具表!$C:$C)&amp;"|"&amp;_xlfn.XLOOKUP(G26,道具表!$B:$B,道具表!$A:$A)&amp;"|"</f>
        <v>1|1011|</v>
      </c>
      <c r="H58" s="6">
        <f t="shared" si="10"/>
        <v>190</v>
      </c>
      <c r="I58" s="6" t="str">
        <f>_xlfn.XLOOKUP(I26,道具表!$B:$B,道具表!$C:$C)&amp;"|"&amp;_xlfn.XLOOKUP(I26,道具表!$B:$B,道具表!$A:$A)&amp;"|"</f>
        <v>1|10|</v>
      </c>
      <c r="J58" s="6">
        <f t="shared" si="11"/>
        <v>100000</v>
      </c>
      <c r="K58" s="6" t="str">
        <f>_xlfn.XLOOKUP(K26,道具表!$B:$B,道具表!$C:$C)&amp;"|"&amp;_xlfn.XLOOKUP(K26,道具表!$B:$B,道具表!$A:$A)&amp;"|"</f>
        <v>2|90079|</v>
      </c>
      <c r="L58" s="6">
        <f t="shared" si="12"/>
        <v>1</v>
      </c>
      <c r="M58" s="19" t="str">
        <f t="shared" si="13"/>
        <v>1|2|6480,1|1011|190,1|10|100000,2|90079|1</v>
      </c>
      <c r="W58">
        <v>90075</v>
      </c>
      <c r="X58" t="s">
        <v>1039</v>
      </c>
      <c r="Y58" t="s">
        <v>1040</v>
      </c>
      <c r="Z58">
        <v>105</v>
      </c>
      <c r="AA58" t="s">
        <v>87</v>
      </c>
      <c r="AB58">
        <v>8</v>
      </c>
      <c r="AC58">
        <v>5</v>
      </c>
      <c r="AD58">
        <v>470</v>
      </c>
      <c r="AE58">
        <v>14100</v>
      </c>
      <c r="AF58">
        <v>2800</v>
      </c>
      <c r="AG58">
        <v>950</v>
      </c>
      <c r="AH58">
        <v>550</v>
      </c>
      <c r="AI58">
        <v>550</v>
      </c>
      <c r="AJ58" t="str">
        <f t="shared" si="14"/>
        <v>1|470,2|14100,3|2800,4|950,14|550,24|550</v>
      </c>
      <c r="AM58" s="49">
        <v>13</v>
      </c>
      <c r="AN58" s="49">
        <v>2</v>
      </c>
      <c r="AO58" s="49" t="s">
        <v>884</v>
      </c>
    </row>
    <row r="59" ht="15.6" spans="3:41">
      <c r="C59" s="6">
        <f t="shared" si="7"/>
        <v>102</v>
      </c>
      <c r="D59" s="6">
        <f t="shared" si="8"/>
        <v>648</v>
      </c>
      <c r="E59" s="6" t="str">
        <f>_xlfn.XLOOKUP(E27,道具表!$B:$B,道具表!$C:$C)&amp;"|"&amp;_xlfn.XLOOKUP(E27,道具表!$B:$B,道具表!$A:$A)&amp;"|"</f>
        <v>1|2|</v>
      </c>
      <c r="F59" s="6">
        <f t="shared" si="9"/>
        <v>6480</v>
      </c>
      <c r="G59" s="6" t="str">
        <f>_xlfn.XLOOKUP(G27,道具表!$B:$B,道具表!$C:$C)&amp;"|"&amp;_xlfn.XLOOKUP(G27,道具表!$B:$B,道具表!$A:$A)&amp;"|"</f>
        <v>9|501|</v>
      </c>
      <c r="H59" s="6">
        <f t="shared" si="10"/>
        <v>3</v>
      </c>
      <c r="I59" s="6" t="str">
        <f>_xlfn.XLOOKUP(I27,道具表!$B:$B,道具表!$C:$C)&amp;"|"&amp;_xlfn.XLOOKUP(I27,道具表!$B:$B,道具表!$A:$A)&amp;"|"</f>
        <v>1|10010|</v>
      </c>
      <c r="J59" s="6">
        <f t="shared" si="11"/>
        <v>20</v>
      </c>
      <c r="K59" s="6" t="str">
        <f>_xlfn.XLOOKUP(K27,道具表!$B:$B,道具表!$C:$C)&amp;"|"&amp;_xlfn.XLOOKUP(K27,道具表!$B:$B,道具表!$A:$A)&amp;"|"</f>
        <v>2|90080|</v>
      </c>
      <c r="L59" s="6">
        <f t="shared" si="12"/>
        <v>1</v>
      </c>
      <c r="M59" s="19" t="str">
        <f t="shared" si="13"/>
        <v>1|2|6480,9|501|3,1|10010|20,2|90080|1</v>
      </c>
      <c r="W59">
        <v>90076</v>
      </c>
      <c r="X59" t="s">
        <v>1032</v>
      </c>
      <c r="Y59" t="s">
        <v>1040</v>
      </c>
      <c r="Z59">
        <v>105</v>
      </c>
      <c r="AA59" t="s">
        <v>88</v>
      </c>
      <c r="AB59">
        <v>8</v>
      </c>
      <c r="AC59">
        <v>1</v>
      </c>
      <c r="AD59">
        <v>470</v>
      </c>
      <c r="AE59">
        <v>14100</v>
      </c>
      <c r="AF59">
        <v>2800</v>
      </c>
      <c r="AG59">
        <v>950</v>
      </c>
      <c r="AH59">
        <v>550</v>
      </c>
      <c r="AI59">
        <v>550</v>
      </c>
      <c r="AJ59" t="str">
        <f t="shared" si="14"/>
        <v>1|470,2|14100,3|2800,4|950,14|550,24|550</v>
      </c>
      <c r="AM59" s="49">
        <v>14</v>
      </c>
      <c r="AN59" s="49">
        <v>2</v>
      </c>
      <c r="AO59" s="49" t="s">
        <v>880</v>
      </c>
    </row>
    <row r="60" ht="15.6" spans="3:41">
      <c r="C60" s="6">
        <f t="shared" si="7"/>
        <v>103</v>
      </c>
      <c r="D60" s="6">
        <f t="shared" si="8"/>
        <v>648</v>
      </c>
      <c r="E60" s="6" t="str">
        <f>_xlfn.XLOOKUP(E28,道具表!$B:$B,道具表!$C:$C)&amp;"|"&amp;_xlfn.XLOOKUP(E28,道具表!$B:$B,道具表!$A:$A)&amp;"|"</f>
        <v>1|2|</v>
      </c>
      <c r="F60" s="6">
        <f t="shared" si="9"/>
        <v>6480</v>
      </c>
      <c r="G60" s="6" t="str">
        <f>_xlfn.XLOOKUP(G28,道具表!$B:$B,道具表!$C:$C)&amp;"|"&amp;_xlfn.XLOOKUP(G28,道具表!$B:$B,道具表!$A:$A)&amp;"|"</f>
        <v>1|10005|</v>
      </c>
      <c r="H60" s="6">
        <f t="shared" si="10"/>
        <v>245</v>
      </c>
      <c r="I60" s="6" t="str">
        <f>_xlfn.XLOOKUP(I28,道具表!$B:$B,道具表!$C:$C)&amp;"|"&amp;_xlfn.XLOOKUP(I28,道具表!$B:$B,道具表!$A:$A)&amp;"|"</f>
        <v>1|10006|</v>
      </c>
      <c r="J60" s="6">
        <f t="shared" si="11"/>
        <v>10000</v>
      </c>
      <c r="K60" s="6" t="str">
        <f>_xlfn.XLOOKUP(K28,道具表!$B:$B,道具表!$C:$C)&amp;"|"&amp;_xlfn.XLOOKUP(K28,道具表!$B:$B,道具表!$A:$A)&amp;"|"</f>
        <v>2|90081|</v>
      </c>
      <c r="L60" s="6">
        <f t="shared" si="12"/>
        <v>1</v>
      </c>
      <c r="M60" s="19" t="str">
        <f t="shared" si="13"/>
        <v>1|2|6480,1|10005|245,1|10006|10000,2|90081|1</v>
      </c>
      <c r="AM60" s="49">
        <v>25</v>
      </c>
      <c r="AN60" s="49">
        <v>2</v>
      </c>
      <c r="AO60" s="49" t="s">
        <v>1083</v>
      </c>
    </row>
    <row r="61" spans="39:41">
      <c r="AM61" s="49">
        <v>26</v>
      </c>
      <c r="AN61" s="49">
        <v>2</v>
      </c>
      <c r="AO61" s="49" t="s">
        <v>1084</v>
      </c>
    </row>
    <row r="62" spans="39:41">
      <c r="AM62" s="49">
        <v>31</v>
      </c>
      <c r="AN62" s="49">
        <v>3</v>
      </c>
      <c r="AO62" s="49" t="s">
        <v>1085</v>
      </c>
    </row>
    <row r="63" spans="39:41">
      <c r="AM63" s="49">
        <v>32</v>
      </c>
      <c r="AN63" s="49">
        <v>3</v>
      </c>
      <c r="AO63" s="49" t="s">
        <v>1086</v>
      </c>
    </row>
    <row r="64" spans="39:41">
      <c r="AM64" s="49">
        <v>33</v>
      </c>
      <c r="AN64" s="49">
        <v>3</v>
      </c>
      <c r="AO64" s="49" t="s">
        <v>1087</v>
      </c>
    </row>
    <row r="65" spans="39:41">
      <c r="AM65" s="49">
        <v>34</v>
      </c>
      <c r="AN65" s="49">
        <v>3</v>
      </c>
      <c r="AO65" s="49" t="s">
        <v>1088</v>
      </c>
    </row>
    <row r="66" spans="39:41">
      <c r="AM66" s="49">
        <v>35</v>
      </c>
      <c r="AN66" s="49">
        <v>3</v>
      </c>
      <c r="AO66" s="49" t="s">
        <v>1089</v>
      </c>
    </row>
    <row r="67" spans="39:41">
      <c r="AM67" s="49">
        <v>36</v>
      </c>
      <c r="AN67" s="49">
        <v>3</v>
      </c>
      <c r="AO67" s="49" t="s">
        <v>1090</v>
      </c>
    </row>
    <row r="68" spans="39:41">
      <c r="AM68" s="49">
        <v>37</v>
      </c>
      <c r="AN68" s="49">
        <v>3</v>
      </c>
      <c r="AO68" s="49" t="s">
        <v>1091</v>
      </c>
    </row>
    <row r="69" spans="39:41">
      <c r="AM69" s="49">
        <v>38</v>
      </c>
      <c r="AN69" s="49">
        <v>3</v>
      </c>
      <c r="AO69" s="49" t="s">
        <v>1092</v>
      </c>
    </row>
    <row r="70" spans="39:41">
      <c r="AM70" s="49">
        <v>100</v>
      </c>
      <c r="AN70" s="49">
        <v>100</v>
      </c>
      <c r="AO70" s="49" t="s">
        <v>1093</v>
      </c>
    </row>
    <row r="71" spans="39:41">
      <c r="AM71" s="49">
        <v>39</v>
      </c>
      <c r="AN71" s="49">
        <v>4</v>
      </c>
      <c r="AO71" s="49" t="s">
        <v>1094</v>
      </c>
    </row>
    <row r="72" spans="39:41">
      <c r="AM72" s="49">
        <v>40</v>
      </c>
      <c r="AN72" s="49">
        <v>4</v>
      </c>
      <c r="AO72" s="49" t="s">
        <v>1095</v>
      </c>
    </row>
    <row r="73" spans="39:41">
      <c r="AM73" s="49">
        <v>41</v>
      </c>
      <c r="AN73" s="49">
        <v>4</v>
      </c>
      <c r="AO73" s="49" t="s">
        <v>1096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J78"/>
  <sheetViews>
    <sheetView tabSelected="1" zoomScale="85" zoomScaleNormal="85" topLeftCell="A58" workbookViewId="0">
      <selection activeCell="D86" sqref="D86"/>
    </sheetView>
  </sheetViews>
  <sheetFormatPr defaultColWidth="8.88888888888889" defaultRowHeight="14.4"/>
  <cols>
    <col min="3" max="3" width="21.1666666666667" customWidth="1"/>
  </cols>
  <sheetData>
    <row r="2" ht="15.6" spans="3:10">
      <c r="C2" s="54" t="s">
        <v>255</v>
      </c>
      <c r="D2" s="6" t="s">
        <v>322</v>
      </c>
      <c r="E2" s="6" t="s">
        <v>323</v>
      </c>
      <c r="F2" s="6" t="s">
        <v>324</v>
      </c>
      <c r="G2" s="6" t="s">
        <v>325</v>
      </c>
      <c r="H2" s="6" t="s">
        <v>326</v>
      </c>
      <c r="I2" s="6" t="s">
        <v>327</v>
      </c>
      <c r="J2" s="75" t="s">
        <v>328</v>
      </c>
    </row>
    <row r="3" ht="15.6" spans="3:10">
      <c r="C3" s="54" t="s">
        <v>329</v>
      </c>
      <c r="D3" s="6" t="s">
        <v>9</v>
      </c>
      <c r="E3" s="6">
        <v>250</v>
      </c>
      <c r="F3" s="6">
        <f>_xlfn.XLOOKUP(D3,道具表!$B:$B,道具表!$E:$E)</f>
        <v>1</v>
      </c>
      <c r="G3" s="6">
        <f t="shared" ref="G3:G13" si="0">F3*E3</f>
        <v>250</v>
      </c>
      <c r="H3" s="6">
        <v>200</v>
      </c>
      <c r="I3" s="6" t="str">
        <f>_xlfn.XLOOKUP(D3,道具表!$B:$B,道具表!$C:$C)&amp;"|"&amp;_xlfn.XLOOKUP(D3,道具表!$B:$B,道具表!$A:$A)&amp;"|"&amp;E3&amp;","</f>
        <v>1|5|250,</v>
      </c>
      <c r="J3" s="54" t="str">
        <f>LEFT(I3&amp;I4&amp;I5&amp;I6&amp;I7&amp;I8&amp;I9&amp;I10&amp;I11&amp;I12&amp;I13,LEN(I3&amp;I4&amp;I5&amp;I6&amp;I7&amp;I8&amp;I9&amp;I10&amp;I11&amp;I12&amp;I13)-1)</f>
        <v>1|5|250,1|10002|5,1|10001|2,1|10006|400,1|10019|200,1|10007|12,1|1011|2,1|10005|2,1|10009|2,1|6|2,1|10030|4</v>
      </c>
    </row>
    <row r="4" ht="15.6" spans="3:9">
      <c r="C4" s="54"/>
      <c r="D4" s="6" t="s">
        <v>42</v>
      </c>
      <c r="E4" s="6">
        <v>5</v>
      </c>
      <c r="F4" s="6">
        <f>_xlfn.XLOOKUP(D4,道具表!$B:$B,道具表!$E:$E)</f>
        <v>40</v>
      </c>
      <c r="G4" s="6">
        <f t="shared" si="0"/>
        <v>200</v>
      </c>
      <c r="H4" s="6">
        <v>200</v>
      </c>
      <c r="I4" s="6" t="str">
        <f>_xlfn.XLOOKUP(D4,道具表!$B:$B,道具表!$C:$C)&amp;"|"&amp;_xlfn.XLOOKUP(D4,道具表!$B:$B,道具表!$A:$A)&amp;"|"&amp;E4&amp;","</f>
        <v>1|10002|5,</v>
      </c>
    </row>
    <row r="5" ht="15.6" spans="3:9">
      <c r="C5" s="54"/>
      <c r="D5" s="6" t="s">
        <v>41</v>
      </c>
      <c r="E5" s="6">
        <v>2</v>
      </c>
      <c r="F5" s="6">
        <f>_xlfn.XLOOKUP(D5,道具表!$B:$B,道具表!$E:$E)</f>
        <v>100</v>
      </c>
      <c r="G5" s="6">
        <f t="shared" si="0"/>
        <v>200</v>
      </c>
      <c r="H5" s="6">
        <v>200</v>
      </c>
      <c r="I5" s="6" t="str">
        <f>_xlfn.XLOOKUP(D5,道具表!$B:$B,道具表!$C:$C)&amp;"|"&amp;_xlfn.XLOOKUP(D5,道具表!$B:$B,道具表!$A:$A)&amp;"|"&amp;E5&amp;","</f>
        <v>1|10001|2,</v>
      </c>
    </row>
    <row r="6" ht="15.6" spans="3:9">
      <c r="C6" s="54"/>
      <c r="D6" s="6" t="s">
        <v>46</v>
      </c>
      <c r="E6" s="6">
        <v>400</v>
      </c>
      <c r="F6" s="6">
        <f>_xlfn.XLOOKUP(D6,道具表!$B:$B,道具表!$E:$E)</f>
        <v>0.5</v>
      </c>
      <c r="G6" s="6">
        <f t="shared" si="0"/>
        <v>200</v>
      </c>
      <c r="H6" s="6">
        <v>200</v>
      </c>
      <c r="I6" s="6" t="str">
        <f>_xlfn.XLOOKUP(D6,道具表!$B:$B,道具表!$C:$C)&amp;"|"&amp;_xlfn.XLOOKUP(D6,道具表!$B:$B,道具表!$A:$A)&amp;"|"&amp;E6&amp;","</f>
        <v>1|10006|400,</v>
      </c>
    </row>
    <row r="7" ht="15.6" spans="3:9">
      <c r="C7" s="54"/>
      <c r="D7" s="24" t="s">
        <v>56</v>
      </c>
      <c r="E7" s="6">
        <v>200</v>
      </c>
      <c r="F7" s="6">
        <f>_xlfn.XLOOKUP(D7,道具表!$B:$B,道具表!$E:$E)</f>
        <v>1</v>
      </c>
      <c r="G7" s="6">
        <f t="shared" si="0"/>
        <v>200</v>
      </c>
      <c r="H7" s="6">
        <v>200</v>
      </c>
      <c r="I7" s="6" t="str">
        <f>_xlfn.XLOOKUP(D7,道具表!$B:$B,道具表!$C:$C)&amp;"|"&amp;_xlfn.XLOOKUP(D7,道具表!$B:$B,道具表!$A:$A)&amp;"|"&amp;E7&amp;","</f>
        <v>1|10019|200,</v>
      </c>
    </row>
    <row r="8" ht="15.6" spans="3:9">
      <c r="C8" s="54"/>
      <c r="D8" s="6" t="s">
        <v>47</v>
      </c>
      <c r="E8" s="6">
        <v>12</v>
      </c>
      <c r="F8" s="6">
        <f>_xlfn.XLOOKUP(D8,道具表!$B:$B,道具表!$E:$E)</f>
        <v>15</v>
      </c>
      <c r="G8" s="6">
        <f t="shared" si="0"/>
        <v>180</v>
      </c>
      <c r="H8" s="6">
        <v>200</v>
      </c>
      <c r="I8" s="6" t="str">
        <f>_xlfn.XLOOKUP(D8,道具表!$B:$B,道具表!$C:$C)&amp;"|"&amp;_xlfn.XLOOKUP(D8,道具表!$B:$B,道具表!$A:$A)&amp;"|"&amp;E8&amp;","</f>
        <v>1|10007|12,</v>
      </c>
    </row>
    <row r="9" ht="15.6" spans="3:9">
      <c r="C9" s="54"/>
      <c r="D9" s="6" t="s">
        <v>34</v>
      </c>
      <c r="E9" s="6">
        <v>2</v>
      </c>
      <c r="F9" s="6">
        <f>_xlfn.XLOOKUP(D9,道具表!$B:$B,道具表!$E:$E)</f>
        <v>100</v>
      </c>
      <c r="G9" s="6">
        <f t="shared" si="0"/>
        <v>200</v>
      </c>
      <c r="H9" s="6">
        <v>200</v>
      </c>
      <c r="I9" s="6" t="str">
        <f>_xlfn.XLOOKUP(D9,道具表!$B:$B,道具表!$C:$C)&amp;"|"&amp;_xlfn.XLOOKUP(D9,道具表!$B:$B,道具表!$A:$A)&amp;"|"&amp;E9&amp;","</f>
        <v>1|1011|2,</v>
      </c>
    </row>
    <row r="10" ht="15.6" spans="3:9">
      <c r="C10" s="54"/>
      <c r="D10" s="105" t="s">
        <v>45</v>
      </c>
      <c r="E10" s="6">
        <v>2</v>
      </c>
      <c r="F10" s="6">
        <f>_xlfn.XLOOKUP(D10,道具表!$B:$B,道具表!$E:$E)</f>
        <v>100</v>
      </c>
      <c r="G10" s="6">
        <f t="shared" si="0"/>
        <v>200</v>
      </c>
      <c r="H10" s="6">
        <v>200</v>
      </c>
      <c r="I10" s="6" t="str">
        <f>_xlfn.XLOOKUP(D10,道具表!$B:$B,道具表!$C:$C)&amp;"|"&amp;_xlfn.XLOOKUP(D10,道具表!$B:$B,道具表!$A:$A)&amp;"|"&amp;E10&amp;","</f>
        <v>1|10005|2,</v>
      </c>
    </row>
    <row r="11" ht="15.6" spans="3:9">
      <c r="C11" s="54"/>
      <c r="D11" s="24" t="s">
        <v>48</v>
      </c>
      <c r="E11" s="6">
        <v>2</v>
      </c>
      <c r="F11" s="6">
        <f>_xlfn.XLOOKUP(D11,道具表!$B:$B,道具表!$E:$E)</f>
        <v>102</v>
      </c>
      <c r="G11" s="6">
        <f t="shared" si="0"/>
        <v>204</v>
      </c>
      <c r="H11" s="6">
        <v>200</v>
      </c>
      <c r="I11" s="6" t="str">
        <f>_xlfn.XLOOKUP(D11,道具表!$B:$B,道具表!$C:$C)&amp;"|"&amp;_xlfn.XLOOKUP(D11,道具表!$B:$B,道具表!$A:$A)&amp;"|"&amp;E11&amp;","</f>
        <v>1|10009|2,</v>
      </c>
    </row>
    <row r="12" ht="15.6" spans="3:9">
      <c r="C12" s="54"/>
      <c r="D12" s="6" t="s">
        <v>10</v>
      </c>
      <c r="E12" s="6">
        <v>2</v>
      </c>
      <c r="F12" s="6">
        <f>_xlfn.XLOOKUP(D12,道具表!$B:$B,道具表!$E:$E)</f>
        <v>100</v>
      </c>
      <c r="G12" s="6">
        <f t="shared" si="0"/>
        <v>200</v>
      </c>
      <c r="H12" s="6">
        <v>200</v>
      </c>
      <c r="I12" s="6" t="str">
        <f>_xlfn.XLOOKUP(D12,道具表!$B:$B,道具表!$C:$C)&amp;"|"&amp;_xlfn.XLOOKUP(D12,道具表!$B:$B,道具表!$A:$A)&amp;"|"&amp;E12&amp;","</f>
        <v>1|6|2,</v>
      </c>
    </row>
    <row r="13" ht="15.6" spans="3:9">
      <c r="C13" s="54"/>
      <c r="D13" s="6" t="s">
        <v>67</v>
      </c>
      <c r="E13" s="6">
        <v>4</v>
      </c>
      <c r="F13" s="6">
        <f>_xlfn.XLOOKUP(D13,道具表!$B:$B,道具表!$E:$E)</f>
        <v>50</v>
      </c>
      <c r="G13" s="6">
        <f t="shared" si="0"/>
        <v>200</v>
      </c>
      <c r="H13" s="6">
        <v>200</v>
      </c>
      <c r="I13" s="6" t="str">
        <f>_xlfn.XLOOKUP(D13,道具表!$B:$B,道具表!$C:$C)&amp;"|"&amp;_xlfn.XLOOKUP(D13,道具表!$B:$B,道具表!$A:$A)&amp;"|"&amp;E13&amp;","</f>
        <v>1|10030|4,</v>
      </c>
    </row>
    <row r="14" ht="15.6" spans="3:9">
      <c r="C14" s="117"/>
      <c r="D14" s="8"/>
      <c r="E14" s="8"/>
      <c r="F14" s="8"/>
      <c r="G14" s="8"/>
      <c r="H14" s="8"/>
      <c r="I14" s="8"/>
    </row>
    <row r="16" ht="15.6" spans="3:10">
      <c r="C16" s="54" t="s">
        <v>256</v>
      </c>
      <c r="D16" s="6" t="s">
        <v>322</v>
      </c>
      <c r="E16" s="6" t="s">
        <v>323</v>
      </c>
      <c r="F16" s="6" t="s">
        <v>324</v>
      </c>
      <c r="G16" s="6" t="s">
        <v>325</v>
      </c>
      <c r="H16" s="6" t="s">
        <v>326</v>
      </c>
      <c r="I16" s="6" t="s">
        <v>327</v>
      </c>
      <c r="J16" s="75" t="s">
        <v>328</v>
      </c>
    </row>
    <row r="17" ht="15.6" spans="3:10">
      <c r="C17" s="54" t="s">
        <v>330</v>
      </c>
      <c r="D17" s="6" t="s">
        <v>9</v>
      </c>
      <c r="E17" s="6">
        <v>850</v>
      </c>
      <c r="F17" s="6">
        <f>_xlfn.XLOOKUP(D17,道具表!$B:$B,道具表!$E:$E)</f>
        <v>1</v>
      </c>
      <c r="G17" s="6">
        <f t="shared" ref="G17:G27" si="1">F17*E17</f>
        <v>850</v>
      </c>
      <c r="H17" s="6">
        <v>700</v>
      </c>
      <c r="I17" s="6" t="str">
        <f>_xlfn.XLOOKUP(D17,道具表!$B:$B,道具表!$C:$C)&amp;"|"&amp;_xlfn.XLOOKUP(D17,道具表!$B:$B,道具表!$A:$A)&amp;"|"&amp;E17&amp;","</f>
        <v>1|5|850,</v>
      </c>
      <c r="J17" s="54" t="str">
        <f>LEFT(I17&amp;I18&amp;I19&amp;I20&amp;I21&amp;I22&amp;I23&amp;I24&amp;I25&amp;I26&amp;I27,LEN(I17&amp;I18&amp;I19&amp;I20&amp;I21&amp;I22&amp;I23&amp;I24&amp;I25&amp;I26&amp;I27)-1)</f>
        <v>1|5|850,1|10002|17,1|10001|7,1|10006|1400,1|10019|700,1|10007|45,1|1011|7,1|10005|7,1|10009|7,1|6|7,1|10030|14</v>
      </c>
    </row>
    <row r="18" ht="15.6" spans="3:9">
      <c r="C18" s="54"/>
      <c r="D18" s="6" t="s">
        <v>42</v>
      </c>
      <c r="E18" s="6">
        <v>17</v>
      </c>
      <c r="F18" s="6">
        <f>_xlfn.XLOOKUP(D18,道具表!$B:$B,道具表!$E:$E)</f>
        <v>40</v>
      </c>
      <c r="G18" s="6">
        <f t="shared" si="1"/>
        <v>680</v>
      </c>
      <c r="H18" s="6">
        <v>700</v>
      </c>
      <c r="I18" s="6" t="str">
        <f>_xlfn.XLOOKUP(D18,道具表!$B:$B,道具表!$C:$C)&amp;"|"&amp;_xlfn.XLOOKUP(D18,道具表!$B:$B,道具表!$A:$A)&amp;"|"&amp;E18&amp;","</f>
        <v>1|10002|17,</v>
      </c>
    </row>
    <row r="19" ht="15.6" spans="3:9">
      <c r="C19" s="54"/>
      <c r="D19" s="6" t="s">
        <v>41</v>
      </c>
      <c r="E19" s="6">
        <f t="shared" ref="E19:E21" si="2">H19/F19</f>
        <v>7</v>
      </c>
      <c r="F19" s="6">
        <f>_xlfn.XLOOKUP(D19,道具表!$B:$B,道具表!$E:$E)</f>
        <v>100</v>
      </c>
      <c r="G19" s="6">
        <f t="shared" si="1"/>
        <v>700</v>
      </c>
      <c r="H19" s="6">
        <v>700</v>
      </c>
      <c r="I19" s="6" t="str">
        <f>_xlfn.XLOOKUP(D19,道具表!$B:$B,道具表!$C:$C)&amp;"|"&amp;_xlfn.XLOOKUP(D19,道具表!$B:$B,道具表!$A:$A)&amp;"|"&amp;E19&amp;","</f>
        <v>1|10001|7,</v>
      </c>
    </row>
    <row r="20" ht="15.6" spans="3:9">
      <c r="C20" s="54"/>
      <c r="D20" s="6" t="s">
        <v>46</v>
      </c>
      <c r="E20" s="6">
        <f t="shared" si="2"/>
        <v>1400</v>
      </c>
      <c r="F20" s="6">
        <f>_xlfn.XLOOKUP(D20,道具表!$B:$B,道具表!$E:$E)</f>
        <v>0.5</v>
      </c>
      <c r="G20" s="6">
        <f t="shared" si="1"/>
        <v>700</v>
      </c>
      <c r="H20" s="6">
        <v>700</v>
      </c>
      <c r="I20" s="6" t="str">
        <f>_xlfn.XLOOKUP(D20,道具表!$B:$B,道具表!$C:$C)&amp;"|"&amp;_xlfn.XLOOKUP(D20,道具表!$B:$B,道具表!$A:$A)&amp;"|"&amp;E20&amp;","</f>
        <v>1|10006|1400,</v>
      </c>
    </row>
    <row r="21" ht="15.6" spans="3:9">
      <c r="C21" s="54"/>
      <c r="D21" s="24" t="s">
        <v>56</v>
      </c>
      <c r="E21" s="6">
        <f t="shared" si="2"/>
        <v>700</v>
      </c>
      <c r="F21" s="6">
        <f>_xlfn.XLOOKUP(D21,道具表!$B:$B,道具表!$E:$E)</f>
        <v>1</v>
      </c>
      <c r="G21" s="6">
        <f t="shared" si="1"/>
        <v>700</v>
      </c>
      <c r="H21" s="6">
        <v>700</v>
      </c>
      <c r="I21" s="6" t="str">
        <f>_xlfn.XLOOKUP(D21,道具表!$B:$B,道具表!$C:$C)&amp;"|"&amp;_xlfn.XLOOKUP(D21,道具表!$B:$B,道具表!$A:$A)&amp;"|"&amp;E21&amp;","</f>
        <v>1|10019|700,</v>
      </c>
    </row>
    <row r="22" ht="15.6" spans="3:9">
      <c r="C22" s="54"/>
      <c r="D22" s="6" t="s">
        <v>47</v>
      </c>
      <c r="E22" s="6">
        <v>45</v>
      </c>
      <c r="F22" s="6">
        <f>_xlfn.XLOOKUP(D22,道具表!$B:$B,道具表!$E:$E)</f>
        <v>15</v>
      </c>
      <c r="G22" s="6">
        <f t="shared" si="1"/>
        <v>675</v>
      </c>
      <c r="H22" s="6">
        <v>700</v>
      </c>
      <c r="I22" s="6" t="str">
        <f>_xlfn.XLOOKUP(D22,道具表!$B:$B,道具表!$C:$C)&amp;"|"&amp;_xlfn.XLOOKUP(D22,道具表!$B:$B,道具表!$A:$A)&amp;"|"&amp;E22&amp;","</f>
        <v>1|10007|45,</v>
      </c>
    </row>
    <row r="23" ht="15.6" spans="3:9">
      <c r="C23" s="54"/>
      <c r="D23" s="6" t="s">
        <v>34</v>
      </c>
      <c r="E23" s="6">
        <f t="shared" ref="E23:E26" si="3">H23/F23</f>
        <v>7</v>
      </c>
      <c r="F23" s="6">
        <f>_xlfn.XLOOKUP(D23,道具表!$B:$B,道具表!$E:$E)</f>
        <v>100</v>
      </c>
      <c r="G23" s="6">
        <f t="shared" si="1"/>
        <v>700</v>
      </c>
      <c r="H23" s="6">
        <v>700</v>
      </c>
      <c r="I23" s="6" t="str">
        <f>_xlfn.XLOOKUP(D23,道具表!$B:$B,道具表!$C:$C)&amp;"|"&amp;_xlfn.XLOOKUP(D23,道具表!$B:$B,道具表!$A:$A)&amp;"|"&amp;E23&amp;","</f>
        <v>1|1011|7,</v>
      </c>
    </row>
    <row r="24" ht="15.6" spans="3:9">
      <c r="C24" s="54"/>
      <c r="D24" s="105" t="s">
        <v>45</v>
      </c>
      <c r="E24" s="6">
        <f t="shared" si="3"/>
        <v>7</v>
      </c>
      <c r="F24" s="6">
        <f>_xlfn.XLOOKUP(D24,道具表!$B:$B,道具表!$E:$E)</f>
        <v>100</v>
      </c>
      <c r="G24" s="6">
        <f t="shared" si="1"/>
        <v>700</v>
      </c>
      <c r="H24" s="6">
        <v>700</v>
      </c>
      <c r="I24" s="6" t="str">
        <f>_xlfn.XLOOKUP(D24,道具表!$B:$B,道具表!$C:$C)&amp;"|"&amp;_xlfn.XLOOKUP(D24,道具表!$B:$B,道具表!$A:$A)&amp;"|"&amp;E24&amp;","</f>
        <v>1|10005|7,</v>
      </c>
    </row>
    <row r="25" ht="15.6" spans="3:9">
      <c r="C25" s="54"/>
      <c r="D25" s="24" t="s">
        <v>48</v>
      </c>
      <c r="E25" s="6">
        <v>7</v>
      </c>
      <c r="F25" s="6">
        <f>_xlfn.XLOOKUP(D25,道具表!$B:$B,道具表!$E:$E)</f>
        <v>102</v>
      </c>
      <c r="G25" s="6">
        <f t="shared" si="1"/>
        <v>714</v>
      </c>
      <c r="H25" s="6">
        <v>700</v>
      </c>
      <c r="I25" s="6" t="str">
        <f>_xlfn.XLOOKUP(D25,道具表!$B:$B,道具表!$C:$C)&amp;"|"&amp;_xlfn.XLOOKUP(D25,道具表!$B:$B,道具表!$A:$A)&amp;"|"&amp;E25&amp;","</f>
        <v>1|10009|7,</v>
      </c>
    </row>
    <row r="26" ht="15.6" spans="3:9">
      <c r="C26" s="54"/>
      <c r="D26" s="6" t="s">
        <v>10</v>
      </c>
      <c r="E26" s="6">
        <f t="shared" si="3"/>
        <v>7</v>
      </c>
      <c r="F26" s="6">
        <f>_xlfn.XLOOKUP(D26,道具表!$B:$B,道具表!$E:$E)</f>
        <v>100</v>
      </c>
      <c r="G26" s="6">
        <f t="shared" si="1"/>
        <v>700</v>
      </c>
      <c r="H26" s="6">
        <v>700</v>
      </c>
      <c r="I26" s="6" t="str">
        <f>_xlfn.XLOOKUP(D26,道具表!$B:$B,道具表!$C:$C)&amp;"|"&amp;_xlfn.XLOOKUP(D26,道具表!$B:$B,道具表!$A:$A)&amp;"|"&amp;E26&amp;","</f>
        <v>1|6|7,</v>
      </c>
    </row>
    <row r="27" ht="15.6" spans="3:9">
      <c r="C27" s="54"/>
      <c r="D27" s="6" t="s">
        <v>67</v>
      </c>
      <c r="E27" s="6">
        <v>14</v>
      </c>
      <c r="F27" s="6">
        <f>_xlfn.XLOOKUP(D27,道具表!$B:$B,道具表!$E:$E)</f>
        <v>50</v>
      </c>
      <c r="G27" s="6">
        <f t="shared" si="1"/>
        <v>700</v>
      </c>
      <c r="H27" s="6">
        <v>200</v>
      </c>
      <c r="I27" s="6" t="str">
        <f>_xlfn.XLOOKUP(D27,道具表!$B:$B,道具表!$C:$C)&amp;"|"&amp;_xlfn.XLOOKUP(D27,道具表!$B:$B,道具表!$A:$A)&amp;"|"&amp;E27&amp;","</f>
        <v>1|10030|14,</v>
      </c>
    </row>
    <row r="30" ht="15.6" spans="3:10">
      <c r="C30" s="54" t="s">
        <v>257</v>
      </c>
      <c r="D30" s="6" t="s">
        <v>322</v>
      </c>
      <c r="E30" s="6" t="s">
        <v>323</v>
      </c>
      <c r="F30" s="6" t="s">
        <v>324</v>
      </c>
      <c r="G30" s="6" t="s">
        <v>325</v>
      </c>
      <c r="H30" s="6" t="s">
        <v>326</v>
      </c>
      <c r="I30" s="6" t="s">
        <v>327</v>
      </c>
      <c r="J30" s="75" t="s">
        <v>328</v>
      </c>
    </row>
    <row r="31" ht="15.6" spans="3:10">
      <c r="C31" s="54" t="s">
        <v>331</v>
      </c>
      <c r="D31" s="6" t="s">
        <v>9</v>
      </c>
      <c r="E31" s="6">
        <v>1500</v>
      </c>
      <c r="F31" s="6">
        <f>_xlfn.XLOOKUP(D31,道具表!$B:$B,道具表!$E:$E)</f>
        <v>1</v>
      </c>
      <c r="G31" s="6">
        <f t="shared" ref="G31:G38" si="4">F31*E31</f>
        <v>1500</v>
      </c>
      <c r="H31" s="6">
        <v>1200</v>
      </c>
      <c r="I31" s="6" t="str">
        <f>_xlfn.XLOOKUP(D31,道具表!$B:$B,道具表!$C:$C)&amp;"|"&amp;_xlfn.XLOOKUP(D31,道具表!$B:$B,道具表!$A:$A)&amp;"|"&amp;E31&amp;","</f>
        <v>1|5|1500,</v>
      </c>
      <c r="J31" s="54" t="str">
        <f>LEFT(I31&amp;I32&amp;I33&amp;I34&amp;I35&amp;I36&amp;I37&amp;I38,LEN(I31&amp;I32&amp;I33&amp;I34&amp;I35&amp;I36&amp;I37&amp;I38)-1)</f>
        <v>1|5|1500,1|10002|30,1|10001|12,1|10003|2,1|10006|2400,1|10019|1200,1|10007|80,1|10030|24</v>
      </c>
    </row>
    <row r="32" ht="15.6" spans="3:9">
      <c r="C32" s="54"/>
      <c r="D32" s="6" t="s">
        <v>42</v>
      </c>
      <c r="E32" s="6">
        <v>30</v>
      </c>
      <c r="F32" s="6">
        <f>_xlfn.XLOOKUP(D32,道具表!$B:$B,道具表!$E:$E)</f>
        <v>40</v>
      </c>
      <c r="G32" s="6">
        <f t="shared" si="4"/>
        <v>1200</v>
      </c>
      <c r="H32" s="6">
        <v>1200</v>
      </c>
      <c r="I32" s="6" t="str">
        <f>_xlfn.XLOOKUP(D32,道具表!$B:$B,道具表!$C:$C)&amp;"|"&amp;_xlfn.XLOOKUP(D32,道具表!$B:$B,道具表!$A:$A)&amp;"|"&amp;E32&amp;","</f>
        <v>1|10002|30,</v>
      </c>
    </row>
    <row r="33" ht="15.6" spans="3:9">
      <c r="C33" s="54"/>
      <c r="D33" s="6" t="s">
        <v>41</v>
      </c>
      <c r="E33" s="6">
        <v>12</v>
      </c>
      <c r="F33" s="6">
        <f>_xlfn.XLOOKUP(D33,道具表!$B:$B,道具表!$E:$E)</f>
        <v>100</v>
      </c>
      <c r="G33" s="6">
        <f t="shared" si="4"/>
        <v>1200</v>
      </c>
      <c r="H33" s="6">
        <v>1200</v>
      </c>
      <c r="I33" s="6" t="str">
        <f>_xlfn.XLOOKUP(D33,道具表!$B:$B,道具表!$C:$C)&amp;"|"&amp;_xlfn.XLOOKUP(D33,道具表!$B:$B,道具表!$A:$A)&amp;"|"&amp;E33&amp;","</f>
        <v>1|10001|12,</v>
      </c>
    </row>
    <row r="34" ht="15.6" spans="3:9">
      <c r="C34" s="54"/>
      <c r="D34" s="6" t="s">
        <v>43</v>
      </c>
      <c r="E34" s="6">
        <v>2</v>
      </c>
      <c r="F34" s="6">
        <f>_xlfn.XLOOKUP(D34,道具表!$B:$B,道具表!$E:$E)</f>
        <v>500</v>
      </c>
      <c r="G34" s="6">
        <f t="shared" si="4"/>
        <v>1000</v>
      </c>
      <c r="H34" s="6">
        <v>1200</v>
      </c>
      <c r="I34" s="6" t="str">
        <f>_xlfn.XLOOKUP(D34,道具表!$B:$B,道具表!$C:$C)&amp;"|"&amp;_xlfn.XLOOKUP(D34,道具表!$B:$B,道具表!$A:$A)&amp;"|"&amp;E34&amp;","</f>
        <v>1|10003|2,</v>
      </c>
    </row>
    <row r="35" ht="15.6" spans="3:9">
      <c r="C35" s="54"/>
      <c r="D35" s="6" t="s">
        <v>46</v>
      </c>
      <c r="E35" s="6">
        <v>2400</v>
      </c>
      <c r="F35" s="6">
        <f>_xlfn.XLOOKUP(D35,道具表!$B:$B,道具表!$E:$E)</f>
        <v>0.5</v>
      </c>
      <c r="G35" s="6">
        <f t="shared" si="4"/>
        <v>1200</v>
      </c>
      <c r="H35" s="6">
        <v>1200</v>
      </c>
      <c r="I35" s="6" t="str">
        <f>_xlfn.XLOOKUP(D35,道具表!$B:$B,道具表!$C:$C)&amp;"|"&amp;_xlfn.XLOOKUP(D35,道具表!$B:$B,道具表!$A:$A)&amp;"|"&amp;E35&amp;","</f>
        <v>1|10006|2400,</v>
      </c>
    </row>
    <row r="36" ht="15.6" spans="3:9">
      <c r="C36" s="54"/>
      <c r="D36" s="24" t="s">
        <v>56</v>
      </c>
      <c r="E36" s="6">
        <v>1200</v>
      </c>
      <c r="F36" s="6">
        <f>_xlfn.XLOOKUP(D36,道具表!$B:$B,道具表!$E:$E)</f>
        <v>1</v>
      </c>
      <c r="G36" s="6">
        <f t="shared" si="4"/>
        <v>1200</v>
      </c>
      <c r="H36" s="6">
        <v>1200</v>
      </c>
      <c r="I36" s="6" t="str">
        <f>_xlfn.XLOOKUP(D36,道具表!$B:$B,道具表!$C:$C)&amp;"|"&amp;_xlfn.XLOOKUP(D36,道具表!$B:$B,道具表!$A:$A)&amp;"|"&amp;E36&amp;","</f>
        <v>1|10019|1200,</v>
      </c>
    </row>
    <row r="37" ht="15.6" spans="3:9">
      <c r="C37" s="54"/>
      <c r="D37" s="6" t="s">
        <v>47</v>
      </c>
      <c r="E37" s="6">
        <v>80</v>
      </c>
      <c r="F37" s="6">
        <f>_xlfn.XLOOKUP(D37,道具表!$B:$B,道具表!$E:$E)</f>
        <v>15</v>
      </c>
      <c r="G37" s="6">
        <f t="shared" si="4"/>
        <v>1200</v>
      </c>
      <c r="H37" s="6">
        <v>1200</v>
      </c>
      <c r="I37" s="6" t="str">
        <f>_xlfn.XLOOKUP(D37,道具表!$B:$B,道具表!$C:$C)&amp;"|"&amp;_xlfn.XLOOKUP(D37,道具表!$B:$B,道具表!$A:$A)&amp;"|"&amp;E37&amp;","</f>
        <v>1|10007|80,</v>
      </c>
    </row>
    <row r="38" ht="15.6" spans="3:9">
      <c r="C38" s="54"/>
      <c r="D38" s="6" t="s">
        <v>67</v>
      </c>
      <c r="E38" s="6">
        <v>24</v>
      </c>
      <c r="F38" s="6">
        <f>_xlfn.XLOOKUP(D38,道具表!$B:$B,道具表!$E:$E)</f>
        <v>50</v>
      </c>
      <c r="G38" s="6">
        <f t="shared" si="4"/>
        <v>1200</v>
      </c>
      <c r="H38" s="6">
        <v>200</v>
      </c>
      <c r="I38" s="6" t="str">
        <f>_xlfn.XLOOKUP(D38,道具表!$B:$B,道具表!$C:$C)&amp;"|"&amp;_xlfn.XLOOKUP(D38,道具表!$B:$B,道具表!$A:$A)&amp;"|"&amp;E38&amp;","</f>
        <v>1|10030|24,</v>
      </c>
    </row>
    <row r="41" ht="15.6" spans="3:10">
      <c r="C41" s="54" t="s">
        <v>258</v>
      </c>
      <c r="D41" s="6" t="s">
        <v>322</v>
      </c>
      <c r="E41" s="6" t="s">
        <v>323</v>
      </c>
      <c r="F41" s="6" t="s">
        <v>324</v>
      </c>
      <c r="G41" s="6" t="s">
        <v>325</v>
      </c>
      <c r="H41" s="6" t="s">
        <v>326</v>
      </c>
      <c r="I41" s="6" t="s">
        <v>327</v>
      </c>
      <c r="J41" s="75" t="s">
        <v>328</v>
      </c>
    </row>
    <row r="42" ht="15.6" spans="3:10">
      <c r="C42" s="54" t="s">
        <v>332</v>
      </c>
      <c r="D42" s="6" t="s">
        <v>34</v>
      </c>
      <c r="E42" s="6">
        <v>12</v>
      </c>
      <c r="F42" s="6">
        <f>_xlfn.XLOOKUP(D42,道具表!$B:$B,道具表!$E:$E)</f>
        <v>100</v>
      </c>
      <c r="G42" s="6">
        <f t="shared" ref="G42:G45" si="5">F42*E42</f>
        <v>1200</v>
      </c>
      <c r="H42" s="6">
        <v>1200</v>
      </c>
      <c r="I42" s="6" t="str">
        <f>_xlfn.XLOOKUP(D42,道具表!$B:$B,道具表!$C:$C)&amp;"|"&amp;_xlfn.XLOOKUP(D42,道具表!$B:$B,道具表!$A:$A)&amp;"|"&amp;E42&amp;","</f>
        <v>1|1011|12,</v>
      </c>
      <c r="J42" s="54" t="str">
        <f>LEFT(I42&amp;I43&amp;I44&amp;I45,LEN(I42&amp;I43&amp;I44&amp;I45)-1)</f>
        <v>1|1011|12,1|10005|12,1|10009|12,1|6|12</v>
      </c>
    </row>
    <row r="43" ht="15.6" spans="3:9">
      <c r="C43" s="54"/>
      <c r="D43" s="105" t="s">
        <v>45</v>
      </c>
      <c r="E43" s="6">
        <v>12</v>
      </c>
      <c r="F43" s="6">
        <f>_xlfn.XLOOKUP(D43,道具表!$B:$B,道具表!$E:$E)</f>
        <v>100</v>
      </c>
      <c r="G43" s="6">
        <f t="shared" si="5"/>
        <v>1200</v>
      </c>
      <c r="H43" s="6">
        <v>1200</v>
      </c>
      <c r="I43" s="6" t="str">
        <f>_xlfn.XLOOKUP(D43,道具表!$B:$B,道具表!$C:$C)&amp;"|"&amp;_xlfn.XLOOKUP(D43,道具表!$B:$B,道具表!$A:$A)&amp;"|"&amp;E43&amp;","</f>
        <v>1|10005|12,</v>
      </c>
    </row>
    <row r="44" ht="15.6" spans="3:9">
      <c r="C44" s="54"/>
      <c r="D44" s="24" t="s">
        <v>48</v>
      </c>
      <c r="E44" s="6">
        <v>12</v>
      </c>
      <c r="F44" s="6">
        <f>_xlfn.XLOOKUP(D44,道具表!$B:$B,道具表!$E:$E)</f>
        <v>102</v>
      </c>
      <c r="G44" s="6">
        <f t="shared" si="5"/>
        <v>1224</v>
      </c>
      <c r="H44" s="6">
        <v>1200</v>
      </c>
      <c r="I44" s="6" t="str">
        <f>_xlfn.XLOOKUP(D44,道具表!$B:$B,道具表!$C:$C)&amp;"|"&amp;_xlfn.XLOOKUP(D44,道具表!$B:$B,道具表!$A:$A)&amp;"|"&amp;E44&amp;","</f>
        <v>1|10009|12,</v>
      </c>
    </row>
    <row r="45" ht="15.6" spans="3:9">
      <c r="C45" s="54"/>
      <c r="D45" s="6" t="s">
        <v>10</v>
      </c>
      <c r="E45" s="6">
        <v>12</v>
      </c>
      <c r="F45" s="6">
        <f>_xlfn.XLOOKUP(D45,道具表!$B:$B,道具表!$E:$E)</f>
        <v>100</v>
      </c>
      <c r="G45" s="6">
        <f t="shared" si="5"/>
        <v>1200</v>
      </c>
      <c r="H45" s="6">
        <v>1200</v>
      </c>
      <c r="I45" s="6" t="str">
        <f>_xlfn.XLOOKUP(D45,道具表!$B:$B,道具表!$C:$C)&amp;"|"&amp;_xlfn.XLOOKUP(D45,道具表!$B:$B,道具表!$A:$A)&amp;"|"&amp;E45&amp;","</f>
        <v>1|6|12,</v>
      </c>
    </row>
    <row r="48" ht="15.6" spans="3:10">
      <c r="C48" s="54" t="s">
        <v>259</v>
      </c>
      <c r="D48" s="6" t="s">
        <v>322</v>
      </c>
      <c r="E48" s="6" t="s">
        <v>323</v>
      </c>
      <c r="F48" s="6" t="s">
        <v>324</v>
      </c>
      <c r="G48" s="6" t="s">
        <v>325</v>
      </c>
      <c r="H48" s="6" t="s">
        <v>326</v>
      </c>
      <c r="I48" s="6" t="s">
        <v>327</v>
      </c>
      <c r="J48" s="75" t="s">
        <v>328</v>
      </c>
    </row>
    <row r="49" ht="15.6" spans="3:10">
      <c r="C49" s="54" t="s">
        <v>333</v>
      </c>
      <c r="D49" s="6" t="s">
        <v>34</v>
      </c>
      <c r="E49" s="6">
        <f t="shared" ref="E49:E52" si="6">H49/F49</f>
        <v>35</v>
      </c>
      <c r="F49" s="6">
        <f>_xlfn.XLOOKUP(D49,道具表!$B:$B,道具表!$E:$E)</f>
        <v>100</v>
      </c>
      <c r="G49" s="6">
        <f t="shared" ref="G49:G58" si="7">F49*E49</f>
        <v>3500</v>
      </c>
      <c r="H49" s="6">
        <v>3500</v>
      </c>
      <c r="I49" s="6" t="str">
        <f>_xlfn.XLOOKUP(D49,道具表!$B:$B,道具表!$C:$C)&amp;"|"&amp;_xlfn.XLOOKUP(D49,道具表!$B:$B,道具表!$A:$A)&amp;"|"&amp;E49&amp;","</f>
        <v>1|1011|35,</v>
      </c>
      <c r="J49" s="54" t="str">
        <f>LEFT(I49&amp;I50&amp;I51&amp;I52&amp;I53&amp;I54&amp;I55&amp;I56&amp;I57&amp;I58,LEN(I49&amp;I50&amp;I51&amp;I52&amp;I53&amp;I54&amp;I55&amp;I56&amp;I57&amp;I58)-1)</f>
        <v>1|1011|35,1|10005|35,1|10009|35,1|6|35,8|71|1,8|72|1,8|73|1,8|74|1,8|75|1,8|76|1</v>
      </c>
    </row>
    <row r="50" ht="15.6" spans="3:9">
      <c r="C50" s="54"/>
      <c r="D50" s="105" t="s">
        <v>45</v>
      </c>
      <c r="E50" s="6">
        <f t="shared" si="6"/>
        <v>35</v>
      </c>
      <c r="F50" s="6">
        <f>_xlfn.XLOOKUP(D50,道具表!$B:$B,道具表!$E:$E)</f>
        <v>100</v>
      </c>
      <c r="G50" s="6">
        <f t="shared" si="7"/>
        <v>3500</v>
      </c>
      <c r="H50" s="6">
        <v>3500</v>
      </c>
      <c r="I50" s="6" t="str">
        <f>_xlfn.XLOOKUP(D50,道具表!$B:$B,道具表!$C:$C)&amp;"|"&amp;_xlfn.XLOOKUP(D50,道具表!$B:$B,道具表!$A:$A)&amp;"|"&amp;E50&amp;","</f>
        <v>1|10005|35,</v>
      </c>
    </row>
    <row r="51" ht="15.6" spans="3:9">
      <c r="C51" s="54"/>
      <c r="D51" s="24" t="s">
        <v>48</v>
      </c>
      <c r="E51" s="6">
        <v>35</v>
      </c>
      <c r="F51" s="6">
        <f>_xlfn.XLOOKUP(D51,道具表!$B:$B,道具表!$E:$E)</f>
        <v>102</v>
      </c>
      <c r="G51" s="6">
        <f t="shared" si="7"/>
        <v>3570</v>
      </c>
      <c r="H51" s="6">
        <v>3500</v>
      </c>
      <c r="I51" s="6" t="str">
        <f>_xlfn.XLOOKUP(D51,道具表!$B:$B,道具表!$C:$C)&amp;"|"&amp;_xlfn.XLOOKUP(D51,道具表!$B:$B,道具表!$A:$A)&amp;"|"&amp;E51&amp;","</f>
        <v>1|10009|35,</v>
      </c>
    </row>
    <row r="52" ht="15.6" spans="3:9">
      <c r="C52" s="54"/>
      <c r="D52" s="6" t="s">
        <v>10</v>
      </c>
      <c r="E52" s="6">
        <f t="shared" si="6"/>
        <v>35</v>
      </c>
      <c r="F52" s="6">
        <f>_xlfn.XLOOKUP(D52,道具表!$B:$B,道具表!$E:$E)</f>
        <v>100</v>
      </c>
      <c r="G52" s="6">
        <f t="shared" si="7"/>
        <v>3500</v>
      </c>
      <c r="H52" s="6">
        <v>3500</v>
      </c>
      <c r="I52" s="6" t="str">
        <f>_xlfn.XLOOKUP(D52,道具表!$B:$B,道具表!$C:$C)&amp;"|"&amp;_xlfn.XLOOKUP(D52,道具表!$B:$B,道具表!$A:$A)&amp;"|"&amp;E52&amp;","</f>
        <v>1|6|35,</v>
      </c>
    </row>
    <row r="53" ht="15.6" spans="3:9">
      <c r="C53" s="54"/>
      <c r="D53" s="6" t="s">
        <v>233</v>
      </c>
      <c r="E53" s="6">
        <v>1</v>
      </c>
      <c r="F53" s="6">
        <f>_xlfn.XLOOKUP(D53,道具表!$B:$B,道具表!$E:$E)</f>
        <v>5000</v>
      </c>
      <c r="G53" s="6">
        <f t="shared" si="7"/>
        <v>5000</v>
      </c>
      <c r="H53" s="6">
        <v>3500</v>
      </c>
      <c r="I53" s="6" t="str">
        <f>_xlfn.XLOOKUP(D53,道具表!$B:$B,道具表!$C:$C)&amp;"|"&amp;_xlfn.XLOOKUP(D53,道具表!$B:$B,道具表!$A:$A)&amp;"|"&amp;E53&amp;","</f>
        <v>8|71|1,</v>
      </c>
    </row>
    <row r="54" ht="15.6" spans="3:9">
      <c r="C54" s="54"/>
      <c r="D54" s="24" t="s">
        <v>234</v>
      </c>
      <c r="E54" s="6">
        <v>1</v>
      </c>
      <c r="F54" s="6">
        <f>_xlfn.XLOOKUP(D54,道具表!$B:$B,道具表!$E:$E)</f>
        <v>5000</v>
      </c>
      <c r="G54" s="6">
        <f t="shared" si="7"/>
        <v>5000</v>
      </c>
      <c r="H54" s="6">
        <v>3500</v>
      </c>
      <c r="I54" s="6" t="str">
        <f>_xlfn.XLOOKUP(D54,道具表!$B:$B,道具表!$C:$C)&amp;"|"&amp;_xlfn.XLOOKUP(D54,道具表!$B:$B,道具表!$A:$A)&amp;"|"&amp;E54&amp;","</f>
        <v>8|72|1,</v>
      </c>
    </row>
    <row r="55" ht="15.6" spans="3:9">
      <c r="C55" s="54"/>
      <c r="D55" s="6" t="s">
        <v>235</v>
      </c>
      <c r="E55" s="6">
        <v>1</v>
      </c>
      <c r="F55" s="6">
        <f>_xlfn.XLOOKUP(D55,道具表!$B:$B,道具表!$E:$E)</f>
        <v>5000</v>
      </c>
      <c r="G55" s="6">
        <f t="shared" si="7"/>
        <v>5000</v>
      </c>
      <c r="H55" s="6">
        <v>3500</v>
      </c>
      <c r="I55" s="6" t="str">
        <f>_xlfn.XLOOKUP(D55,道具表!$B:$B,道具表!$C:$C)&amp;"|"&amp;_xlfn.XLOOKUP(D55,道具表!$B:$B,道具表!$A:$A)&amp;"|"&amp;E55&amp;","</f>
        <v>8|73|1,</v>
      </c>
    </row>
    <row r="56" ht="15.6" spans="3:9">
      <c r="C56" s="54"/>
      <c r="D56" s="24" t="s">
        <v>236</v>
      </c>
      <c r="E56" s="6">
        <v>1</v>
      </c>
      <c r="F56" s="6">
        <f>_xlfn.XLOOKUP(D56,道具表!$B:$B,道具表!$E:$E)</f>
        <v>5000</v>
      </c>
      <c r="G56" s="6">
        <f t="shared" si="7"/>
        <v>5000</v>
      </c>
      <c r="H56" s="6">
        <v>3500</v>
      </c>
      <c r="I56" s="6" t="str">
        <f>_xlfn.XLOOKUP(D56,道具表!$B:$B,道具表!$C:$C)&amp;"|"&amp;_xlfn.XLOOKUP(D56,道具表!$B:$B,道具表!$A:$A)&amp;"|"&amp;E56&amp;","</f>
        <v>8|74|1,</v>
      </c>
    </row>
    <row r="57" ht="15.6" spans="3:9">
      <c r="C57" s="54"/>
      <c r="D57" s="6" t="s">
        <v>237</v>
      </c>
      <c r="E57" s="6">
        <v>1</v>
      </c>
      <c r="F57" s="6">
        <f>_xlfn.XLOOKUP(D57,道具表!$B:$B,道具表!$E:$E)</f>
        <v>5000</v>
      </c>
      <c r="G57" s="6">
        <f t="shared" si="7"/>
        <v>5000</v>
      </c>
      <c r="H57" s="6">
        <v>3500</v>
      </c>
      <c r="I57" s="6" t="str">
        <f>_xlfn.XLOOKUP(D57,道具表!$B:$B,道具表!$C:$C)&amp;"|"&amp;_xlfn.XLOOKUP(D57,道具表!$B:$B,道具表!$A:$A)&amp;"|"&amp;E57&amp;","</f>
        <v>8|75|1,</v>
      </c>
    </row>
    <row r="58" ht="15.6" spans="3:9">
      <c r="C58" s="54"/>
      <c r="D58" s="24" t="s">
        <v>238</v>
      </c>
      <c r="E58" s="6">
        <v>1</v>
      </c>
      <c r="F58" s="6">
        <f>_xlfn.XLOOKUP(D58,道具表!$B:$B,道具表!$E:$E)</f>
        <v>5000</v>
      </c>
      <c r="G58" s="6">
        <f t="shared" si="7"/>
        <v>5000</v>
      </c>
      <c r="H58" s="6">
        <v>3500</v>
      </c>
      <c r="I58" s="6" t="str">
        <f>_xlfn.XLOOKUP(D58,道具表!$B:$B,道具表!$C:$C)&amp;"|"&amp;_xlfn.XLOOKUP(D58,道具表!$B:$B,道具表!$A:$A)&amp;"|"&amp;E58&amp;","</f>
        <v>8|76|1,</v>
      </c>
    </row>
    <row r="62" ht="15.6" spans="3:10">
      <c r="C62" s="54" t="s">
        <v>260</v>
      </c>
      <c r="D62" s="6" t="s">
        <v>322</v>
      </c>
      <c r="E62" s="6" t="s">
        <v>323</v>
      </c>
      <c r="F62" s="6" t="s">
        <v>324</v>
      </c>
      <c r="G62" s="6" t="s">
        <v>325</v>
      </c>
      <c r="H62" s="6" t="s">
        <v>326</v>
      </c>
      <c r="I62" s="6" t="s">
        <v>327</v>
      </c>
      <c r="J62" s="75" t="s">
        <v>328</v>
      </c>
    </row>
    <row r="63" ht="15.6" spans="3:10">
      <c r="C63" s="54"/>
      <c r="D63" s="6" t="s">
        <v>167</v>
      </c>
      <c r="E63" s="6">
        <v>1</v>
      </c>
      <c r="F63" s="6">
        <f>_xlfn.XLOOKUP(D63,道具表!$B:$B,道具表!$E:$E)</f>
        <v>19916</v>
      </c>
      <c r="G63" s="6">
        <f t="shared" ref="G63:G67" si="8">F63*E63</f>
        <v>19916</v>
      </c>
      <c r="H63" s="6">
        <v>19916</v>
      </c>
      <c r="I63" s="6" t="str">
        <f>_xlfn.XLOOKUP(D63,道具表!$B:$B,道具表!$C:$C)&amp;"|"&amp;_xlfn.XLOOKUP(D63,道具表!$B:$B,道具表!$A:$A)&amp;"|"&amp;E63&amp;","</f>
        <v>4|501|1,</v>
      </c>
      <c r="J63" s="54" t="str">
        <f>LEFT(I63&amp;I64&amp;I65&amp;I66&amp;I67,LEN(I63&amp;I64&amp;I65&amp;I66&amp;I67)-1)</f>
        <v>4|501|1,4|502|1,4|503|1,4|504|1,4|505|1</v>
      </c>
    </row>
    <row r="64" ht="15.6" spans="3:9">
      <c r="C64" s="54"/>
      <c r="D64" s="6" t="s">
        <v>168</v>
      </c>
      <c r="E64" s="6">
        <v>1</v>
      </c>
      <c r="F64" s="6">
        <f>_xlfn.XLOOKUP(D64,道具表!$B:$B,道具表!$E:$E)</f>
        <v>19916</v>
      </c>
      <c r="G64" s="6">
        <f t="shared" si="8"/>
        <v>19916</v>
      </c>
      <c r="H64" s="6">
        <v>19916</v>
      </c>
      <c r="I64" s="6" t="str">
        <f>_xlfn.XLOOKUP(D64,道具表!$B:$B,道具表!$C:$C)&amp;"|"&amp;_xlfn.XLOOKUP(D64,道具表!$B:$B,道具表!$A:$A)&amp;"|"&amp;E64&amp;","</f>
        <v>4|502|1,</v>
      </c>
    </row>
    <row r="65" ht="15.6" spans="3:9">
      <c r="C65" s="54"/>
      <c r="D65" s="6" t="s">
        <v>169</v>
      </c>
      <c r="E65" s="6">
        <v>1</v>
      </c>
      <c r="F65" s="6">
        <f>_xlfn.XLOOKUP(D65,道具表!$B:$B,道具表!$E:$E)</f>
        <v>19916</v>
      </c>
      <c r="G65" s="6">
        <f t="shared" si="8"/>
        <v>19916</v>
      </c>
      <c r="H65" s="6">
        <v>19916</v>
      </c>
      <c r="I65" s="6" t="str">
        <f>_xlfn.XLOOKUP(D65,道具表!$B:$B,道具表!$C:$C)&amp;"|"&amp;_xlfn.XLOOKUP(D65,道具表!$B:$B,道具表!$A:$A)&amp;"|"&amp;E65&amp;","</f>
        <v>4|503|1,</v>
      </c>
    </row>
    <row r="66" ht="15.6" spans="3:9">
      <c r="C66" s="54"/>
      <c r="D66" s="6" t="s">
        <v>170</v>
      </c>
      <c r="E66" s="6">
        <v>1</v>
      </c>
      <c r="F66" s="6">
        <f>_xlfn.XLOOKUP(D66,道具表!$B:$B,道具表!$E:$E)</f>
        <v>19916</v>
      </c>
      <c r="G66" s="6">
        <f t="shared" si="8"/>
        <v>19916</v>
      </c>
      <c r="H66" s="6">
        <v>19916</v>
      </c>
      <c r="I66" s="6" t="str">
        <f>_xlfn.XLOOKUP(D66,道具表!$B:$B,道具表!$C:$C)&amp;"|"&amp;_xlfn.XLOOKUP(D66,道具表!$B:$B,道具表!$A:$A)&amp;"|"&amp;E66&amp;","</f>
        <v>4|504|1,</v>
      </c>
    </row>
    <row r="67" ht="15.6" spans="3:9">
      <c r="C67" s="54"/>
      <c r="D67" s="24" t="s">
        <v>171</v>
      </c>
      <c r="E67" s="6">
        <v>1</v>
      </c>
      <c r="F67" s="6">
        <f>_xlfn.XLOOKUP(D67,道具表!$B:$B,道具表!$E:$E)</f>
        <v>19916</v>
      </c>
      <c r="G67" s="6">
        <f t="shared" si="8"/>
        <v>19916</v>
      </c>
      <c r="H67" s="6">
        <v>19916</v>
      </c>
      <c r="I67" s="6" t="str">
        <f>_xlfn.XLOOKUP(D67,道具表!$B:$B,道具表!$C:$C)&amp;"|"&amp;_xlfn.XLOOKUP(D67,道具表!$B:$B,道具表!$A:$A)&amp;"|"&amp;E67&amp;","</f>
        <v>4|505|1,</v>
      </c>
    </row>
    <row r="72" ht="15.6" spans="3:10">
      <c r="C72" s="54" t="s">
        <v>261</v>
      </c>
      <c r="D72" s="6" t="s">
        <v>322</v>
      </c>
      <c r="E72" s="6" t="s">
        <v>323</v>
      </c>
      <c r="F72" s="6" t="s">
        <v>324</v>
      </c>
      <c r="G72" s="6" t="s">
        <v>325</v>
      </c>
      <c r="H72" s="6" t="s">
        <v>326</v>
      </c>
      <c r="I72" s="6" t="s">
        <v>327</v>
      </c>
      <c r="J72" s="75" t="s">
        <v>328</v>
      </c>
    </row>
    <row r="73" ht="15.6" spans="3:10">
      <c r="C73" s="54"/>
      <c r="D73" s="6" t="s">
        <v>233</v>
      </c>
      <c r="E73" s="6">
        <v>1</v>
      </c>
      <c r="F73" s="6">
        <f>_xlfn.XLOOKUP(D73,道具表!$B:$B,道具表!$E:$E)</f>
        <v>5000</v>
      </c>
      <c r="G73" s="6">
        <f t="shared" ref="G73:G78" si="9">F73*E73</f>
        <v>5000</v>
      </c>
      <c r="H73" s="6">
        <v>19916</v>
      </c>
      <c r="I73" s="6" t="str">
        <f>_xlfn.XLOOKUP(D73,道具表!$B:$B,道具表!$C:$C)&amp;"|"&amp;_xlfn.XLOOKUP(D73,道具表!$B:$B,道具表!$A:$A)&amp;"|"&amp;E73&amp;","</f>
        <v>8|71|1,</v>
      </c>
      <c r="J73" s="54" t="str">
        <f>LEFT(I73&amp;I74&amp;I75&amp;I76&amp;I77&amp;I78,LEN(I73&amp;I74&amp;I75&amp;I76&amp;I77&amp;I78)-1)</f>
        <v>8|71|1,8|72|1,8|73|1,8|74|1,8|75|1,8|76|1</v>
      </c>
    </row>
    <row r="74" ht="15.6" spans="3:9">
      <c r="C74" s="54"/>
      <c r="D74" s="6" t="s">
        <v>234</v>
      </c>
      <c r="E74" s="6">
        <v>1</v>
      </c>
      <c r="F74" s="6">
        <f>_xlfn.XLOOKUP(D74,道具表!$B:$B,道具表!$E:$E)</f>
        <v>5000</v>
      </c>
      <c r="G74" s="6">
        <f t="shared" si="9"/>
        <v>5000</v>
      </c>
      <c r="H74" s="6">
        <v>19916</v>
      </c>
      <c r="I74" s="6" t="str">
        <f>_xlfn.XLOOKUP(D74,道具表!$B:$B,道具表!$C:$C)&amp;"|"&amp;_xlfn.XLOOKUP(D74,道具表!$B:$B,道具表!$A:$A)&amp;"|"&amp;E74&amp;","</f>
        <v>8|72|1,</v>
      </c>
    </row>
    <row r="75" ht="15.6" spans="3:9">
      <c r="C75" s="54"/>
      <c r="D75" s="6" t="s">
        <v>235</v>
      </c>
      <c r="E75" s="6">
        <v>1</v>
      </c>
      <c r="F75" s="6">
        <f>_xlfn.XLOOKUP(D75,道具表!$B:$B,道具表!$E:$E)</f>
        <v>5000</v>
      </c>
      <c r="G75" s="6">
        <f t="shared" si="9"/>
        <v>5000</v>
      </c>
      <c r="H75" s="6">
        <v>19916</v>
      </c>
      <c r="I75" s="6" t="str">
        <f>_xlfn.XLOOKUP(D75,道具表!$B:$B,道具表!$C:$C)&amp;"|"&amp;_xlfn.XLOOKUP(D75,道具表!$B:$B,道具表!$A:$A)&amp;"|"&amp;E75&amp;","</f>
        <v>8|73|1,</v>
      </c>
    </row>
    <row r="76" ht="15.6" spans="3:9">
      <c r="C76" s="54"/>
      <c r="D76" s="6" t="s">
        <v>236</v>
      </c>
      <c r="E76" s="6">
        <v>1</v>
      </c>
      <c r="F76" s="6">
        <f>_xlfn.XLOOKUP(D76,道具表!$B:$B,道具表!$E:$E)</f>
        <v>5000</v>
      </c>
      <c r="G76" s="6">
        <f t="shared" si="9"/>
        <v>5000</v>
      </c>
      <c r="H76" s="6">
        <v>19916</v>
      </c>
      <c r="I76" s="6" t="str">
        <f>_xlfn.XLOOKUP(D76,道具表!$B:$B,道具表!$C:$C)&amp;"|"&amp;_xlfn.XLOOKUP(D76,道具表!$B:$B,道具表!$A:$A)&amp;"|"&amp;E76&amp;","</f>
        <v>8|74|1,</v>
      </c>
    </row>
    <row r="77" ht="15.6" spans="3:9">
      <c r="C77" s="54"/>
      <c r="D77" s="24" t="s">
        <v>237</v>
      </c>
      <c r="E77" s="6">
        <v>1</v>
      </c>
      <c r="F77" s="6">
        <f>_xlfn.XLOOKUP(D77,道具表!$B:$B,道具表!$E:$E)</f>
        <v>5000</v>
      </c>
      <c r="G77" s="6">
        <f t="shared" si="9"/>
        <v>5000</v>
      </c>
      <c r="H77" s="6">
        <v>19916</v>
      </c>
      <c r="I77" s="6" t="str">
        <f>_xlfn.XLOOKUP(D77,道具表!$B:$B,道具表!$C:$C)&amp;"|"&amp;_xlfn.XLOOKUP(D77,道具表!$B:$B,道具表!$A:$A)&amp;"|"&amp;E77&amp;","</f>
        <v>8|75|1,</v>
      </c>
    </row>
    <row r="78" ht="15.6" spans="3:9">
      <c r="C78" s="54"/>
      <c r="D78" s="24" t="s">
        <v>238</v>
      </c>
      <c r="E78" s="6">
        <v>1</v>
      </c>
      <c r="F78" s="6">
        <f>_xlfn.XLOOKUP(D78,道具表!$B:$B,道具表!$E:$E)</f>
        <v>5000</v>
      </c>
      <c r="G78" s="6">
        <f t="shared" si="9"/>
        <v>5000</v>
      </c>
      <c r="H78" s="6">
        <v>19916</v>
      </c>
      <c r="I78" s="6" t="str">
        <f>_xlfn.XLOOKUP(D78,道具表!$B:$B,道具表!$C:$C)&amp;"|"&amp;_xlfn.XLOOKUP(D78,道具表!$B:$B,道具表!$A:$A)&amp;"|"&amp;E78&amp;","</f>
        <v>8|76|1,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3"/>
  <sheetViews>
    <sheetView workbookViewId="0">
      <selection activeCell="H11" sqref="H11"/>
    </sheetView>
  </sheetViews>
  <sheetFormatPr defaultColWidth="8.88888888888889" defaultRowHeight="14.4"/>
  <cols>
    <col min="3" max="3" width="13.3333333333333" customWidth="1"/>
    <col min="5" max="5" width="15.6666666666667"/>
    <col min="7" max="7" width="10.2222222222222"/>
    <col min="10" max="10" width="9.88888888888889"/>
    <col min="12" max="12" width="12.8888888888889"/>
    <col min="13" max="13" width="9.33333333333333" customWidth="1"/>
    <col min="14" max="14" width="12.8888888888889"/>
    <col min="15" max="15" width="14.1111111111111" customWidth="1"/>
  </cols>
  <sheetData>
    <row r="2" ht="15.6" spans="2:15">
      <c r="B2" t="s">
        <v>1097</v>
      </c>
      <c r="C2" s="7" t="s">
        <v>338</v>
      </c>
      <c r="D2" s="7" t="s">
        <v>815</v>
      </c>
      <c r="E2" s="7" t="s">
        <v>942</v>
      </c>
      <c r="F2" s="7" t="s">
        <v>816</v>
      </c>
      <c r="G2" s="7" t="s">
        <v>943</v>
      </c>
      <c r="H2" s="7" t="s">
        <v>817</v>
      </c>
      <c r="I2" s="7" t="s">
        <v>965</v>
      </c>
      <c r="J2" s="6" t="s">
        <v>339</v>
      </c>
      <c r="K2" s="6" t="s">
        <v>340</v>
      </c>
      <c r="L2" s="6" t="s">
        <v>818</v>
      </c>
      <c r="M2" s="6" t="s">
        <v>341</v>
      </c>
      <c r="N2" s="6" t="s">
        <v>342</v>
      </c>
      <c r="O2" s="10" t="s">
        <v>343</v>
      </c>
    </row>
    <row r="3" ht="15.6" spans="2:15">
      <c r="B3" t="s">
        <v>1098</v>
      </c>
      <c r="C3" s="7" t="s">
        <v>953</v>
      </c>
      <c r="D3" s="7" t="s">
        <v>6</v>
      </c>
      <c r="E3" s="7">
        <v>30</v>
      </c>
      <c r="F3" s="7" t="s">
        <v>9</v>
      </c>
      <c r="G3" s="7">
        <v>20</v>
      </c>
      <c r="H3" s="7" t="s">
        <v>66</v>
      </c>
      <c r="I3" s="7">
        <v>2</v>
      </c>
      <c r="J3" s="6">
        <f>_xlfn.XLOOKUP(D3,道具表!$B:$B,道具表!$E:$E)</f>
        <v>1</v>
      </c>
      <c r="K3" s="6">
        <f>_xlfn.XLOOKUP(F3,道具表!$B:$B,道具表!$E:$E)</f>
        <v>1</v>
      </c>
      <c r="L3" s="6">
        <f>_xlfn.XLOOKUP(H3,道具表!$B:$B,道具表!$E:$E)</f>
        <v>0</v>
      </c>
      <c r="M3" s="6">
        <f>J3*E3+K3*G3+L3*I3</f>
        <v>50</v>
      </c>
      <c r="N3" s="11"/>
      <c r="O3" s="12"/>
    </row>
    <row r="4" customFormat="1" ht="15.6" spans="2:15">
      <c r="B4" t="s">
        <v>1098</v>
      </c>
      <c r="C4" s="7">
        <v>6</v>
      </c>
      <c r="D4" s="36" t="s">
        <v>255</v>
      </c>
      <c r="E4" s="36">
        <v>1</v>
      </c>
      <c r="F4" s="36"/>
      <c r="G4" s="36"/>
      <c r="H4" s="7"/>
      <c r="I4" s="7"/>
      <c r="J4" s="6">
        <f>_xlfn.XLOOKUP(D4,道具表!$B:$B,道具表!$E:$E)</f>
        <v>200</v>
      </c>
      <c r="K4" s="6">
        <f>_xlfn.XLOOKUP(F4,道具表!$B:$B,道具表!$E:$E)</f>
        <v>0</v>
      </c>
      <c r="L4" s="6">
        <f>_xlfn.XLOOKUP(H4,道具表!$B:$B,道具表!$E:$E)</f>
        <v>0</v>
      </c>
      <c r="M4" s="6">
        <f>J4*E4+K4*G4+L4*I4</f>
        <v>200</v>
      </c>
      <c r="N4" s="11">
        <f t="shared" ref="N4:N11" si="0">M4/(C4*10)</f>
        <v>3.33333333333333</v>
      </c>
      <c r="O4" s="12">
        <f t="shared" ref="O4:O11" si="1">10/N4</f>
        <v>3</v>
      </c>
    </row>
    <row r="5" customFormat="1" ht="15.6" spans="2:15">
      <c r="B5" t="s">
        <v>1098</v>
      </c>
      <c r="C5" s="7">
        <v>18</v>
      </c>
      <c r="D5" s="37" t="s">
        <v>6</v>
      </c>
      <c r="E5" s="7">
        <v>180</v>
      </c>
      <c r="F5" s="36" t="s">
        <v>255</v>
      </c>
      <c r="G5" s="36">
        <v>2</v>
      </c>
      <c r="H5" s="7"/>
      <c r="I5" s="7"/>
      <c r="J5" s="6">
        <f>_xlfn.XLOOKUP(D5,道具表!$B:$B,道具表!$E:$E)</f>
        <v>1</v>
      </c>
      <c r="K5" s="6">
        <f>_xlfn.XLOOKUP(F5,道具表!$B:$B,道具表!$E:$E)</f>
        <v>200</v>
      </c>
      <c r="L5" s="6">
        <f>_xlfn.XLOOKUP(H5,道具表!$B:$B,道具表!$E:$E)</f>
        <v>0</v>
      </c>
      <c r="M5" s="6">
        <f t="shared" ref="M4:M11" si="2">J5*E5+K5*G5+L5*I5</f>
        <v>580</v>
      </c>
      <c r="N5" s="11">
        <f t="shared" si="0"/>
        <v>3.22222222222222</v>
      </c>
      <c r="O5" s="12">
        <f t="shared" si="1"/>
        <v>3.10344827586207</v>
      </c>
    </row>
    <row r="6" customFormat="1" ht="15.6" spans="2:15">
      <c r="B6" t="s">
        <v>1098</v>
      </c>
      <c r="C6" s="7">
        <v>30</v>
      </c>
      <c r="D6" s="37" t="s">
        <v>6</v>
      </c>
      <c r="E6" s="7">
        <v>300</v>
      </c>
      <c r="F6" s="36" t="s">
        <v>256</v>
      </c>
      <c r="G6" s="36">
        <v>1</v>
      </c>
      <c r="H6" s="7"/>
      <c r="I6" s="7"/>
      <c r="J6" s="6">
        <f>_xlfn.XLOOKUP(D6,道具表!$B:$B,道具表!$E:$E)</f>
        <v>1</v>
      </c>
      <c r="K6" s="6">
        <f>_xlfn.XLOOKUP(F6,道具表!$B:$B,道具表!$E:$E)</f>
        <v>700</v>
      </c>
      <c r="L6" s="6">
        <f>_xlfn.XLOOKUP(H6,道具表!$B:$B,道具表!$E:$E)</f>
        <v>0</v>
      </c>
      <c r="M6" s="6">
        <f t="shared" si="2"/>
        <v>1000</v>
      </c>
      <c r="N6" s="11">
        <f t="shared" si="0"/>
        <v>3.33333333333333</v>
      </c>
      <c r="O6" s="12">
        <f t="shared" si="1"/>
        <v>3</v>
      </c>
    </row>
    <row r="7" customFormat="1" ht="15.6" spans="2:15">
      <c r="B7" t="s">
        <v>1098</v>
      </c>
      <c r="C7" s="7">
        <v>68</v>
      </c>
      <c r="D7" s="37" t="s">
        <v>6</v>
      </c>
      <c r="E7" s="7">
        <v>680</v>
      </c>
      <c r="F7" s="36" t="s">
        <v>256</v>
      </c>
      <c r="G7" s="36">
        <v>2</v>
      </c>
      <c r="H7" s="7"/>
      <c r="I7" s="7"/>
      <c r="J7" s="6">
        <f>_xlfn.XLOOKUP(D7,道具表!$B:$B,道具表!$E:$E)</f>
        <v>1</v>
      </c>
      <c r="K7" s="6">
        <f>_xlfn.XLOOKUP(F7,道具表!$B:$B,道具表!$E:$E)</f>
        <v>700</v>
      </c>
      <c r="L7" s="6">
        <f>_xlfn.XLOOKUP(H7,道具表!$B:$B,道具表!$E:$E)</f>
        <v>0</v>
      </c>
      <c r="M7" s="6">
        <f t="shared" si="2"/>
        <v>2080</v>
      </c>
      <c r="N7" s="11">
        <f t="shared" si="0"/>
        <v>3.05882352941176</v>
      </c>
      <c r="O7" s="12">
        <f t="shared" si="1"/>
        <v>3.26923076923077</v>
      </c>
    </row>
    <row r="8" customFormat="1" ht="15.6" spans="2:15">
      <c r="B8" t="s">
        <v>1098</v>
      </c>
      <c r="C8" s="7">
        <v>128</v>
      </c>
      <c r="D8" s="37" t="s">
        <v>6</v>
      </c>
      <c r="E8" s="7">
        <v>1280</v>
      </c>
      <c r="F8" s="36" t="s">
        <v>257</v>
      </c>
      <c r="G8" s="36">
        <v>1</v>
      </c>
      <c r="H8" s="7" t="s">
        <v>258</v>
      </c>
      <c r="I8" s="7">
        <v>1</v>
      </c>
      <c r="J8" s="6">
        <f>_xlfn.XLOOKUP(D8,道具表!$B:$B,道具表!$E:$E)</f>
        <v>1</v>
      </c>
      <c r="K8" s="6">
        <f>_xlfn.XLOOKUP(F8,道具表!$B:$B,道具表!$E:$E)</f>
        <v>1200</v>
      </c>
      <c r="L8" s="6">
        <f>_xlfn.XLOOKUP(H8,道具表!$B:$B,道具表!$E:$E)</f>
        <v>1200</v>
      </c>
      <c r="M8" s="6">
        <f t="shared" si="2"/>
        <v>3680</v>
      </c>
      <c r="N8" s="11">
        <f t="shared" si="0"/>
        <v>2.875</v>
      </c>
      <c r="O8" s="12">
        <f t="shared" si="1"/>
        <v>3.47826086956522</v>
      </c>
    </row>
    <row r="9" customFormat="1" ht="15.6" spans="2:15">
      <c r="B9" t="s">
        <v>1098</v>
      </c>
      <c r="C9" s="7">
        <v>198</v>
      </c>
      <c r="D9" s="37" t="s">
        <v>6</v>
      </c>
      <c r="E9" s="7">
        <v>1980</v>
      </c>
      <c r="F9" s="36" t="s">
        <v>257</v>
      </c>
      <c r="G9" s="36">
        <v>1</v>
      </c>
      <c r="H9" s="7" t="s">
        <v>258</v>
      </c>
      <c r="I9" s="7">
        <v>2</v>
      </c>
      <c r="J9" s="6">
        <f>_xlfn.XLOOKUP(D9,道具表!$B:$B,道具表!$E:$E)</f>
        <v>1</v>
      </c>
      <c r="K9" s="6">
        <f>_xlfn.XLOOKUP(F9,道具表!$B:$B,道具表!$E:$E)</f>
        <v>1200</v>
      </c>
      <c r="L9" s="6">
        <f>_xlfn.XLOOKUP(H9,道具表!$B:$B,道具表!$E:$E)</f>
        <v>1200</v>
      </c>
      <c r="M9" s="6">
        <f t="shared" si="2"/>
        <v>5580</v>
      </c>
      <c r="N9" s="11">
        <f t="shared" si="0"/>
        <v>2.81818181818182</v>
      </c>
      <c r="O9" s="12">
        <f t="shared" si="1"/>
        <v>3.54838709677419</v>
      </c>
    </row>
    <row r="10" ht="15.6" spans="2:15">
      <c r="B10" t="s">
        <v>1098</v>
      </c>
      <c r="C10" s="7">
        <v>328</v>
      </c>
      <c r="D10" s="37" t="s">
        <v>6</v>
      </c>
      <c r="E10" s="7">
        <v>3280</v>
      </c>
      <c r="F10" s="36" t="s">
        <v>257</v>
      </c>
      <c r="G10" s="36">
        <v>2</v>
      </c>
      <c r="H10" s="7" t="s">
        <v>259</v>
      </c>
      <c r="I10" s="7">
        <v>1</v>
      </c>
      <c r="J10" s="6">
        <f>_xlfn.XLOOKUP(D10,道具表!$B:$B,道具表!$E:$E)</f>
        <v>1</v>
      </c>
      <c r="K10" s="6">
        <f>_xlfn.XLOOKUP(F10,道具表!$B:$B,道具表!$E:$E)</f>
        <v>1200</v>
      </c>
      <c r="L10" s="6">
        <f>_xlfn.XLOOKUP(H10,道具表!$B:$B,道具表!$E:$E)</f>
        <v>3500</v>
      </c>
      <c r="M10" s="6">
        <f t="shared" si="2"/>
        <v>9180</v>
      </c>
      <c r="N10" s="11">
        <f t="shared" si="0"/>
        <v>2.79878048780488</v>
      </c>
      <c r="O10" s="12">
        <f t="shared" si="1"/>
        <v>3.57298474945534</v>
      </c>
    </row>
    <row r="11" ht="15.6" spans="2:15">
      <c r="B11" t="s">
        <v>1098</v>
      </c>
      <c r="C11" s="7">
        <v>648</v>
      </c>
      <c r="D11" s="37" t="s">
        <v>6</v>
      </c>
      <c r="E11" s="7">
        <v>6480</v>
      </c>
      <c r="F11" s="36" t="s">
        <v>257</v>
      </c>
      <c r="G11" s="36">
        <v>4</v>
      </c>
      <c r="H11" s="7" t="s">
        <v>259</v>
      </c>
      <c r="I11" s="7">
        <v>2</v>
      </c>
      <c r="J11" s="6">
        <f>_xlfn.XLOOKUP(D11,道具表!$B:$B,道具表!$E:$E)</f>
        <v>1</v>
      </c>
      <c r="K11" s="6">
        <f>_xlfn.XLOOKUP(F11,道具表!$B:$B,道具表!$E:$E)</f>
        <v>1200</v>
      </c>
      <c r="L11" s="6">
        <f>_xlfn.XLOOKUP(H11,道具表!$B:$B,道具表!$E:$E)</f>
        <v>3500</v>
      </c>
      <c r="M11" s="6">
        <f t="shared" si="2"/>
        <v>18280</v>
      </c>
      <c r="N11" s="11">
        <f t="shared" si="0"/>
        <v>2.82098765432099</v>
      </c>
      <c r="O11" s="12">
        <f t="shared" si="1"/>
        <v>3.54485776805252</v>
      </c>
    </row>
    <row r="14" ht="15.6" spans="3:10">
      <c r="C14" s="7" t="str">
        <f>C2</f>
        <v>价格</v>
      </c>
      <c r="D14" s="7" t="s">
        <v>815</v>
      </c>
      <c r="E14" s="7" t="str">
        <f>E2</f>
        <v>数量1</v>
      </c>
      <c r="F14" s="7" t="s">
        <v>816</v>
      </c>
      <c r="G14" s="7" t="str">
        <f>G2</f>
        <v>数量2</v>
      </c>
      <c r="H14" s="7" t="s">
        <v>817</v>
      </c>
      <c r="I14" s="7" t="str">
        <f>I2</f>
        <v>数量3</v>
      </c>
      <c r="J14" s="19" t="s">
        <v>327</v>
      </c>
    </row>
    <row r="15" ht="15.6" spans="3:10">
      <c r="C15" s="7" t="str">
        <f>C3</f>
        <v>免费</v>
      </c>
      <c r="D15" s="6" t="str">
        <f>IF(D3="","",(_xlfn.XLOOKUP(D3,道具表!$B:$B,道具表!$C:$C)&amp;"|"&amp;_xlfn.XLOOKUP(D3,道具表!$B:$B,道具表!$A:$A)&amp;"|"))</f>
        <v>1|2|</v>
      </c>
      <c r="E15" s="7" t="str">
        <f>IF(E3="","",E3&amp;",")</f>
        <v>30,</v>
      </c>
      <c r="F15" s="6" t="str">
        <f>IF(F3="","",(_xlfn.XLOOKUP(F3,道具表!$B:$B,道具表!$C:$C)&amp;"|"&amp;_xlfn.XLOOKUP(F3,道具表!$B:$B,道具表!$A:$A)&amp;"|"))</f>
        <v>1|5|</v>
      </c>
      <c r="G15" s="7" t="str">
        <f>IF(G3="","",G3&amp;",")</f>
        <v>20,</v>
      </c>
      <c r="H15" s="6" t="str">
        <f>IF(H3="","",(_xlfn.XLOOKUP(H3,道具表!$B:$B,道具表!$C:$C)&amp;"|"&amp;_xlfn.XLOOKUP(H3,道具表!$B:$B,道具表!$A:$A)&amp;"|"))</f>
        <v>1|10029|</v>
      </c>
      <c r="I15" s="7" t="str">
        <f>IF(I3="","",I3&amp;",")</f>
        <v>2,</v>
      </c>
      <c r="J15" s="19" t="str">
        <f>LEFT(D15&amp;E15&amp;F15&amp;G15&amp;H15&amp;I15,LEN(D15&amp;E15&amp;F15&amp;G15&amp;H15&amp;I15)-1)</f>
        <v>1|2|30,1|5|20,1|10029|2</v>
      </c>
    </row>
    <row r="16" ht="15.6" spans="3:12">
      <c r="C16" s="7">
        <f t="shared" ref="C16:C26" si="3">C4</f>
        <v>6</v>
      </c>
      <c r="D16" s="6" t="str">
        <f>IF(D4="","",(_xlfn.XLOOKUP(D4,道具表!$B:$B,道具表!$C:$C)&amp;"|"&amp;_xlfn.XLOOKUP(D4,道具表!$B:$B,道具表!$A:$A)&amp;"|"))</f>
        <v>10|2001|</v>
      </c>
      <c r="E16" s="7" t="str">
        <f t="shared" ref="E16:E26" si="4">IF(E4="","",E4&amp;",")</f>
        <v>1,</v>
      </c>
      <c r="F16" s="6" t="str">
        <f>IF(F4="","",(_xlfn.XLOOKUP(F4,道具表!$B:$B,道具表!$C:$C)&amp;"|"&amp;_xlfn.XLOOKUP(F4,道具表!$B:$B,道具表!$A:$A)&amp;"|"))</f>
        <v/>
      </c>
      <c r="G16" s="7" t="str">
        <f t="shared" ref="G16:G26" si="5">IF(G4="","",G4&amp;",")</f>
        <v/>
      </c>
      <c r="H16" s="6" t="str">
        <f>IF(H4="","",(_xlfn.XLOOKUP(H4,道具表!$B:$B,道具表!$C:$C)&amp;"|"&amp;_xlfn.XLOOKUP(H4,道具表!$B:$B,道具表!$A:$A)&amp;"|"))</f>
        <v/>
      </c>
      <c r="I16" s="7" t="str">
        <f t="shared" ref="I16:I26" si="6">IF(I4="","",I4&amp;",")</f>
        <v/>
      </c>
      <c r="J16" s="19" t="str">
        <f>LEFT(D16&amp;E16&amp;F16&amp;G16&amp;H16&amp;I16,LEN(D16&amp;E16&amp;F16&amp;G16&amp;H16&amp;I16)-1)</f>
        <v>10|2001|1</v>
      </c>
      <c r="K16">
        <f>_xlfn.XLOOKUP(C16,payconfig!F:F,payconfig!B:B)</f>
        <v>101</v>
      </c>
      <c r="L16" t="str">
        <f>_xlfn.XLOOKUP(C16,payconfig!F:F,payconfig!K:K)</f>
        <v>1|9|10</v>
      </c>
    </row>
    <row r="17" ht="15.6" spans="3:12">
      <c r="C17" s="7">
        <f t="shared" si="3"/>
        <v>18</v>
      </c>
      <c r="D17" s="6" t="str">
        <f>IF(D5="","",(_xlfn.XLOOKUP(D5,道具表!$B:$B,道具表!$C:$C)&amp;"|"&amp;_xlfn.XLOOKUP(D5,道具表!$B:$B,道具表!$A:$A)&amp;"|"))</f>
        <v>1|2|</v>
      </c>
      <c r="E17" s="7" t="str">
        <f t="shared" si="4"/>
        <v>180,</v>
      </c>
      <c r="F17" s="6" t="str">
        <f>IF(F5="","",(_xlfn.XLOOKUP(F5,道具表!$B:$B,道具表!$C:$C)&amp;"|"&amp;_xlfn.XLOOKUP(F5,道具表!$B:$B,道具表!$A:$A)&amp;"|"))</f>
        <v>10|2001|</v>
      </c>
      <c r="G17" s="7" t="str">
        <f t="shared" si="5"/>
        <v>2,</v>
      </c>
      <c r="H17" s="6" t="str">
        <f>IF(H5="","",(_xlfn.XLOOKUP(H5,道具表!$B:$B,道具表!$C:$C)&amp;"|"&amp;_xlfn.XLOOKUP(H5,道具表!$B:$B,道具表!$A:$A)&amp;"|"))</f>
        <v/>
      </c>
      <c r="I17" s="7" t="str">
        <f t="shared" si="6"/>
        <v/>
      </c>
      <c r="J17" s="19" t="str">
        <f t="shared" ref="J16:J26" si="7">LEFT(D17&amp;E17&amp;F17&amp;G17&amp;H17&amp;I17,LEN(D17&amp;E17&amp;F17&amp;G17&amp;H17&amp;I17)-1)</f>
        <v>1|2|180,10|2001|2</v>
      </c>
      <c r="K17">
        <f>_xlfn.XLOOKUP(C17,payconfig!F:F,payconfig!B:B)</f>
        <v>103</v>
      </c>
      <c r="L17" t="str">
        <f>_xlfn.XLOOKUP(C17,payconfig!F:F,payconfig!K:K)</f>
        <v>1|9|30</v>
      </c>
    </row>
    <row r="18" ht="15.6" spans="3:12">
      <c r="C18" s="7">
        <f t="shared" si="3"/>
        <v>30</v>
      </c>
      <c r="D18" s="6" t="str">
        <f>IF(D6="","",(_xlfn.XLOOKUP(D6,道具表!$B:$B,道具表!$C:$C)&amp;"|"&amp;_xlfn.XLOOKUP(D6,道具表!$B:$B,道具表!$A:$A)&amp;"|"))</f>
        <v>1|2|</v>
      </c>
      <c r="E18" s="7" t="str">
        <f t="shared" si="4"/>
        <v>300,</v>
      </c>
      <c r="F18" s="6" t="str">
        <f>IF(F6="","",(_xlfn.XLOOKUP(F6,道具表!$B:$B,道具表!$C:$C)&amp;"|"&amp;_xlfn.XLOOKUP(F6,道具表!$B:$B,道具表!$A:$A)&amp;"|"))</f>
        <v>10|2002|</v>
      </c>
      <c r="G18" s="7" t="str">
        <f t="shared" si="5"/>
        <v>1,</v>
      </c>
      <c r="H18" s="6" t="str">
        <f>IF(H6="","",(_xlfn.XLOOKUP(H6,道具表!$B:$B,道具表!$C:$C)&amp;"|"&amp;_xlfn.XLOOKUP(H6,道具表!$B:$B,道具表!$A:$A)&amp;"|"))</f>
        <v/>
      </c>
      <c r="I18" s="7" t="str">
        <f t="shared" si="6"/>
        <v/>
      </c>
      <c r="J18" s="19" t="str">
        <f t="shared" si="7"/>
        <v>1|2|300,10|2002|1</v>
      </c>
      <c r="K18">
        <f>_xlfn.XLOOKUP(C18,payconfig!F:F,payconfig!B:B)</f>
        <v>104</v>
      </c>
      <c r="L18" t="str">
        <f>_xlfn.XLOOKUP(C18,payconfig!F:F,payconfig!K:K)</f>
        <v>1|9|50</v>
      </c>
    </row>
    <row r="19" ht="15.6" spans="3:12">
      <c r="C19" s="7">
        <f t="shared" si="3"/>
        <v>68</v>
      </c>
      <c r="D19" s="6" t="str">
        <f>IF(D7="","",(_xlfn.XLOOKUP(D7,道具表!$B:$B,道具表!$C:$C)&amp;"|"&amp;_xlfn.XLOOKUP(D7,道具表!$B:$B,道具表!$A:$A)&amp;"|"))</f>
        <v>1|2|</v>
      </c>
      <c r="E19" s="7" t="str">
        <f t="shared" si="4"/>
        <v>680,</v>
      </c>
      <c r="F19" s="6" t="str">
        <f>IF(F7="","",(_xlfn.XLOOKUP(F7,道具表!$B:$B,道具表!$C:$C)&amp;"|"&amp;_xlfn.XLOOKUP(F7,道具表!$B:$B,道具表!$A:$A)&amp;"|"))</f>
        <v>10|2002|</v>
      </c>
      <c r="G19" s="7" t="str">
        <f t="shared" si="5"/>
        <v>2,</v>
      </c>
      <c r="H19" s="6" t="str">
        <f>IF(H7="","",(_xlfn.XLOOKUP(H7,道具表!$B:$B,道具表!$C:$C)&amp;"|"&amp;_xlfn.XLOOKUP(H7,道具表!$B:$B,道具表!$A:$A)&amp;"|"))</f>
        <v/>
      </c>
      <c r="I19" s="7" t="str">
        <f t="shared" si="6"/>
        <v/>
      </c>
      <c r="J19" s="19" t="str">
        <f t="shared" si="7"/>
        <v>1|2|680,10|2002|2</v>
      </c>
      <c r="K19">
        <f>_xlfn.XLOOKUP(C19,payconfig!F:F,payconfig!B:B)</f>
        <v>105</v>
      </c>
      <c r="L19" t="str">
        <f>_xlfn.XLOOKUP(C19,payconfig!F:F,payconfig!K:K)</f>
        <v>1|9|100</v>
      </c>
    </row>
    <row r="20" ht="15.6" spans="3:12">
      <c r="C20" s="7">
        <f t="shared" si="3"/>
        <v>128</v>
      </c>
      <c r="D20" s="6" t="str">
        <f>IF(D8="","",(_xlfn.XLOOKUP(D8,道具表!$B:$B,道具表!$C:$C)&amp;"|"&amp;_xlfn.XLOOKUP(D8,道具表!$B:$B,道具表!$A:$A)&amp;"|"))</f>
        <v>1|2|</v>
      </c>
      <c r="E20" s="7" t="str">
        <f t="shared" si="4"/>
        <v>1280,</v>
      </c>
      <c r="F20" s="6" t="str">
        <f>IF(F8="","",(_xlfn.XLOOKUP(F8,道具表!$B:$B,道具表!$C:$C)&amp;"|"&amp;_xlfn.XLOOKUP(F8,道具表!$B:$B,道具表!$A:$A)&amp;"|"))</f>
        <v>10|2003|</v>
      </c>
      <c r="G20" s="7" t="str">
        <f t="shared" si="5"/>
        <v>1,</v>
      </c>
      <c r="H20" s="6" t="str">
        <f>IF(H8="","",(_xlfn.XLOOKUP(H8,道具表!$B:$B,道具表!$C:$C)&amp;"|"&amp;_xlfn.XLOOKUP(H8,道具表!$B:$B,道具表!$A:$A)&amp;"|"))</f>
        <v>10|2004|</v>
      </c>
      <c r="I20" s="7" t="str">
        <f t="shared" si="6"/>
        <v>1,</v>
      </c>
      <c r="J20" s="19" t="str">
        <f t="shared" si="7"/>
        <v>1|2|1280,10|2003|1,10|2004|1</v>
      </c>
      <c r="K20">
        <f>_xlfn.XLOOKUP(C20,payconfig!F:F,payconfig!B:B)</f>
        <v>107</v>
      </c>
      <c r="L20" t="str">
        <f>_xlfn.XLOOKUP(C20,payconfig!F:F,payconfig!K:K)</f>
        <v>1|9|200</v>
      </c>
    </row>
    <row r="21" ht="15.6" spans="3:12">
      <c r="C21" s="7">
        <f t="shared" si="3"/>
        <v>198</v>
      </c>
      <c r="D21" s="6" t="str">
        <f>IF(D9="","",(_xlfn.XLOOKUP(D9,道具表!$B:$B,道具表!$C:$C)&amp;"|"&amp;_xlfn.XLOOKUP(D9,道具表!$B:$B,道具表!$A:$A)&amp;"|"))</f>
        <v>1|2|</v>
      </c>
      <c r="E21" s="7" t="str">
        <f t="shared" si="4"/>
        <v>1980,</v>
      </c>
      <c r="F21" s="6" t="str">
        <f>IF(F9="","",(_xlfn.XLOOKUP(F9,道具表!$B:$B,道具表!$C:$C)&amp;"|"&amp;_xlfn.XLOOKUP(F9,道具表!$B:$B,道具表!$A:$A)&amp;"|"))</f>
        <v>10|2003|</v>
      </c>
      <c r="G21" s="7" t="str">
        <f t="shared" si="5"/>
        <v>1,</v>
      </c>
      <c r="H21" s="6" t="str">
        <f>IF(H9="","",(_xlfn.XLOOKUP(H9,道具表!$B:$B,道具表!$C:$C)&amp;"|"&amp;_xlfn.XLOOKUP(H9,道具表!$B:$B,道具表!$A:$A)&amp;"|"))</f>
        <v>10|2004|</v>
      </c>
      <c r="I21" s="7" t="str">
        <f t="shared" si="6"/>
        <v>2,</v>
      </c>
      <c r="J21" s="19" t="str">
        <f t="shared" si="7"/>
        <v>1|2|1980,10|2003|1,10|2004|2</v>
      </c>
      <c r="K21">
        <f>_xlfn.XLOOKUP(C21,payconfig!F:F,payconfig!B:B)</f>
        <v>108</v>
      </c>
      <c r="L21" t="str">
        <f>_xlfn.XLOOKUP(C21,payconfig!F:F,payconfig!K:K)</f>
        <v>1|9|305</v>
      </c>
    </row>
    <row r="22" ht="15.6" spans="3:12">
      <c r="C22" s="7">
        <f t="shared" si="3"/>
        <v>328</v>
      </c>
      <c r="D22" s="6" t="str">
        <f>IF(D10="","",(_xlfn.XLOOKUP(D10,道具表!$B:$B,道具表!$C:$C)&amp;"|"&amp;_xlfn.XLOOKUP(D10,道具表!$B:$B,道具表!$A:$A)&amp;"|"))</f>
        <v>1|2|</v>
      </c>
      <c r="E22" s="7" t="str">
        <f t="shared" si="4"/>
        <v>3280,</v>
      </c>
      <c r="F22" s="6" t="str">
        <f>IF(F10="","",(_xlfn.XLOOKUP(F10,道具表!$B:$B,道具表!$C:$C)&amp;"|"&amp;_xlfn.XLOOKUP(F10,道具表!$B:$B,道具表!$A:$A)&amp;"|"))</f>
        <v>10|2003|</v>
      </c>
      <c r="G22" s="7" t="str">
        <f t="shared" si="5"/>
        <v>2,</v>
      </c>
      <c r="H22" s="6" t="str">
        <f>IF(H10="","",(_xlfn.XLOOKUP(H10,道具表!$B:$B,道具表!$C:$C)&amp;"|"&amp;_xlfn.XLOOKUP(H10,道具表!$B:$B,道具表!$A:$A)&amp;"|"))</f>
        <v>10|2005|</v>
      </c>
      <c r="I22" s="7" t="str">
        <f t="shared" si="6"/>
        <v>1,</v>
      </c>
      <c r="J22" s="19" t="str">
        <f t="shared" si="7"/>
        <v>1|2|3280,10|2003|2,10|2005|1</v>
      </c>
      <c r="K22">
        <f>_xlfn.XLOOKUP(C22,payconfig!F:F,payconfig!B:B)</f>
        <v>110</v>
      </c>
      <c r="L22" t="str">
        <f>_xlfn.XLOOKUP(C22,payconfig!F:F,payconfig!K:K)</f>
        <v>1|9|510</v>
      </c>
    </row>
    <row r="23" ht="15.6" spans="3:12">
      <c r="C23" s="7">
        <f t="shared" si="3"/>
        <v>648</v>
      </c>
      <c r="D23" s="6" t="str">
        <f>IF(D11="","",(_xlfn.XLOOKUP(D11,道具表!$B:$B,道具表!$C:$C)&amp;"|"&amp;_xlfn.XLOOKUP(D11,道具表!$B:$B,道具表!$A:$A)&amp;"|"))</f>
        <v>1|2|</v>
      </c>
      <c r="E23" s="7" t="str">
        <f t="shared" si="4"/>
        <v>6480,</v>
      </c>
      <c r="F23" s="6" t="str">
        <f>IF(F11="","",(_xlfn.XLOOKUP(F11,道具表!$B:$B,道具表!$C:$C)&amp;"|"&amp;_xlfn.XLOOKUP(F11,道具表!$B:$B,道具表!$A:$A)&amp;"|"))</f>
        <v>10|2003|</v>
      </c>
      <c r="G23" s="7" t="str">
        <f t="shared" si="5"/>
        <v>4,</v>
      </c>
      <c r="H23" s="6" t="str">
        <f>IF(H11="","",(_xlfn.XLOOKUP(H11,道具表!$B:$B,道具表!$C:$C)&amp;"|"&amp;_xlfn.XLOOKUP(H11,道具表!$B:$B,道具表!$A:$A)&amp;"|"))</f>
        <v>10|2005|</v>
      </c>
      <c r="I23" s="7" t="str">
        <f t="shared" si="6"/>
        <v>2,</v>
      </c>
      <c r="J23" s="19" t="str">
        <f t="shared" si="7"/>
        <v>1|2|6480,10|2003|4,10|2005|2</v>
      </c>
      <c r="K23">
        <f>_xlfn.XLOOKUP(C23,payconfig!F:F,payconfig!B:B)</f>
        <v>111</v>
      </c>
      <c r="L23" t="str">
        <f>_xlfn.XLOOKUP(C23,payconfig!F:F,payconfig!K:K)</f>
        <v>1|9|1010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C38"/>
  <sheetViews>
    <sheetView topLeftCell="F13" workbookViewId="0">
      <selection activeCell="I39" sqref="I39"/>
    </sheetView>
  </sheetViews>
  <sheetFormatPr defaultColWidth="8.88888888888889" defaultRowHeight="14.4"/>
  <cols>
    <col min="4" max="4" width="8.88888888888889" style="16"/>
    <col min="5" max="5" width="10.1111111111111" style="16" customWidth="1"/>
    <col min="6" max="11" width="8.88888888888889" style="16"/>
  </cols>
  <sheetData>
    <row r="1" spans="3:7">
      <c r="C1" s="31" t="s">
        <v>1099</v>
      </c>
      <c r="G1" s="32"/>
    </row>
    <row r="2" spans="12:24">
      <c r="L2">
        <v>0.8</v>
      </c>
      <c r="O2">
        <v>0.7</v>
      </c>
      <c r="R2">
        <v>0.6</v>
      </c>
      <c r="U2">
        <v>0.4</v>
      </c>
      <c r="X2">
        <v>0.3</v>
      </c>
    </row>
    <row r="3" ht="15.6" spans="4:26">
      <c r="D3" s="6"/>
      <c r="E3" s="6" t="s">
        <v>1100</v>
      </c>
      <c r="F3" s="6" t="s">
        <v>1101</v>
      </c>
      <c r="G3" s="6" t="s">
        <v>327</v>
      </c>
      <c r="H3" s="6" t="s">
        <v>324</v>
      </c>
      <c r="I3" s="34" t="s">
        <v>1102</v>
      </c>
      <c r="J3" s="34" t="s">
        <v>342</v>
      </c>
      <c r="K3" s="34" t="s">
        <v>1014</v>
      </c>
      <c r="L3" s="6" t="s">
        <v>1103</v>
      </c>
      <c r="M3" s="6" t="s">
        <v>342</v>
      </c>
      <c r="N3" s="6" t="s">
        <v>1014</v>
      </c>
      <c r="O3" s="34" t="s">
        <v>1104</v>
      </c>
      <c r="P3" s="34" t="s">
        <v>342</v>
      </c>
      <c r="Q3" s="34" t="s">
        <v>1014</v>
      </c>
      <c r="R3" s="6" t="s">
        <v>1105</v>
      </c>
      <c r="S3" s="6" t="s">
        <v>342</v>
      </c>
      <c r="T3" s="6" t="s">
        <v>1014</v>
      </c>
      <c r="U3" s="34" t="s">
        <v>1106</v>
      </c>
      <c r="V3" s="34" t="s">
        <v>342</v>
      </c>
      <c r="W3" s="34" t="s">
        <v>1014</v>
      </c>
      <c r="X3" s="6" t="s">
        <v>1107</v>
      </c>
      <c r="Y3" s="6" t="s">
        <v>342</v>
      </c>
      <c r="Z3" s="6" t="s">
        <v>1014</v>
      </c>
    </row>
    <row r="4" ht="15.6" spans="4:26">
      <c r="D4" s="32" t="s">
        <v>42</v>
      </c>
      <c r="E4" s="6" t="str">
        <f>_xlfn.XLOOKUP(D4,道具表!$B:$B,道具表!$C:$C)&amp;"|"&amp;_xlfn.XLOOKUP(D4,道具表!$B:$B,道具表!$A:$A)&amp;"|"</f>
        <v>1|10002|</v>
      </c>
      <c r="F4" s="32">
        <v>5</v>
      </c>
      <c r="G4" s="32" t="str">
        <f t="shared" ref="G4:G15" si="0">E4&amp;F4</f>
        <v>1|10002|5</v>
      </c>
      <c r="H4" s="6">
        <f>_xlfn.XLOOKUP(D4,道具表!$B:$B,道具表!$E:$E)</f>
        <v>40</v>
      </c>
      <c r="I4" s="35">
        <f>F4*H4</f>
        <v>200</v>
      </c>
      <c r="J4" s="35">
        <v>0</v>
      </c>
      <c r="K4" s="35">
        <v>5000</v>
      </c>
      <c r="L4" s="6">
        <f>$I4*L$2</f>
        <v>160</v>
      </c>
      <c r="M4" s="32">
        <v>8</v>
      </c>
      <c r="N4" s="6">
        <v>4000</v>
      </c>
      <c r="O4" s="34">
        <f>$I4*O$2</f>
        <v>140</v>
      </c>
      <c r="P4" s="34">
        <v>7</v>
      </c>
      <c r="Q4" s="34">
        <v>3000</v>
      </c>
      <c r="R4" s="6">
        <f>$I4*R$2</f>
        <v>120</v>
      </c>
      <c r="S4" s="6">
        <v>6</v>
      </c>
      <c r="T4" s="6">
        <v>2000</v>
      </c>
      <c r="U4" s="34">
        <f>$I4*U$2</f>
        <v>80</v>
      </c>
      <c r="V4" s="34">
        <v>4</v>
      </c>
      <c r="W4" s="34">
        <v>500</v>
      </c>
      <c r="X4" s="6">
        <f>$I4*X$2</f>
        <v>60</v>
      </c>
      <c r="Y4" s="6">
        <v>3</v>
      </c>
      <c r="Z4" s="6">
        <v>1</v>
      </c>
    </row>
    <row r="5" ht="15.6" spans="4:26">
      <c r="D5" s="32" t="s">
        <v>45</v>
      </c>
      <c r="E5" s="6" t="str">
        <f>_xlfn.XLOOKUP(D5,道具表!$B:$B,道具表!$C:$C)&amp;"|"&amp;_xlfn.XLOOKUP(D5,道具表!$B:$B,道具表!$A:$A)&amp;"|"</f>
        <v>1|10005|</v>
      </c>
      <c r="F5" s="32">
        <v>5</v>
      </c>
      <c r="G5" s="32" t="str">
        <f t="shared" si="0"/>
        <v>1|10005|5</v>
      </c>
      <c r="H5" s="6">
        <f>_xlfn.XLOOKUP(D5,道具表!$B:$B,道具表!$E:$E)</f>
        <v>100</v>
      </c>
      <c r="I5" s="35">
        <f t="shared" ref="I5:I11" si="1">F5*H5</f>
        <v>500</v>
      </c>
      <c r="J5" s="35">
        <v>0</v>
      </c>
      <c r="K5" s="35">
        <v>5000</v>
      </c>
      <c r="L5" s="6">
        <f t="shared" ref="L5:L15" si="2">$I5*L$2</f>
        <v>400</v>
      </c>
      <c r="M5" s="32">
        <v>8</v>
      </c>
      <c r="N5" s="6">
        <v>3000</v>
      </c>
      <c r="O5" s="34">
        <f>$I5*O$2</f>
        <v>350</v>
      </c>
      <c r="P5" s="34">
        <v>7</v>
      </c>
      <c r="Q5" s="34">
        <v>1500</v>
      </c>
      <c r="R5" s="6">
        <f>$I5*R$2</f>
        <v>300</v>
      </c>
      <c r="S5" s="32">
        <v>6</v>
      </c>
      <c r="T5" s="6">
        <v>1</v>
      </c>
      <c r="U5" s="34">
        <f>$I5*U$2</f>
        <v>200</v>
      </c>
      <c r="V5" s="34">
        <v>4</v>
      </c>
      <c r="W5" s="34">
        <v>1</v>
      </c>
      <c r="X5" s="6">
        <f>$I5*X$2</f>
        <v>150</v>
      </c>
      <c r="Y5" s="6">
        <v>3</v>
      </c>
      <c r="Z5" s="6">
        <v>1</v>
      </c>
    </row>
    <row r="6" ht="15.6" spans="4:26">
      <c r="D6" s="32" t="s">
        <v>46</v>
      </c>
      <c r="E6" s="6" t="str">
        <f>_xlfn.XLOOKUP(D6,道具表!$B:$B,道具表!$C:$C)&amp;"|"&amp;_xlfn.XLOOKUP(D6,道具表!$B:$B,道具表!$A:$A)&amp;"|"</f>
        <v>1|10006|</v>
      </c>
      <c r="F6" s="32">
        <v>500</v>
      </c>
      <c r="G6" s="32" t="str">
        <f t="shared" si="0"/>
        <v>1|10006|500</v>
      </c>
      <c r="H6" s="6">
        <f>_xlfn.XLOOKUP(D6,道具表!$B:$B,道具表!$E:$E)</f>
        <v>0.5</v>
      </c>
      <c r="I6" s="35">
        <f t="shared" si="1"/>
        <v>250</v>
      </c>
      <c r="J6" s="35">
        <v>0</v>
      </c>
      <c r="K6" s="35">
        <v>5000</v>
      </c>
      <c r="L6" s="6">
        <f t="shared" si="2"/>
        <v>200</v>
      </c>
      <c r="M6" s="32">
        <v>8</v>
      </c>
      <c r="N6" s="6">
        <v>4000</v>
      </c>
      <c r="O6" s="34">
        <f>$I6*O$2</f>
        <v>175</v>
      </c>
      <c r="P6" s="34">
        <v>7</v>
      </c>
      <c r="Q6" s="34">
        <v>3000</v>
      </c>
      <c r="R6" s="6">
        <f>$I6*R$2</f>
        <v>150</v>
      </c>
      <c r="S6" s="6">
        <v>6</v>
      </c>
      <c r="T6" s="6">
        <v>3000</v>
      </c>
      <c r="U6" s="34">
        <f>$I6*U$2</f>
        <v>100</v>
      </c>
      <c r="V6" s="34">
        <v>4</v>
      </c>
      <c r="W6" s="34">
        <v>500</v>
      </c>
      <c r="X6" s="6">
        <f>$I6*X$2</f>
        <v>75</v>
      </c>
      <c r="Y6" s="6">
        <v>3</v>
      </c>
      <c r="Z6" s="6">
        <v>1</v>
      </c>
    </row>
    <row r="7" ht="15.6" spans="4:26">
      <c r="D7" s="32" t="s">
        <v>47</v>
      </c>
      <c r="E7" s="6" t="str">
        <f>_xlfn.XLOOKUP(D7,道具表!$B:$B,道具表!$C:$C)&amp;"|"&amp;_xlfn.XLOOKUP(D7,道具表!$B:$B,道具表!$A:$A)&amp;"|"</f>
        <v>1|10007|</v>
      </c>
      <c r="F7" s="32">
        <v>10</v>
      </c>
      <c r="G7" s="32" t="str">
        <f t="shared" si="0"/>
        <v>1|10007|10</v>
      </c>
      <c r="H7" s="6">
        <f>_xlfn.XLOOKUP(D7,道具表!$B:$B,道具表!$E:$E)</f>
        <v>15</v>
      </c>
      <c r="I7" s="35">
        <f t="shared" si="1"/>
        <v>150</v>
      </c>
      <c r="J7" s="35">
        <v>0</v>
      </c>
      <c r="K7" s="35">
        <v>5000</v>
      </c>
      <c r="L7" s="6">
        <f t="shared" si="2"/>
        <v>120</v>
      </c>
      <c r="M7" s="32">
        <v>8</v>
      </c>
      <c r="N7" s="6">
        <v>4000</v>
      </c>
      <c r="O7" s="34">
        <f>$I7*O$2</f>
        <v>105</v>
      </c>
      <c r="P7" s="34">
        <v>7</v>
      </c>
      <c r="Q7" s="34">
        <v>3000</v>
      </c>
      <c r="R7" s="6">
        <f>$I7*R$2</f>
        <v>90</v>
      </c>
      <c r="S7" s="32">
        <v>6</v>
      </c>
      <c r="T7" s="6">
        <v>3000</v>
      </c>
      <c r="U7" s="34">
        <f>$I7*U$2</f>
        <v>60</v>
      </c>
      <c r="V7" s="34">
        <v>4</v>
      </c>
      <c r="W7" s="34">
        <v>500</v>
      </c>
      <c r="X7" s="6">
        <f>$I7*X$2</f>
        <v>45</v>
      </c>
      <c r="Y7" s="6">
        <v>3</v>
      </c>
      <c r="Z7" s="6">
        <v>1</v>
      </c>
    </row>
    <row r="8" ht="15.6" spans="4:26">
      <c r="D8" s="32" t="s">
        <v>48</v>
      </c>
      <c r="E8" s="6" t="str">
        <f>_xlfn.XLOOKUP(D8,道具表!$B:$B,道具表!$C:$C)&amp;"|"&amp;_xlfn.XLOOKUP(D8,道具表!$B:$B,道具表!$A:$A)&amp;"|"</f>
        <v>1|10009|</v>
      </c>
      <c r="F8" s="32">
        <v>10</v>
      </c>
      <c r="G8" s="32" t="str">
        <f t="shared" si="0"/>
        <v>1|10009|10</v>
      </c>
      <c r="H8" s="6">
        <v>50</v>
      </c>
      <c r="I8" s="35">
        <f t="shared" si="1"/>
        <v>500</v>
      </c>
      <c r="J8" s="35">
        <v>0</v>
      </c>
      <c r="K8" s="35">
        <v>5000</v>
      </c>
      <c r="L8" s="6">
        <f t="shared" si="2"/>
        <v>400</v>
      </c>
      <c r="M8" s="32">
        <v>8</v>
      </c>
      <c r="N8" s="6">
        <v>3000</v>
      </c>
      <c r="O8" s="34">
        <f>$I8*O$2</f>
        <v>350</v>
      </c>
      <c r="P8" s="34">
        <v>7</v>
      </c>
      <c r="Q8" s="34">
        <v>1500</v>
      </c>
      <c r="R8" s="6">
        <f>$I8*R$2</f>
        <v>300</v>
      </c>
      <c r="S8" s="6">
        <v>6</v>
      </c>
      <c r="T8" s="6">
        <v>1</v>
      </c>
      <c r="U8" s="34">
        <f>$I8*U$2</f>
        <v>200</v>
      </c>
      <c r="V8" s="34">
        <v>4</v>
      </c>
      <c r="W8" s="34">
        <v>1</v>
      </c>
      <c r="X8" s="6">
        <f>$I8*X$2</f>
        <v>150</v>
      </c>
      <c r="Y8" s="6">
        <v>3</v>
      </c>
      <c r="Z8" s="6">
        <v>1</v>
      </c>
    </row>
    <row r="9" ht="15.6" spans="4:26">
      <c r="D9" s="32" t="s">
        <v>10</v>
      </c>
      <c r="E9" s="6" t="str">
        <f>_xlfn.XLOOKUP(D9,道具表!$B:$B,道具表!$C:$C)&amp;"|"&amp;_xlfn.XLOOKUP(D9,道具表!$B:$B,道具表!$A:$A)&amp;"|"</f>
        <v>1|6|</v>
      </c>
      <c r="F9" s="32">
        <v>5</v>
      </c>
      <c r="G9" s="32" t="str">
        <f t="shared" si="0"/>
        <v>1|6|5</v>
      </c>
      <c r="H9" s="6">
        <f>_xlfn.XLOOKUP(D9,道具表!$B:$B,道具表!$E:$E)</f>
        <v>100</v>
      </c>
      <c r="I9" s="35">
        <f t="shared" si="1"/>
        <v>500</v>
      </c>
      <c r="J9" s="35">
        <v>0</v>
      </c>
      <c r="K9" s="35">
        <v>5000</v>
      </c>
      <c r="L9" s="6">
        <f t="shared" si="2"/>
        <v>400</v>
      </c>
      <c r="M9" s="32">
        <v>8</v>
      </c>
      <c r="N9" s="6">
        <v>3000</v>
      </c>
      <c r="O9" s="34">
        <f>$I9*O$2</f>
        <v>350</v>
      </c>
      <c r="P9" s="34">
        <v>7</v>
      </c>
      <c r="Q9" s="34">
        <v>1500</v>
      </c>
      <c r="R9" s="6">
        <f>$I9*R$2</f>
        <v>300</v>
      </c>
      <c r="S9" s="32">
        <v>6</v>
      </c>
      <c r="T9" s="6">
        <v>1</v>
      </c>
      <c r="U9" s="34">
        <f>$I9*U$2</f>
        <v>200</v>
      </c>
      <c r="V9" s="34">
        <v>4</v>
      </c>
      <c r="W9" s="34">
        <v>1</v>
      </c>
      <c r="X9" s="6">
        <f>$I9*X$2</f>
        <v>150</v>
      </c>
      <c r="Y9" s="6">
        <v>3</v>
      </c>
      <c r="Z9" s="6">
        <v>1</v>
      </c>
    </row>
    <row r="10" ht="15.6" spans="4:26">
      <c r="D10" s="32" t="s">
        <v>41</v>
      </c>
      <c r="E10" s="6" t="str">
        <f>_xlfn.XLOOKUP(D10,道具表!$B:$B,道具表!$C:$C)&amp;"|"&amp;_xlfn.XLOOKUP(D10,道具表!$B:$B,道具表!$A:$A)&amp;"|"</f>
        <v>1|10001|</v>
      </c>
      <c r="F10" s="32">
        <v>5</v>
      </c>
      <c r="G10" s="32" t="str">
        <f t="shared" si="0"/>
        <v>1|10001|5</v>
      </c>
      <c r="H10" s="6">
        <f>_xlfn.XLOOKUP(D10,道具表!$B:$B,道具表!$E:$E)</f>
        <v>100</v>
      </c>
      <c r="I10" s="35">
        <f t="shared" ref="I10:I15" si="3">F10*H10</f>
        <v>500</v>
      </c>
      <c r="J10" s="35">
        <v>0</v>
      </c>
      <c r="K10" s="35">
        <v>5000</v>
      </c>
      <c r="L10" s="6">
        <f t="shared" si="2"/>
        <v>400</v>
      </c>
      <c r="M10" s="32">
        <v>8</v>
      </c>
      <c r="N10" s="6">
        <v>3000</v>
      </c>
      <c r="O10" s="34">
        <f t="shared" ref="O10:O15" si="4">$I10*O$2</f>
        <v>350</v>
      </c>
      <c r="P10" s="34">
        <v>7</v>
      </c>
      <c r="Q10" s="34">
        <v>2000</v>
      </c>
      <c r="R10" s="6">
        <f t="shared" ref="R10:R15" si="5">$I10*R$2</f>
        <v>300</v>
      </c>
      <c r="S10" s="6">
        <v>6</v>
      </c>
      <c r="T10" s="6">
        <v>500</v>
      </c>
      <c r="U10" s="34">
        <f t="shared" ref="U10:U15" si="6">$I10*U$2</f>
        <v>200</v>
      </c>
      <c r="V10" s="34">
        <v>4</v>
      </c>
      <c r="W10" s="34">
        <v>500</v>
      </c>
      <c r="X10" s="6">
        <f t="shared" ref="X10:X15" si="7">$I10*X$2</f>
        <v>150</v>
      </c>
      <c r="Y10" s="6">
        <v>3</v>
      </c>
      <c r="Z10" s="6">
        <v>1</v>
      </c>
    </row>
    <row r="11" ht="15.6" spans="4:26">
      <c r="D11" s="32" t="s">
        <v>34</v>
      </c>
      <c r="E11" s="6" t="str">
        <f>_xlfn.XLOOKUP(D11,道具表!$B:$B,道具表!$C:$C)&amp;"|"&amp;_xlfn.XLOOKUP(D11,道具表!$B:$B,道具表!$A:$A)&amp;"|"</f>
        <v>1|1011|</v>
      </c>
      <c r="F11" s="32">
        <v>5</v>
      </c>
      <c r="G11" s="32" t="str">
        <f t="shared" si="0"/>
        <v>1|1011|5</v>
      </c>
      <c r="H11" s="6">
        <f>_xlfn.XLOOKUP(D11,道具表!$B:$B,道具表!$E:$E)</f>
        <v>100</v>
      </c>
      <c r="I11" s="35">
        <f t="shared" si="3"/>
        <v>500</v>
      </c>
      <c r="J11" s="35">
        <v>0</v>
      </c>
      <c r="K11" s="35">
        <v>5000</v>
      </c>
      <c r="L11" s="6">
        <f t="shared" si="2"/>
        <v>400</v>
      </c>
      <c r="M11" s="32">
        <v>8</v>
      </c>
      <c r="N11" s="6">
        <v>4000</v>
      </c>
      <c r="O11" s="34">
        <f t="shared" si="4"/>
        <v>350</v>
      </c>
      <c r="P11" s="34">
        <v>7</v>
      </c>
      <c r="Q11" s="34">
        <v>1500</v>
      </c>
      <c r="R11" s="6">
        <f t="shared" si="5"/>
        <v>300</v>
      </c>
      <c r="S11" s="32">
        <v>6</v>
      </c>
      <c r="T11" s="6">
        <v>1</v>
      </c>
      <c r="U11" s="34">
        <f t="shared" si="6"/>
        <v>200</v>
      </c>
      <c r="V11" s="34">
        <v>4</v>
      </c>
      <c r="W11" s="34">
        <v>1</v>
      </c>
      <c r="X11" s="6">
        <f t="shared" si="7"/>
        <v>150</v>
      </c>
      <c r="Y11" s="6">
        <v>3</v>
      </c>
      <c r="Z11" s="6">
        <v>1</v>
      </c>
    </row>
    <row r="12" ht="15.6" spans="4:26">
      <c r="D12" s="32" t="s">
        <v>45</v>
      </c>
      <c r="E12" s="6" t="str">
        <f>_xlfn.XLOOKUP(D12,道具表!$B:$B,道具表!$C:$C)&amp;"|"&amp;_xlfn.XLOOKUP(D12,道具表!$B:$B,道具表!$A:$A)&amp;"|"</f>
        <v>1|10005|</v>
      </c>
      <c r="F12" s="32">
        <v>2</v>
      </c>
      <c r="G12" s="32" t="str">
        <f t="shared" si="0"/>
        <v>1|10005|2</v>
      </c>
      <c r="H12" s="6">
        <f>_xlfn.XLOOKUP(D12,道具表!$B:$B,道具表!$E:$E)</f>
        <v>100</v>
      </c>
      <c r="I12" s="35">
        <f t="shared" si="3"/>
        <v>200</v>
      </c>
      <c r="J12" s="35">
        <v>0</v>
      </c>
      <c r="K12" s="35">
        <v>5000</v>
      </c>
      <c r="L12" s="6">
        <f t="shared" si="2"/>
        <v>160</v>
      </c>
      <c r="M12" s="32">
        <v>8</v>
      </c>
      <c r="N12" s="6">
        <v>4000</v>
      </c>
      <c r="O12" s="34">
        <f t="shared" si="4"/>
        <v>140</v>
      </c>
      <c r="P12" s="34">
        <v>7</v>
      </c>
      <c r="Q12" s="34">
        <v>1500</v>
      </c>
      <c r="R12" s="6">
        <f t="shared" si="5"/>
        <v>120</v>
      </c>
      <c r="S12" s="6">
        <v>6</v>
      </c>
      <c r="T12" s="6">
        <v>1</v>
      </c>
      <c r="U12" s="34">
        <f t="shared" si="6"/>
        <v>80</v>
      </c>
      <c r="V12" s="34">
        <v>4</v>
      </c>
      <c r="W12" s="34">
        <v>1</v>
      </c>
      <c r="X12" s="6">
        <f t="shared" si="7"/>
        <v>60</v>
      </c>
      <c r="Y12" s="6">
        <v>3</v>
      </c>
      <c r="Z12" s="6">
        <v>1</v>
      </c>
    </row>
    <row r="13" ht="15.6" spans="4:26">
      <c r="D13" s="32" t="s">
        <v>48</v>
      </c>
      <c r="E13" s="6" t="str">
        <f>_xlfn.XLOOKUP(D13,道具表!$B:$B,道具表!$C:$C)&amp;"|"&amp;_xlfn.XLOOKUP(D13,道具表!$B:$B,道具表!$A:$A)&amp;"|"</f>
        <v>1|10009|</v>
      </c>
      <c r="F13" s="32">
        <v>5</v>
      </c>
      <c r="G13" s="32" t="str">
        <f t="shared" si="0"/>
        <v>1|10009|5</v>
      </c>
      <c r="H13" s="6">
        <f>_xlfn.XLOOKUP(D13,道具表!$B:$B,道具表!$E:$E)</f>
        <v>102</v>
      </c>
      <c r="I13" s="35">
        <f t="shared" si="3"/>
        <v>510</v>
      </c>
      <c r="J13" s="35">
        <v>0</v>
      </c>
      <c r="K13" s="35">
        <v>5000</v>
      </c>
      <c r="L13" s="6">
        <f t="shared" si="2"/>
        <v>408</v>
      </c>
      <c r="M13" s="32">
        <v>8</v>
      </c>
      <c r="N13" s="6">
        <v>4000</v>
      </c>
      <c r="O13" s="34">
        <v>178</v>
      </c>
      <c r="P13" s="34">
        <v>7</v>
      </c>
      <c r="Q13" s="34">
        <v>1500</v>
      </c>
      <c r="R13" s="6">
        <f t="shared" si="5"/>
        <v>306</v>
      </c>
      <c r="S13" s="32">
        <v>6</v>
      </c>
      <c r="T13" s="6">
        <v>1</v>
      </c>
      <c r="U13" s="34">
        <f t="shared" si="6"/>
        <v>204</v>
      </c>
      <c r="V13" s="34">
        <v>4</v>
      </c>
      <c r="W13" s="34">
        <v>1</v>
      </c>
      <c r="X13" s="6">
        <v>77</v>
      </c>
      <c r="Y13" s="6">
        <v>3</v>
      </c>
      <c r="Z13" s="6">
        <v>1</v>
      </c>
    </row>
    <row r="14" ht="15.6" spans="4:26">
      <c r="D14" s="32" t="s">
        <v>10</v>
      </c>
      <c r="E14" s="6" t="str">
        <f>_xlfn.XLOOKUP(D14,道具表!$B:$B,道具表!$C:$C)&amp;"|"&amp;_xlfn.XLOOKUP(D14,道具表!$B:$B,道具表!$A:$A)&amp;"|"</f>
        <v>1|6|</v>
      </c>
      <c r="F14" s="32">
        <v>2</v>
      </c>
      <c r="G14" s="32" t="str">
        <f t="shared" si="0"/>
        <v>1|6|2</v>
      </c>
      <c r="H14" s="6">
        <f>_xlfn.XLOOKUP(D14,道具表!$B:$B,道具表!$E:$E)</f>
        <v>100</v>
      </c>
      <c r="I14" s="35">
        <f t="shared" si="3"/>
        <v>200</v>
      </c>
      <c r="J14" s="35">
        <v>0</v>
      </c>
      <c r="K14" s="35">
        <v>5000</v>
      </c>
      <c r="L14" s="6">
        <f t="shared" si="2"/>
        <v>160</v>
      </c>
      <c r="M14" s="32">
        <v>8</v>
      </c>
      <c r="N14" s="6">
        <v>4000</v>
      </c>
      <c r="O14" s="34">
        <f t="shared" si="4"/>
        <v>140</v>
      </c>
      <c r="P14" s="34">
        <v>7</v>
      </c>
      <c r="Q14" s="34">
        <v>1500</v>
      </c>
      <c r="R14" s="6">
        <f t="shared" si="5"/>
        <v>120</v>
      </c>
      <c r="S14" s="6">
        <v>6</v>
      </c>
      <c r="T14" s="6">
        <v>1</v>
      </c>
      <c r="U14" s="34">
        <f t="shared" si="6"/>
        <v>80</v>
      </c>
      <c r="V14" s="34">
        <v>4</v>
      </c>
      <c r="W14" s="34">
        <v>1</v>
      </c>
      <c r="X14" s="6">
        <f t="shared" si="7"/>
        <v>60</v>
      </c>
      <c r="Y14" s="6">
        <v>3</v>
      </c>
      <c r="Z14" s="6">
        <v>1</v>
      </c>
    </row>
    <row r="15" ht="15.6" spans="4:26">
      <c r="D15" s="32" t="s">
        <v>34</v>
      </c>
      <c r="E15" s="6" t="str">
        <f>_xlfn.XLOOKUP(D15,道具表!$B:$B,道具表!$C:$C)&amp;"|"&amp;_xlfn.XLOOKUP(D15,道具表!$B:$B,道具表!$A:$A)&amp;"|"</f>
        <v>1|1011|</v>
      </c>
      <c r="F15" s="32">
        <v>2</v>
      </c>
      <c r="G15" s="32" t="str">
        <f t="shared" si="0"/>
        <v>1|1011|2</v>
      </c>
      <c r="H15" s="6">
        <f>_xlfn.XLOOKUP(D15,道具表!$B:$B,道具表!$E:$E)</f>
        <v>100</v>
      </c>
      <c r="I15" s="35">
        <f t="shared" si="3"/>
        <v>200</v>
      </c>
      <c r="J15" s="35">
        <v>0</v>
      </c>
      <c r="K15" s="35">
        <v>5000</v>
      </c>
      <c r="L15" s="6">
        <f t="shared" si="2"/>
        <v>160</v>
      </c>
      <c r="M15" s="32">
        <v>8</v>
      </c>
      <c r="N15" s="6">
        <v>4000</v>
      </c>
      <c r="O15" s="34">
        <f t="shared" si="4"/>
        <v>140</v>
      </c>
      <c r="P15" s="34">
        <v>7</v>
      </c>
      <c r="Q15" s="34">
        <v>1500</v>
      </c>
      <c r="R15" s="6">
        <f t="shared" si="5"/>
        <v>120</v>
      </c>
      <c r="S15" s="32">
        <v>6</v>
      </c>
      <c r="T15" s="6">
        <v>1</v>
      </c>
      <c r="U15" s="34">
        <f t="shared" si="6"/>
        <v>80</v>
      </c>
      <c r="V15" s="34">
        <v>4</v>
      </c>
      <c r="W15" s="34">
        <v>1</v>
      </c>
      <c r="X15" s="6">
        <f t="shared" si="7"/>
        <v>60</v>
      </c>
      <c r="Y15" s="6">
        <v>3</v>
      </c>
      <c r="Z15" s="6">
        <v>1</v>
      </c>
    </row>
    <row r="16" ht="15.6" spans="4:26">
      <c r="D16" s="24" t="s">
        <v>67</v>
      </c>
      <c r="E16" s="6" t="str">
        <f>_xlfn.XLOOKUP(D16,道具表!$B:$B,道具表!$C:$C)&amp;"|"&amp;_xlfn.XLOOKUP(D16,道具表!$B:$B,道具表!$A:$A)&amp;"|"</f>
        <v>1|10030|</v>
      </c>
      <c r="F16" s="33">
        <v>6</v>
      </c>
      <c r="G16" s="32" t="str">
        <f>E16&amp;F16</f>
        <v>1|10030|6</v>
      </c>
      <c r="H16" s="6">
        <f>_xlfn.XLOOKUP(D16,道具表!$B:$B,道具表!$E:$E)</f>
        <v>50</v>
      </c>
      <c r="I16" s="35">
        <f>F16*H16</f>
        <v>300</v>
      </c>
      <c r="J16" s="35">
        <v>0</v>
      </c>
      <c r="K16" s="35">
        <v>5000</v>
      </c>
      <c r="L16" s="6">
        <f>$I16*L$2</f>
        <v>240</v>
      </c>
      <c r="M16" s="32">
        <v>8</v>
      </c>
      <c r="N16" s="6">
        <v>4000</v>
      </c>
      <c r="O16" s="34">
        <f>$I16*O$2</f>
        <v>210</v>
      </c>
      <c r="P16" s="34">
        <v>7</v>
      </c>
      <c r="Q16" s="34">
        <v>2000</v>
      </c>
      <c r="R16" s="6">
        <f>$I16*R$2</f>
        <v>180</v>
      </c>
      <c r="S16" s="6">
        <v>6</v>
      </c>
      <c r="T16" s="6">
        <v>500</v>
      </c>
      <c r="U16" s="34">
        <f>$I16*U$2</f>
        <v>120</v>
      </c>
      <c r="V16" s="34">
        <v>4</v>
      </c>
      <c r="W16" s="34">
        <v>300</v>
      </c>
      <c r="X16" s="6">
        <f>$I16*X$2</f>
        <v>90</v>
      </c>
      <c r="Y16" s="6">
        <v>3</v>
      </c>
      <c r="Z16" s="6">
        <v>1</v>
      </c>
    </row>
    <row r="17" ht="15.6" spans="4:26">
      <c r="D17" s="24" t="s">
        <v>22</v>
      </c>
      <c r="E17" s="6" t="str">
        <f>_xlfn.XLOOKUP(D17,道具表!$B:$B,道具表!$C:$C)&amp;"|"&amp;_xlfn.XLOOKUP(D17,道具表!$B:$B,道具表!$A:$A)&amp;"|"</f>
        <v>1|18|</v>
      </c>
      <c r="F17" s="33">
        <v>10</v>
      </c>
      <c r="G17" s="32" t="str">
        <f>E17&amp;F17</f>
        <v>1|18|10</v>
      </c>
      <c r="H17" s="6">
        <f>_xlfn.XLOOKUP(D17,道具表!$B:$B,道具表!$E:$E)</f>
        <v>20</v>
      </c>
      <c r="I17" s="35">
        <f>F17*H17</f>
        <v>200</v>
      </c>
      <c r="J17" s="35">
        <v>0</v>
      </c>
      <c r="K17" s="35">
        <v>5000</v>
      </c>
      <c r="L17" s="6">
        <f>$I17*L$2</f>
        <v>160</v>
      </c>
      <c r="M17" s="32">
        <v>8</v>
      </c>
      <c r="N17" s="6">
        <v>4000</v>
      </c>
      <c r="O17" s="34">
        <f>$I17*O$2</f>
        <v>140</v>
      </c>
      <c r="P17" s="34">
        <v>7</v>
      </c>
      <c r="Q17" s="34">
        <v>2000</v>
      </c>
      <c r="R17" s="6">
        <f>$I17*R$2</f>
        <v>120</v>
      </c>
      <c r="S17" s="32">
        <v>6</v>
      </c>
      <c r="T17" s="6">
        <v>500</v>
      </c>
      <c r="U17" s="34">
        <f>$I17*U$2</f>
        <v>80</v>
      </c>
      <c r="V17" s="34">
        <v>4</v>
      </c>
      <c r="W17" s="34">
        <v>300</v>
      </c>
      <c r="X17" s="6">
        <f>$I17*X$2</f>
        <v>60</v>
      </c>
      <c r="Y17" s="6">
        <v>3</v>
      </c>
      <c r="Z17" s="6">
        <v>1</v>
      </c>
    </row>
    <row r="18" ht="15.6" spans="4:26">
      <c r="D18" s="24" t="s">
        <v>23</v>
      </c>
      <c r="E18" s="6" t="str">
        <f>_xlfn.XLOOKUP(D18,道具表!$B:$B,道具表!$C:$C)&amp;"|"&amp;_xlfn.XLOOKUP(D18,道具表!$B:$B,道具表!$A:$A)&amp;"|"</f>
        <v>1|19|</v>
      </c>
      <c r="F18" s="33">
        <v>6</v>
      </c>
      <c r="G18" s="32" t="str">
        <f>E18&amp;F18</f>
        <v>1|19|6</v>
      </c>
      <c r="H18" s="6">
        <f>_xlfn.XLOOKUP(D18,道具表!$B:$B,道具表!$E:$E)</f>
        <v>50</v>
      </c>
      <c r="I18" s="35">
        <f>F18*H18</f>
        <v>300</v>
      </c>
      <c r="J18" s="35">
        <v>0</v>
      </c>
      <c r="K18" s="35">
        <v>5000</v>
      </c>
      <c r="L18" s="6">
        <f>$I18*L$2</f>
        <v>240</v>
      </c>
      <c r="M18" s="32">
        <v>8</v>
      </c>
      <c r="N18" s="6">
        <v>4000</v>
      </c>
      <c r="O18" s="34">
        <f>$I18*O$2</f>
        <v>210</v>
      </c>
      <c r="P18" s="34">
        <v>7</v>
      </c>
      <c r="Q18" s="34">
        <v>2000</v>
      </c>
      <c r="R18" s="6">
        <f>$I18*R$2</f>
        <v>180</v>
      </c>
      <c r="S18" s="6">
        <v>6</v>
      </c>
      <c r="T18" s="6">
        <v>500</v>
      </c>
      <c r="U18" s="34">
        <f>$I18*U$2</f>
        <v>120</v>
      </c>
      <c r="V18" s="34">
        <v>4</v>
      </c>
      <c r="W18" s="34">
        <v>300</v>
      </c>
      <c r="X18" s="6">
        <f>$I18*X$2</f>
        <v>90</v>
      </c>
      <c r="Y18" s="6">
        <v>3</v>
      </c>
      <c r="Z18" s="6">
        <v>1</v>
      </c>
    </row>
    <row r="20" s="30" customFormat="1" spans="4:24">
      <c r="D20" s="30" t="s">
        <v>1108</v>
      </c>
      <c r="I20" s="30" t="str">
        <f>$G4&amp;"|"&amp;I4&amp;"|"&amp;J4&amp;"|"&amp;K4&amp;","</f>
        <v>1|10002|5|200|0|5000,</v>
      </c>
      <c r="L20" s="30" t="str">
        <f>$G4&amp;"|"&amp;L4&amp;"|"&amp;M4&amp;"|"&amp;N4&amp;","</f>
        <v>1|10002|5|160|8|4000,</v>
      </c>
      <c r="O20" s="30" t="str">
        <f>$G4&amp;"|"&amp;O4&amp;"|"&amp;P4&amp;"|"&amp;Q4&amp;","</f>
        <v>1|10002|5|140|7|3000,</v>
      </c>
      <c r="R20" s="30" t="str">
        <f>$G4&amp;"|"&amp;R4&amp;"|"&amp;S4&amp;"|"&amp;T4&amp;","</f>
        <v>1|10002|5|120|6|2000,</v>
      </c>
      <c r="U20" s="30" t="str">
        <f>$G4&amp;"|"&amp;U4&amp;"|"&amp;V4&amp;"|"&amp;W4&amp;","</f>
        <v>1|10002|5|80|4|500,</v>
      </c>
      <c r="X20" s="30" t="str">
        <f>$G4&amp;"|"&amp;X4&amp;"|"&amp;Y4&amp;"|"&amp;Z4&amp;","</f>
        <v>1|10002|5|60|3|1,</v>
      </c>
    </row>
    <row r="21" s="30" customFormat="1" spans="4:24">
      <c r="D21" s="30" t="s">
        <v>1109</v>
      </c>
      <c r="I21" s="30" t="str">
        <f t="shared" ref="I21:I31" si="8">$G5&amp;"|"&amp;I5&amp;"|"&amp;J5&amp;"|"&amp;K5&amp;","</f>
        <v>1|10005|5|500|0|5000,</v>
      </c>
      <c r="L21" s="30" t="str">
        <f t="shared" ref="L21:L31" si="9">$G5&amp;"|"&amp;L5&amp;"|"&amp;M5&amp;"|"&amp;N5&amp;","</f>
        <v>1|10005|5|400|8|3000,</v>
      </c>
      <c r="O21" s="30" t="str">
        <f t="shared" ref="O21:O31" si="10">$G5&amp;"|"&amp;O5&amp;"|"&amp;P5&amp;"|"&amp;Q5&amp;","</f>
        <v>1|10005|5|350|7|1500,</v>
      </c>
      <c r="R21" s="30" t="str">
        <f t="shared" ref="R21:R31" si="11">$G5&amp;"|"&amp;R5&amp;"|"&amp;S5&amp;"|"&amp;T5&amp;","</f>
        <v>1|10005|5|300|6|1,</v>
      </c>
      <c r="U21" s="30" t="str">
        <f t="shared" ref="U21:U31" si="12">$G5&amp;"|"&amp;U5&amp;"|"&amp;V5&amp;"|"&amp;W5&amp;","</f>
        <v>1|10005|5|200|4|1,</v>
      </c>
      <c r="X21" s="30" t="str">
        <f t="shared" ref="X21:X31" si="13">$G5&amp;"|"&amp;X5&amp;"|"&amp;Y5&amp;"|"&amp;Z5&amp;","</f>
        <v>1|10005|5|150|3|1,</v>
      </c>
    </row>
    <row r="22" s="30" customFormat="1" spans="9:24">
      <c r="I22" s="30" t="str">
        <f t="shared" si="8"/>
        <v>1|10006|500|250|0|5000,</v>
      </c>
      <c r="L22" s="30" t="str">
        <f t="shared" si="9"/>
        <v>1|10006|500|200|8|4000,</v>
      </c>
      <c r="O22" s="30" t="str">
        <f t="shared" si="10"/>
        <v>1|10006|500|175|7|3000,</v>
      </c>
      <c r="R22" s="30" t="str">
        <f t="shared" si="11"/>
        <v>1|10006|500|150|6|3000,</v>
      </c>
      <c r="U22" s="30" t="str">
        <f t="shared" si="12"/>
        <v>1|10006|500|100|4|500,</v>
      </c>
      <c r="X22" s="30" t="str">
        <f t="shared" si="13"/>
        <v>1|10006|500|75|3|1,</v>
      </c>
    </row>
    <row r="23" s="30" customFormat="1" spans="9:24">
      <c r="I23" s="30" t="str">
        <f t="shared" si="8"/>
        <v>1|10007|10|150|0|5000,</v>
      </c>
      <c r="L23" s="30" t="str">
        <f t="shared" si="9"/>
        <v>1|10007|10|120|8|4000,</v>
      </c>
      <c r="O23" s="30" t="str">
        <f t="shared" si="10"/>
        <v>1|10007|10|105|7|3000,</v>
      </c>
      <c r="R23" s="30" t="str">
        <f t="shared" si="11"/>
        <v>1|10007|10|90|6|3000,</v>
      </c>
      <c r="U23" s="30" t="str">
        <f t="shared" si="12"/>
        <v>1|10007|10|60|4|500,</v>
      </c>
      <c r="X23" s="30" t="str">
        <f t="shared" si="13"/>
        <v>1|10007|10|45|3|1,</v>
      </c>
    </row>
    <row r="24" s="30" customFormat="1" spans="9:29">
      <c r="I24" s="30" t="str">
        <f t="shared" si="8"/>
        <v>1|10009|10|500|0|5000,</v>
      </c>
      <c r="L24" s="30" t="str">
        <f t="shared" si="9"/>
        <v>1|10009|10|400|8|3000,</v>
      </c>
      <c r="O24" s="30" t="str">
        <f t="shared" si="10"/>
        <v>1|10009|10|350|7|1500,</v>
      </c>
      <c r="R24" s="30" t="str">
        <f t="shared" si="11"/>
        <v>1|10009|10|300|6|1,</v>
      </c>
      <c r="U24" s="30" t="str">
        <f t="shared" si="12"/>
        <v>1|10009|10|200|4|1,</v>
      </c>
      <c r="X24" s="30" t="str">
        <f t="shared" si="13"/>
        <v>1|10009|10|150|3|1,</v>
      </c>
      <c r="AC24" s="30" t="s">
        <v>1110</v>
      </c>
    </row>
    <row r="25" s="30" customFormat="1" spans="9:24">
      <c r="I25" s="30" t="str">
        <f t="shared" si="8"/>
        <v>1|6|5|500|0|5000,</v>
      </c>
      <c r="L25" s="30" t="str">
        <f t="shared" si="9"/>
        <v>1|6|5|400|8|3000,</v>
      </c>
      <c r="O25" s="30" t="str">
        <f t="shared" si="10"/>
        <v>1|6|5|350|7|1500,</v>
      </c>
      <c r="R25" s="30" t="str">
        <f t="shared" si="11"/>
        <v>1|6|5|300|6|1,</v>
      </c>
      <c r="U25" s="30" t="str">
        <f t="shared" si="12"/>
        <v>1|6|5|200|4|1,</v>
      </c>
      <c r="X25" s="30" t="str">
        <f t="shared" si="13"/>
        <v>1|6|5|150|3|1,</v>
      </c>
    </row>
    <row r="26" s="30" customFormat="1" spans="9:24">
      <c r="I26" s="30" t="str">
        <f t="shared" si="8"/>
        <v>1|10001|5|500|0|5000,</v>
      </c>
      <c r="L26" s="30" t="str">
        <f t="shared" si="9"/>
        <v>1|10001|5|400|8|3000,</v>
      </c>
      <c r="O26" s="30" t="str">
        <f t="shared" si="10"/>
        <v>1|10001|5|350|7|2000,</v>
      </c>
      <c r="R26" s="30" t="str">
        <f t="shared" si="11"/>
        <v>1|10001|5|300|6|500,</v>
      </c>
      <c r="U26" s="30" t="str">
        <f t="shared" si="12"/>
        <v>1|10001|5|200|4|500,</v>
      </c>
      <c r="X26" s="30" t="str">
        <f t="shared" si="13"/>
        <v>1|10001|5|150|3|1,</v>
      </c>
    </row>
    <row r="27" s="30" customFormat="1" spans="9:24">
      <c r="I27" s="30" t="str">
        <f t="shared" si="8"/>
        <v>1|1011|5|500|0|5000,</v>
      </c>
      <c r="L27" s="30" t="str">
        <f t="shared" si="9"/>
        <v>1|1011|5|400|8|4000,</v>
      </c>
      <c r="O27" s="30" t="str">
        <f t="shared" si="10"/>
        <v>1|1011|5|350|7|1500,</v>
      </c>
      <c r="R27" s="30" t="str">
        <f t="shared" si="11"/>
        <v>1|1011|5|300|6|1,</v>
      </c>
      <c r="U27" s="30" t="str">
        <f t="shared" si="12"/>
        <v>1|1011|5|200|4|1,</v>
      </c>
      <c r="X27" s="30" t="str">
        <f t="shared" si="13"/>
        <v>1|1011|5|150|3|1,</v>
      </c>
    </row>
    <row r="28" s="30" customFormat="1" spans="9:24">
      <c r="I28" s="30" t="str">
        <f t="shared" si="8"/>
        <v>1|10005|2|200|0|5000,</v>
      </c>
      <c r="L28" s="30" t="str">
        <f t="shared" si="9"/>
        <v>1|10005|2|160|8|4000,</v>
      </c>
      <c r="O28" s="30" t="str">
        <f t="shared" si="10"/>
        <v>1|10005|2|140|7|1500,</v>
      </c>
      <c r="R28" s="30" t="str">
        <f t="shared" si="11"/>
        <v>1|10005|2|120|6|1,</v>
      </c>
      <c r="U28" s="30" t="str">
        <f t="shared" si="12"/>
        <v>1|10005|2|80|4|1,</v>
      </c>
      <c r="X28" s="30" t="str">
        <f t="shared" si="13"/>
        <v>1|10005|2|60|3|1,</v>
      </c>
    </row>
    <row r="29" s="30" customFormat="1" spans="9:24">
      <c r="I29" s="30" t="str">
        <f t="shared" si="8"/>
        <v>1|10009|5|510|0|5000,</v>
      </c>
      <c r="L29" s="30" t="str">
        <f t="shared" si="9"/>
        <v>1|10009|5|408|8|4000,</v>
      </c>
      <c r="O29" s="30" t="str">
        <f t="shared" si="10"/>
        <v>1|10009|5|178|7|1500,</v>
      </c>
      <c r="R29" s="30" t="str">
        <f t="shared" si="11"/>
        <v>1|10009|5|306|6|1,</v>
      </c>
      <c r="U29" s="30" t="str">
        <f t="shared" si="12"/>
        <v>1|10009|5|204|4|1,</v>
      </c>
      <c r="X29" s="30" t="str">
        <f t="shared" si="13"/>
        <v>1|10009|5|77|3|1,</v>
      </c>
    </row>
    <row r="30" s="30" customFormat="1" spans="9:24">
      <c r="I30" s="30" t="str">
        <f t="shared" si="8"/>
        <v>1|6|2|200|0|5000,</v>
      </c>
      <c r="L30" s="30" t="str">
        <f t="shared" si="9"/>
        <v>1|6|2|160|8|4000,</v>
      </c>
      <c r="O30" s="30" t="str">
        <f t="shared" si="10"/>
        <v>1|6|2|140|7|1500,</v>
      </c>
      <c r="R30" s="30" t="str">
        <f t="shared" si="11"/>
        <v>1|6|2|120|6|1,</v>
      </c>
      <c r="U30" s="30" t="str">
        <f t="shared" si="12"/>
        <v>1|6|2|80|4|1,</v>
      </c>
      <c r="X30" s="30" t="str">
        <f t="shared" si="13"/>
        <v>1|6|2|60|3|1,</v>
      </c>
    </row>
    <row r="31" s="30" customFormat="1" spans="9:24">
      <c r="I31" s="30" t="str">
        <f>$G15&amp;"|"&amp;I15&amp;"|"&amp;J15&amp;"|"&amp;K15&amp;","</f>
        <v>1|1011|2|200|0|5000,</v>
      </c>
      <c r="L31" s="30" t="str">
        <f t="shared" si="9"/>
        <v>1|1011|2|160|8|4000,</v>
      </c>
      <c r="O31" s="30" t="str">
        <f t="shared" si="10"/>
        <v>1|1011|2|140|7|1500,</v>
      </c>
      <c r="R31" s="30" t="str">
        <f t="shared" si="11"/>
        <v>1|1011|2|120|6|1,</v>
      </c>
      <c r="U31" s="30" t="str">
        <f t="shared" si="12"/>
        <v>1|1011|2|80|4|1,</v>
      </c>
      <c r="X31" s="30" t="str">
        <f t="shared" si="13"/>
        <v>1|1011|2|60|3|1,</v>
      </c>
    </row>
    <row r="32" s="30" customFormat="1" spans="9:24">
      <c r="I32" s="30" t="str">
        <f>$G16&amp;"|"&amp;I16&amp;"|"&amp;J16&amp;"|"&amp;K16&amp;","</f>
        <v>1|10030|6|300|0|5000,</v>
      </c>
      <c r="L32" s="30" t="str">
        <f>$G16&amp;"|"&amp;L16&amp;"|"&amp;M16&amp;"|"&amp;N16&amp;","</f>
        <v>1|10030|6|240|8|4000,</v>
      </c>
      <c r="O32" s="30" t="str">
        <f>$G16&amp;"|"&amp;O16&amp;"|"&amp;P16&amp;"|"&amp;Q16&amp;","</f>
        <v>1|10030|6|210|7|2000,</v>
      </c>
      <c r="R32" s="30" t="str">
        <f>$G16&amp;"|"&amp;R16&amp;"|"&amp;S16&amp;"|"&amp;T16&amp;","</f>
        <v>1|10030|6|180|6|500,</v>
      </c>
      <c r="U32" s="30" t="str">
        <f>$G16&amp;"|"&amp;U16&amp;"|"&amp;V16&amp;"|"&amp;W16&amp;","</f>
        <v>1|10030|6|120|4|300,</v>
      </c>
      <c r="X32" s="30" t="str">
        <f>$G16&amp;"|"&amp;X16&amp;"|"&amp;Y16&amp;"|"&amp;Z16&amp;","</f>
        <v>1|10030|6|90|3|1,</v>
      </c>
    </row>
    <row r="33" s="30" customFormat="1" spans="9:24">
      <c r="I33" s="30" t="str">
        <f>$G17&amp;"|"&amp;I17&amp;"|"&amp;J17&amp;"|"&amp;K17&amp;","</f>
        <v>1|18|10|200|0|5000,</v>
      </c>
      <c r="L33" s="30" t="str">
        <f>$G17&amp;"|"&amp;L17&amp;"|"&amp;M17&amp;"|"&amp;N17&amp;","</f>
        <v>1|18|10|160|8|4000,</v>
      </c>
      <c r="O33" s="30" t="str">
        <f>$G17&amp;"|"&amp;O17&amp;"|"&amp;P17&amp;"|"&amp;Q17&amp;","</f>
        <v>1|18|10|140|7|2000,</v>
      </c>
      <c r="R33" s="30" t="str">
        <f>$G17&amp;"|"&amp;R17&amp;"|"&amp;S17&amp;"|"&amp;T17&amp;","</f>
        <v>1|18|10|120|6|500,</v>
      </c>
      <c r="U33" s="30" t="str">
        <f>$G17&amp;"|"&amp;U17&amp;"|"&amp;V17&amp;"|"&amp;W17&amp;","</f>
        <v>1|18|10|80|4|300,</v>
      </c>
      <c r="X33" s="30" t="str">
        <f>$G17&amp;"|"&amp;X17&amp;"|"&amp;Y17&amp;"|"&amp;Z17&amp;","</f>
        <v>1|18|10|60|3|1,</v>
      </c>
    </row>
    <row r="34" s="30" customFormat="1" spans="9:24">
      <c r="I34" s="30" t="str">
        <f>$G18&amp;"|"&amp;I18&amp;"|"&amp;J18&amp;"|"&amp;K18&amp;","</f>
        <v>1|19|6|300|0|5000,</v>
      </c>
      <c r="L34" s="30" t="str">
        <f>$G18&amp;"|"&amp;L18&amp;"|"&amp;M18&amp;"|"&amp;N18&amp;","</f>
        <v>1|19|6|240|8|4000,</v>
      </c>
      <c r="O34" s="30" t="str">
        <f>$G18&amp;"|"&amp;O18&amp;"|"&amp;P18&amp;"|"&amp;Q18&amp;","</f>
        <v>1|19|6|210|7|2000,</v>
      </c>
      <c r="R34" s="30" t="str">
        <f>$G18&amp;"|"&amp;R18&amp;"|"&amp;S18&amp;"|"&amp;T18&amp;","</f>
        <v>1|19|6|180|6|500,</v>
      </c>
      <c r="U34" s="30" t="str">
        <f>$G18&amp;"|"&amp;U18&amp;"|"&amp;V18&amp;"|"&amp;W18&amp;","</f>
        <v>1|19|6|120|4|300,</v>
      </c>
      <c r="X34" s="30" t="str">
        <f>$G18&amp;"|"&amp;X18&amp;"|"&amp;Y18&amp;"|"&amp;Z18&amp;","</f>
        <v>1|19|6|90|3|1,</v>
      </c>
    </row>
    <row r="35" s="30" customFormat="1"/>
    <row r="36" s="30" customFormat="1" spans="9:24">
      <c r="I36" s="30" t="str">
        <f>I20&amp;I21&amp;I22&amp;I23&amp;I24&amp;I25&amp;I26&amp;I27&amp;I28&amp;I29&amp;I30&amp;I31&amp;I32&amp;I33&amp;I34</f>
        <v>1|10002|5|200|0|5000,1|10005|5|500|0|5000,1|10006|500|250|0|5000,1|10007|10|150|0|5000,1|10009|10|500|0|5000,1|6|5|500|0|5000,1|10001|5|500|0|5000,1|1011|5|500|0|5000,1|10005|2|200|0|5000,1|10009|5|510|0|5000,1|6|2|200|0|5000,1|1011|2|200|0|5000,1|10030|6|300|0|5000,1|18|10|200|0|5000,1|19|6|300|0|5000,</v>
      </c>
      <c r="L36" s="30" t="str">
        <f>L20&amp;L21&amp;L22&amp;L23&amp;L24&amp;L25&amp;L26&amp;L27&amp;L28&amp;L29&amp;L30&amp;L31&amp;L32&amp;L33&amp;L34</f>
        <v>1|10002|5|160|8|4000,1|10005|5|400|8|3000,1|10006|500|200|8|4000,1|10007|10|120|8|4000,1|10009|10|400|8|3000,1|6|5|400|8|3000,1|10001|5|400|8|3000,1|1011|5|400|8|4000,1|10005|2|160|8|4000,1|10009|5|408|8|4000,1|6|2|160|8|4000,1|1011|2|160|8|4000,1|10030|6|240|8|4000,1|18|10|160|8|4000,1|19|6|240|8|4000,</v>
      </c>
      <c r="O36" s="30" t="str">
        <f>O20&amp;O21&amp;O22&amp;O23&amp;O24&amp;O25&amp;O26&amp;O27&amp;O28&amp;O29&amp;O30&amp;O31&amp;O32&amp;O33&amp;O34</f>
        <v>1|10002|5|140|7|3000,1|10005|5|350|7|1500,1|10006|500|175|7|3000,1|10007|10|105|7|3000,1|10009|10|350|7|1500,1|6|5|350|7|1500,1|10001|5|350|7|2000,1|1011|5|350|7|1500,1|10005|2|140|7|1500,1|10009|5|178|7|1500,1|6|2|140|7|1500,1|1011|2|140|7|1500,1|10030|6|210|7|2000,1|18|10|140|7|2000,1|19|6|210|7|2000,</v>
      </c>
      <c r="R36" s="30" t="str">
        <f>R20&amp;R21&amp;R22&amp;R23&amp;R24&amp;R25&amp;R26&amp;R27&amp;R28&amp;R29&amp;R30&amp;R31&amp;R32&amp;R33&amp;R34</f>
        <v>1|10002|5|120|6|2000,1|10005|5|300|6|1,1|10006|500|150|6|3000,1|10007|10|90|6|3000,1|10009|10|300|6|1,1|6|5|300|6|1,1|10001|5|300|6|500,1|1011|5|300|6|1,1|10005|2|120|6|1,1|10009|5|306|6|1,1|6|2|120|6|1,1|1011|2|120|6|1,1|10030|6|180|6|500,1|18|10|120|6|500,1|19|6|180|6|500,</v>
      </c>
      <c r="U36" s="30" t="str">
        <f>U20&amp;U21&amp;U22&amp;U23&amp;U24&amp;U25&amp;U26&amp;U27&amp;U28&amp;U29&amp;U30&amp;U31&amp;U32&amp;U33&amp;U34</f>
        <v>1|10002|5|80|4|500,1|10005|5|200|4|1,1|10006|500|100|4|500,1|10007|10|60|4|500,1|10009|10|200|4|1,1|6|5|200|4|1,1|10001|5|200|4|500,1|1011|5|200|4|1,1|10005|2|80|4|1,1|10009|5|204|4|1,1|6|2|80|4|1,1|1011|2|80|4|1,1|10030|6|120|4|300,1|18|10|80|4|300,1|19|6|120|4|300,</v>
      </c>
      <c r="X36" s="30" t="str">
        <f>X20&amp;X21&amp;X22&amp;X23&amp;X24&amp;X25&amp;X26&amp;X27&amp;X28&amp;X29&amp;X30&amp;X31&amp;X32&amp;X33&amp;X34</f>
        <v>1|10002|5|60|3|1,1|10005|5|150|3|1,1|10006|500|75|3|1,1|10007|10|45|3|1,1|10009|10|150|3|1,1|6|5|150|3|1,1|10001|5|150|3|1,1|1011|5|150|3|1,1|10005|2|60|3|1,1|10009|5|77|3|1,1|6|2|60|3|1,1|1011|2|60|3|1,1|10030|6|90|3|1,1|18|10|60|3|1,1|19|6|90|3|1,</v>
      </c>
    </row>
    <row r="37" s="30" customFormat="1" spans="10:10">
      <c r="J37" s="30" t="s">
        <v>1111</v>
      </c>
    </row>
    <row r="38" s="30" customFormat="1" spans="9:9">
      <c r="I38" s="30" t="str">
        <f>LEFT(I36&amp;L36&amp;O36&amp;R36&amp;U36,LEN(I36&amp;L36&amp;O36&amp;R36&amp;U36)-1)</f>
        <v>1|10002|5|200|0|5000,1|10005|5|500|0|5000,1|10006|500|250|0|5000,1|10007|10|150|0|5000,1|10009|10|500|0|5000,1|6|5|500|0|5000,1|10001|5|500|0|5000,1|1011|5|500|0|5000,1|10005|2|200|0|5000,1|10009|5|510|0|5000,1|6|2|200|0|5000,1|1011|2|200|0|5000,1|10030|6|300|0|5000,1|18|10|200|0|5000,1|19|6|300|0|5000,1|10002|5|160|8|4000,1|10005|5|400|8|3000,1|10006|500|200|8|4000,1|10007|10|120|8|4000,1|10009|10|400|8|3000,1|6|5|400|8|3000,1|10001|5|400|8|3000,1|1011|5|400|8|4000,1|10005|2|160|8|4000,1|10009|5|408|8|4000,1|6|2|160|8|4000,1|1011|2|160|8|4000,1|10030|6|240|8|4000,1|18|10|160|8|4000,1|19|6|240|8|4000,1|10002|5|140|7|3000,1|10005|5|350|7|1500,1|10006|500|175|7|3000,1|10007|10|105|7|3000,1|10009|10|350|7|1500,1|6|5|350|7|1500,1|10001|5|350|7|2000,1|1011|5|350|7|1500,1|10005|2|140|7|1500,1|10009|5|178|7|1500,1|6|2|140|7|1500,1|1011|2|140|7|1500,1|10030|6|210|7|2000,1|18|10|140|7|2000,1|19|6|210|7|2000,1|10002|5|120|6|2000,1|10005|5|300|6|1,1|10006|500|150|6|3000,1|10007|10|90|6|3000,1|10009|10|300|6|1,1|6|5|300|6|1,1|10001|5|300|6|500,1|1011|5|300|6|1,1|10005|2|120|6|1,1|10009|5|306|6|1,1|6|2|120|6|1,1|1011|2|120|6|1,1|10030|6|180|6|500,1|18|10|120|6|500,1|19|6|180|6|500,1|10002|5|80|4|500,1|10005|5|200|4|1,1|10006|500|100|4|500,1|10007|10|60|4|500,1|10009|10|200|4|1,1|6|5|200|4|1,1|10001|5|200|4|500,1|1011|5|200|4|1,1|10005|2|80|4|1,1|10009|5|204|4|1,1|6|2|80|4|1,1|1011|2|80|4|1,1|10030|6|120|4|300,1|18|10|80|4|300,1|19|6|120|4|300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3:J34"/>
  <sheetViews>
    <sheetView topLeftCell="A13" workbookViewId="0">
      <selection activeCell="A35" sqref="$A35:$XFD35"/>
    </sheetView>
  </sheetViews>
  <sheetFormatPr defaultColWidth="8.88888888888889" defaultRowHeight="14.4"/>
  <sheetData>
    <row r="3" spans="7:10">
      <c r="G3" s="7" t="s">
        <v>322</v>
      </c>
      <c r="H3" s="7" t="s">
        <v>323</v>
      </c>
      <c r="I3" s="7" t="s">
        <v>324</v>
      </c>
      <c r="J3" s="7" t="s">
        <v>338</v>
      </c>
    </row>
    <row r="4" ht="15.6" spans="7:10">
      <c r="G4" s="7" t="s">
        <v>47</v>
      </c>
      <c r="H4" s="7">
        <v>10</v>
      </c>
      <c r="I4" s="6">
        <f>_xlfn.XLOOKUP(G4,道具表!$B:$B,道具表!$E:$E)</f>
        <v>15</v>
      </c>
      <c r="J4" s="7">
        <f>I4*H4</f>
        <v>150</v>
      </c>
    </row>
    <row r="5" ht="15.6" spans="7:10">
      <c r="G5" s="7" t="s">
        <v>47</v>
      </c>
      <c r="H5" s="7">
        <v>50</v>
      </c>
      <c r="I5" s="6">
        <f>_xlfn.XLOOKUP(G5,道具表!$B:$B,道具表!$E:$E)</f>
        <v>15</v>
      </c>
      <c r="J5" s="7">
        <f t="shared" ref="J5:J13" si="0">I5*H5</f>
        <v>750</v>
      </c>
    </row>
    <row r="6" ht="15.6" spans="7:10">
      <c r="G6" s="7" t="s">
        <v>47</v>
      </c>
      <c r="H6" s="7">
        <v>100</v>
      </c>
      <c r="I6" s="6">
        <f>_xlfn.XLOOKUP(G6,道具表!$B:$B,道具表!$E:$E)</f>
        <v>15</v>
      </c>
      <c r="J6" s="7">
        <f t="shared" si="0"/>
        <v>1500</v>
      </c>
    </row>
    <row r="7" ht="15.6" spans="7:10">
      <c r="G7" s="7" t="s">
        <v>8</v>
      </c>
      <c r="H7" s="7">
        <v>1</v>
      </c>
      <c r="I7" s="6">
        <f>_xlfn.XLOOKUP(G7,道具表!$B:$B,道具表!$E:$E)</f>
        <v>80</v>
      </c>
      <c r="J7" s="7">
        <f t="shared" si="0"/>
        <v>80</v>
      </c>
    </row>
    <row r="8" ht="15.6" spans="7:10">
      <c r="G8" s="7" t="s">
        <v>56</v>
      </c>
      <c r="H8" s="7">
        <v>30</v>
      </c>
      <c r="I8" s="6">
        <f>_xlfn.XLOOKUP(G8,道具表!$B:$B,道具表!$E:$E)</f>
        <v>1</v>
      </c>
      <c r="J8" s="7">
        <f t="shared" si="0"/>
        <v>30</v>
      </c>
    </row>
    <row r="9" ht="15.6" spans="7:10">
      <c r="G9" s="7" t="s">
        <v>44</v>
      </c>
      <c r="H9" s="7">
        <v>500</v>
      </c>
      <c r="I9" s="6">
        <f>_xlfn.XLOOKUP(G9,道具表!$B:$B,道具表!$E:$E)</f>
        <v>1</v>
      </c>
      <c r="J9" s="7">
        <f t="shared" si="0"/>
        <v>500</v>
      </c>
    </row>
    <row r="10" ht="15.6" spans="7:10">
      <c r="G10" s="7" t="s">
        <v>50</v>
      </c>
      <c r="H10" s="7">
        <v>200</v>
      </c>
      <c r="I10" s="6">
        <f>_xlfn.XLOOKUP(G10,道具表!$B:$B,道具表!$E:$E)</f>
        <v>0.25</v>
      </c>
      <c r="J10" s="7">
        <f t="shared" si="0"/>
        <v>50</v>
      </c>
    </row>
    <row r="11" ht="15.6" spans="7:10">
      <c r="G11" s="7" t="s">
        <v>51</v>
      </c>
      <c r="H11" s="7">
        <v>10</v>
      </c>
      <c r="I11" s="6">
        <f>_xlfn.XLOOKUP(G11,道具表!$B:$B,道具表!$E:$E)</f>
        <v>12</v>
      </c>
      <c r="J11" s="7">
        <f t="shared" si="0"/>
        <v>120</v>
      </c>
    </row>
    <row r="12" ht="15.6" spans="7:10">
      <c r="G12" s="7" t="s">
        <v>52</v>
      </c>
      <c r="H12" s="7">
        <v>10</v>
      </c>
      <c r="I12" s="6">
        <f>_xlfn.XLOOKUP(G12,道具表!$B:$B,道具表!$E:$E)</f>
        <v>12</v>
      </c>
      <c r="J12" s="7">
        <f t="shared" si="0"/>
        <v>120</v>
      </c>
    </row>
    <row r="13" ht="15.6" spans="7:10">
      <c r="G13" s="7" t="s">
        <v>53</v>
      </c>
      <c r="H13" s="7">
        <v>2</v>
      </c>
      <c r="I13" s="6">
        <f>_xlfn.XLOOKUP(G13,道具表!$B:$B,道具表!$E:$E)</f>
        <v>50</v>
      </c>
      <c r="J13" s="7">
        <f t="shared" si="0"/>
        <v>100</v>
      </c>
    </row>
    <row r="14" ht="15.6" spans="7:10">
      <c r="G14" s="29" t="s">
        <v>22</v>
      </c>
      <c r="H14" s="7">
        <v>5</v>
      </c>
      <c r="I14" s="6">
        <f>_xlfn.XLOOKUP(G14,道具表!$B:$B,道具表!$E:$E)</f>
        <v>20</v>
      </c>
      <c r="J14" s="7">
        <f>I14*H14</f>
        <v>100</v>
      </c>
    </row>
    <row r="15" spans="7:10">
      <c r="G15" s="7" t="s">
        <v>66</v>
      </c>
      <c r="H15" s="7">
        <v>2</v>
      </c>
      <c r="I15" s="7">
        <v>50</v>
      </c>
      <c r="J15" s="7">
        <v>100</v>
      </c>
    </row>
    <row r="16" spans="7:10">
      <c r="G16" s="7" t="s">
        <v>66</v>
      </c>
      <c r="H16" s="7">
        <v>10</v>
      </c>
      <c r="I16" s="7">
        <v>50</v>
      </c>
      <c r="J16" s="7">
        <v>500</v>
      </c>
    </row>
    <row r="21" spans="7:10">
      <c r="G21" s="7" t="s">
        <v>953</v>
      </c>
      <c r="H21" s="7" t="str">
        <f>H3</f>
        <v>数量</v>
      </c>
      <c r="I21" s="7" t="s">
        <v>327</v>
      </c>
      <c r="J21" s="7" t="s">
        <v>1112</v>
      </c>
    </row>
    <row r="22" ht="15.6" spans="7:10">
      <c r="G22" s="6" t="str">
        <f>_xlfn.XLOOKUP(G4,道具表!$B:$B,道具表!$C:$C)&amp;"|"&amp;_xlfn.XLOOKUP(G4,道具表!$B:$B,道具表!$A:$A)&amp;"|"</f>
        <v>1|10007|</v>
      </c>
      <c r="H22" s="7">
        <f>H4</f>
        <v>10</v>
      </c>
      <c r="I22" s="7" t="str">
        <f>G22&amp;H22</f>
        <v>1|10007|10</v>
      </c>
      <c r="J22" s="7" t="str">
        <f>"1|2|"&amp;J4</f>
        <v>1|2|150</v>
      </c>
    </row>
    <row r="23" ht="15.6" spans="7:10">
      <c r="G23" s="6" t="str">
        <f>_xlfn.XLOOKUP(G5,道具表!$B:$B,道具表!$C:$C)&amp;"|"&amp;_xlfn.XLOOKUP(G5,道具表!$B:$B,道具表!$A:$A)&amp;"|"</f>
        <v>1|10007|</v>
      </c>
      <c r="H23" s="7">
        <f t="shared" ref="H23:H35" si="1">H5</f>
        <v>50</v>
      </c>
      <c r="I23" s="7" t="str">
        <f t="shared" ref="I23:I35" si="2">G23&amp;H23</f>
        <v>1|10007|50</v>
      </c>
      <c r="J23" s="7" t="str">
        <f t="shared" ref="J23:J35" si="3">"1|2|"&amp;J5</f>
        <v>1|2|750</v>
      </c>
    </row>
    <row r="24" ht="15.6" spans="7:10">
      <c r="G24" s="6" t="str">
        <f>_xlfn.XLOOKUP(G6,道具表!$B:$B,道具表!$C:$C)&amp;"|"&amp;_xlfn.XLOOKUP(G6,道具表!$B:$B,道具表!$A:$A)&amp;"|"</f>
        <v>1|10007|</v>
      </c>
      <c r="H24" s="7">
        <f t="shared" si="1"/>
        <v>100</v>
      </c>
      <c r="I24" s="7" t="str">
        <f t="shared" si="2"/>
        <v>1|10007|100</v>
      </c>
      <c r="J24" s="7" t="str">
        <f t="shared" si="3"/>
        <v>1|2|1500</v>
      </c>
    </row>
    <row r="25" ht="15.6" spans="7:10">
      <c r="G25" s="6" t="str">
        <f>_xlfn.XLOOKUP(G7,道具表!$B:$B,道具表!$C:$C)&amp;"|"&amp;_xlfn.XLOOKUP(G7,道具表!$B:$B,道具表!$A:$A)&amp;"|"</f>
        <v>1|4|</v>
      </c>
      <c r="H25" s="7">
        <f t="shared" si="1"/>
        <v>1</v>
      </c>
      <c r="I25" s="7" t="str">
        <f t="shared" si="2"/>
        <v>1|4|1</v>
      </c>
      <c r="J25" s="7" t="str">
        <f t="shared" si="3"/>
        <v>1|2|80</v>
      </c>
    </row>
    <row r="26" ht="15.6" spans="7:10">
      <c r="G26" s="6" t="str">
        <f>_xlfn.XLOOKUP(G8,道具表!$B:$B,道具表!$C:$C)&amp;"|"&amp;_xlfn.XLOOKUP(G8,道具表!$B:$B,道具表!$A:$A)&amp;"|"</f>
        <v>1|10019|</v>
      </c>
      <c r="H26" s="7">
        <f t="shared" si="1"/>
        <v>30</v>
      </c>
      <c r="I26" s="7" t="str">
        <f t="shared" si="2"/>
        <v>1|10019|30</v>
      </c>
      <c r="J26" s="7" t="str">
        <f t="shared" si="3"/>
        <v>1|2|30</v>
      </c>
    </row>
    <row r="27" ht="15.6" spans="7:10">
      <c r="G27" s="6" t="str">
        <f>_xlfn.XLOOKUP(G9,道具表!$B:$B,道具表!$C:$C)&amp;"|"&amp;_xlfn.XLOOKUP(G9,道具表!$B:$B,道具表!$A:$A)&amp;"|"</f>
        <v>1|10004|</v>
      </c>
      <c r="H27" s="7">
        <f t="shared" si="1"/>
        <v>500</v>
      </c>
      <c r="I27" s="7" t="str">
        <f t="shared" si="2"/>
        <v>1|10004|500</v>
      </c>
      <c r="J27" s="7" t="str">
        <f t="shared" si="3"/>
        <v>1|2|500</v>
      </c>
    </row>
    <row r="28" ht="15.6" spans="7:10">
      <c r="G28" s="6" t="str">
        <f>_xlfn.XLOOKUP(G10,道具表!$B:$B,道具表!$C:$C)&amp;"|"&amp;_xlfn.XLOOKUP(G10,道具表!$B:$B,道具表!$A:$A)&amp;"|"</f>
        <v>1|10011|</v>
      </c>
      <c r="H28" s="7">
        <f t="shared" si="1"/>
        <v>200</v>
      </c>
      <c r="I28" s="7" t="str">
        <f t="shared" si="2"/>
        <v>1|10011|200</v>
      </c>
      <c r="J28" s="7" t="str">
        <f t="shared" si="3"/>
        <v>1|2|50</v>
      </c>
    </row>
    <row r="29" ht="15.6" spans="7:10">
      <c r="G29" s="6" t="str">
        <f>_xlfn.XLOOKUP(G11,道具表!$B:$B,道具表!$C:$C)&amp;"|"&amp;_xlfn.XLOOKUP(G11,道具表!$B:$B,道具表!$A:$A)&amp;"|"</f>
        <v>1|10012|</v>
      </c>
      <c r="H29" s="7">
        <f t="shared" si="1"/>
        <v>10</v>
      </c>
      <c r="I29" s="7" t="str">
        <f t="shared" si="2"/>
        <v>1|10012|10</v>
      </c>
      <c r="J29" s="7" t="str">
        <f t="shared" si="3"/>
        <v>1|2|120</v>
      </c>
    </row>
    <row r="30" ht="15.6" spans="7:10">
      <c r="G30" s="6" t="str">
        <f>_xlfn.XLOOKUP(G12,道具表!$B:$B,道具表!$C:$C)&amp;"|"&amp;_xlfn.XLOOKUP(G12,道具表!$B:$B,道具表!$A:$A)&amp;"|"</f>
        <v>1|10013|</v>
      </c>
      <c r="H30" s="7">
        <f t="shared" si="1"/>
        <v>10</v>
      </c>
      <c r="I30" s="7" t="str">
        <f t="shared" si="2"/>
        <v>1|10013|10</v>
      </c>
      <c r="J30" s="7" t="str">
        <f t="shared" si="3"/>
        <v>1|2|120</v>
      </c>
    </row>
    <row r="31" ht="15.6" spans="7:10">
      <c r="G31" s="6" t="str">
        <f>_xlfn.XLOOKUP(G13,道具表!$B:$B,道具表!$C:$C)&amp;"|"&amp;_xlfn.XLOOKUP(G13,道具表!$B:$B,道具表!$A:$A)&amp;"|"</f>
        <v>1|10014|</v>
      </c>
      <c r="H31" s="7">
        <f t="shared" si="1"/>
        <v>2</v>
      </c>
      <c r="I31" s="7" t="str">
        <f t="shared" si="2"/>
        <v>1|10014|2</v>
      </c>
      <c r="J31" s="7" t="str">
        <f t="shared" si="3"/>
        <v>1|2|100</v>
      </c>
    </row>
    <row r="32" ht="15.6" spans="7:10">
      <c r="G32" s="6" t="str">
        <f>_xlfn.XLOOKUP(G14,道具表!$B:$B,道具表!$C:$C)&amp;"|"&amp;_xlfn.XLOOKUP(G14,道具表!$B:$B,道具表!$A:$A)&amp;"|"</f>
        <v>1|18|</v>
      </c>
      <c r="H32" s="7">
        <f t="shared" si="1"/>
        <v>5</v>
      </c>
      <c r="I32" s="7" t="str">
        <f t="shared" si="2"/>
        <v>1|18|5</v>
      </c>
      <c r="J32" s="7" t="str">
        <f t="shared" si="3"/>
        <v>1|2|100</v>
      </c>
    </row>
    <row r="33" ht="15.6" spans="7:10">
      <c r="G33" s="6" t="str">
        <f>_xlfn.XLOOKUP(G15,道具表!$B:$B,道具表!$C:$C)&amp;"|"&amp;_xlfn.XLOOKUP(G15,道具表!$B:$B,道具表!$A:$A)&amp;"|"</f>
        <v>1|10029|</v>
      </c>
      <c r="H33" s="7">
        <f t="shared" si="1"/>
        <v>2</v>
      </c>
      <c r="I33" s="7" t="str">
        <f t="shared" si="2"/>
        <v>1|10029|2</v>
      </c>
      <c r="J33" s="7" t="str">
        <f t="shared" si="3"/>
        <v>1|2|100</v>
      </c>
    </row>
    <row r="34" ht="15.6" spans="7:10">
      <c r="G34" s="6" t="str">
        <f>_xlfn.XLOOKUP(G16,道具表!$B:$B,道具表!$C:$C)&amp;"|"&amp;_xlfn.XLOOKUP(G16,道具表!$B:$B,道具表!$A:$A)&amp;"|"</f>
        <v>1|10029|</v>
      </c>
      <c r="H34" s="7">
        <f t="shared" si="1"/>
        <v>10</v>
      </c>
      <c r="I34" s="7" t="str">
        <f t="shared" si="2"/>
        <v>1|10029|10</v>
      </c>
      <c r="J34" s="7" t="str">
        <f t="shared" si="3"/>
        <v>1|2|500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4:E8"/>
  <sheetViews>
    <sheetView workbookViewId="0">
      <selection activeCell="H14" sqref="H14"/>
    </sheetView>
  </sheetViews>
  <sheetFormatPr defaultColWidth="8.88888888888889" defaultRowHeight="14.4" outlineLevelRow="7" outlineLevelCol="4"/>
  <cols>
    <col min="5" max="5" width="33.6666666666667" customWidth="1"/>
  </cols>
  <sheetData>
    <row r="4" spans="5:5">
      <c r="E4" t="s">
        <v>1113</v>
      </c>
    </row>
    <row r="5" spans="5:5">
      <c r="E5" s="28" t="s">
        <v>1114</v>
      </c>
    </row>
    <row r="6" spans="5:5">
      <c r="E6" t="s">
        <v>1115</v>
      </c>
    </row>
    <row r="7" spans="5:5">
      <c r="E7" t="s">
        <v>1116</v>
      </c>
    </row>
    <row r="8" spans="5:5">
      <c r="E8" t="s">
        <v>1117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D7"/>
  <sheetViews>
    <sheetView workbookViewId="0">
      <selection activeCell="D6" sqref="D6:D7"/>
    </sheetView>
  </sheetViews>
  <sheetFormatPr defaultColWidth="8.88888888888889" defaultRowHeight="14.4" outlineLevelRow="6" outlineLevelCol="3"/>
  <sheetData>
    <row r="3" spans="4:4">
      <c r="D3" t="s">
        <v>1118</v>
      </c>
    </row>
    <row r="4" spans="4:4">
      <c r="D4" t="s">
        <v>1119</v>
      </c>
    </row>
    <row r="5" spans="4:4">
      <c r="D5" t="s">
        <v>1120</v>
      </c>
    </row>
    <row r="6" spans="4:4">
      <c r="D6" t="s">
        <v>1121</v>
      </c>
    </row>
    <row r="7" spans="4:4">
      <c r="D7" t="s">
        <v>1122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6:J39"/>
  <sheetViews>
    <sheetView topLeftCell="A22" workbookViewId="0">
      <selection activeCell="G31" sqref="G31"/>
    </sheetView>
  </sheetViews>
  <sheetFormatPr defaultColWidth="8.88888888888889" defaultRowHeight="14.4"/>
  <cols>
    <col min="8" max="8" width="12.8888888888889"/>
    <col min="12" max="14" width="12.8888888888889"/>
    <col min="17" max="17" width="12.8888888888889"/>
  </cols>
  <sheetData>
    <row r="6" spans="6:10">
      <c r="F6" s="7">
        <v>3</v>
      </c>
      <c r="G6" s="7" t="s">
        <v>322</v>
      </c>
      <c r="H6" s="7" t="s">
        <v>323</v>
      </c>
      <c r="I6" s="7" t="s">
        <v>324</v>
      </c>
      <c r="J6" s="7" t="s">
        <v>375</v>
      </c>
    </row>
    <row r="7" ht="15" spans="6:10">
      <c r="F7" s="7"/>
      <c r="G7" s="24" t="s">
        <v>6</v>
      </c>
      <c r="H7" s="7">
        <v>80</v>
      </c>
      <c r="I7" s="7">
        <v>1</v>
      </c>
      <c r="J7" s="24">
        <f>H7*I7</f>
        <v>80</v>
      </c>
    </row>
    <row r="8" ht="15" spans="6:10">
      <c r="F8" s="7"/>
      <c r="G8" s="25" t="s">
        <v>9</v>
      </c>
      <c r="H8" s="25">
        <v>200</v>
      </c>
      <c r="I8" s="25">
        <v>1</v>
      </c>
      <c r="J8" s="27">
        <f t="shared" ref="J8:J13" si="0">H8*I8</f>
        <v>200</v>
      </c>
    </row>
    <row r="9" ht="15" spans="6:10">
      <c r="F9" s="7"/>
      <c r="G9" s="24" t="s">
        <v>42</v>
      </c>
      <c r="H9" s="7">
        <v>3</v>
      </c>
      <c r="I9" s="7">
        <v>40</v>
      </c>
      <c r="J9" s="24">
        <f t="shared" si="0"/>
        <v>120</v>
      </c>
    </row>
    <row r="10" ht="15" spans="6:10">
      <c r="F10" s="7"/>
      <c r="G10" s="24" t="s">
        <v>48</v>
      </c>
      <c r="H10" s="7">
        <v>4</v>
      </c>
      <c r="I10" s="7">
        <v>30</v>
      </c>
      <c r="J10" s="24">
        <f t="shared" si="0"/>
        <v>120</v>
      </c>
    </row>
    <row r="11" ht="15" spans="6:10">
      <c r="F11" s="7"/>
      <c r="G11" s="24" t="s">
        <v>46</v>
      </c>
      <c r="H11" s="7">
        <v>200</v>
      </c>
      <c r="I11" s="7">
        <v>0.5</v>
      </c>
      <c r="J11" s="24">
        <f t="shared" si="0"/>
        <v>100</v>
      </c>
    </row>
    <row r="12" ht="15" spans="6:10">
      <c r="F12" s="7"/>
      <c r="G12" s="24" t="s">
        <v>47</v>
      </c>
      <c r="H12" s="7">
        <v>10</v>
      </c>
      <c r="I12" s="7">
        <v>15</v>
      </c>
      <c r="J12" s="24">
        <f t="shared" si="0"/>
        <v>150</v>
      </c>
    </row>
    <row r="13" ht="15" spans="6:10">
      <c r="F13" s="7"/>
      <c r="G13" s="26" t="s">
        <v>34</v>
      </c>
      <c r="H13" s="7">
        <v>2</v>
      </c>
      <c r="I13" s="7">
        <v>60</v>
      </c>
      <c r="J13" s="24">
        <f t="shared" si="0"/>
        <v>120</v>
      </c>
    </row>
    <row r="15" spans="6:10">
      <c r="F15" s="7" t="s">
        <v>1123</v>
      </c>
      <c r="G15" s="7" t="s">
        <v>322</v>
      </c>
      <c r="H15" s="7" t="s">
        <v>323</v>
      </c>
      <c r="I15" s="7" t="s">
        <v>324</v>
      </c>
      <c r="J15" s="7" t="s">
        <v>375</v>
      </c>
    </row>
    <row r="16" ht="15" spans="6:10">
      <c r="F16" s="7"/>
      <c r="G16" s="24" t="s">
        <v>6</v>
      </c>
      <c r="H16" s="7">
        <v>200</v>
      </c>
      <c r="I16" s="7">
        <v>1</v>
      </c>
      <c r="J16" s="24">
        <f t="shared" ref="J16:J21" si="1">H16*I16</f>
        <v>200</v>
      </c>
    </row>
    <row r="17" ht="15" spans="6:10">
      <c r="F17" s="7"/>
      <c r="G17" s="24" t="s">
        <v>48</v>
      </c>
      <c r="H17" s="7">
        <v>8</v>
      </c>
      <c r="I17" s="7">
        <v>30</v>
      </c>
      <c r="J17" s="24">
        <f t="shared" si="1"/>
        <v>240</v>
      </c>
    </row>
    <row r="18" ht="15" spans="6:10">
      <c r="F18" s="7"/>
      <c r="G18" s="24" t="s">
        <v>45</v>
      </c>
      <c r="H18" s="7">
        <v>10</v>
      </c>
      <c r="I18" s="7">
        <v>20</v>
      </c>
      <c r="J18" s="24">
        <f t="shared" si="1"/>
        <v>200</v>
      </c>
    </row>
    <row r="19" ht="15" spans="6:10">
      <c r="F19" s="7"/>
      <c r="G19" s="24" t="s">
        <v>56</v>
      </c>
      <c r="H19" s="7">
        <v>200</v>
      </c>
      <c r="I19" s="7">
        <v>1</v>
      </c>
      <c r="J19" s="24">
        <f t="shared" si="1"/>
        <v>200</v>
      </c>
    </row>
    <row r="20" ht="15" spans="6:10">
      <c r="F20" s="7"/>
      <c r="G20" s="24" t="s">
        <v>35</v>
      </c>
      <c r="H20" s="7">
        <v>2</v>
      </c>
      <c r="I20" s="7">
        <v>150</v>
      </c>
      <c r="J20" s="24">
        <f t="shared" si="1"/>
        <v>300</v>
      </c>
    </row>
    <row r="21" ht="15" spans="6:10">
      <c r="F21" s="7"/>
      <c r="G21" s="24" t="s">
        <v>10</v>
      </c>
      <c r="H21" s="7">
        <v>40</v>
      </c>
      <c r="I21" s="7">
        <v>5.48</v>
      </c>
      <c r="J21" s="24">
        <f t="shared" si="1"/>
        <v>219.2</v>
      </c>
    </row>
    <row r="24" spans="6:8">
      <c r="F24" s="7">
        <v>3</v>
      </c>
      <c r="G24" s="7" t="s">
        <v>322</v>
      </c>
      <c r="H24" s="7" t="s">
        <v>323</v>
      </c>
    </row>
    <row r="25" ht="15.6" spans="6:10">
      <c r="F25" s="7"/>
      <c r="G25" s="6" t="str">
        <f>_xlfn.XLOOKUP(G7,道具表!$B:$B,道具表!$C:$C)&amp;"|"&amp;_xlfn.XLOOKUP(G7,道具表!$B:$B,道具表!$A:$A)&amp;"|"</f>
        <v>1|2|</v>
      </c>
      <c r="H25" s="6">
        <f>H7</f>
        <v>80</v>
      </c>
      <c r="I25" t="str">
        <f>G25&amp;H25&amp;","</f>
        <v>1|2|80,</v>
      </c>
      <c r="J25" t="str">
        <f>I25</f>
        <v>1|2|80,</v>
      </c>
    </row>
    <row r="26" ht="15.6" spans="6:10">
      <c r="F26" s="7"/>
      <c r="G26" s="6" t="str">
        <f>_xlfn.XLOOKUP(G8,道具表!$B:$B,道具表!$C:$C)&amp;"|"&amp;_xlfn.XLOOKUP(G8,道具表!$B:$B,道具表!$A:$A)&amp;"|"</f>
        <v>1|5|</v>
      </c>
      <c r="H26" s="6">
        <f t="shared" ref="H26:H31" si="2">H8</f>
        <v>200</v>
      </c>
      <c r="I26" t="str">
        <f t="shared" ref="I26:I31" si="3">G26&amp;H26&amp;","</f>
        <v>1|5|200,</v>
      </c>
      <c r="J26" t="str">
        <f>J25&amp;I26</f>
        <v>1|2|80,1|5|200,</v>
      </c>
    </row>
    <row r="27" ht="15.6" spans="6:10">
      <c r="F27" s="7"/>
      <c r="G27" s="6" t="str">
        <f>_xlfn.XLOOKUP(G9,道具表!$B:$B,道具表!$C:$C)&amp;"|"&amp;_xlfn.XLOOKUP(G9,道具表!$B:$B,道具表!$A:$A)&amp;"|"</f>
        <v>1|10002|</v>
      </c>
      <c r="H27" s="6">
        <f t="shared" si="2"/>
        <v>3</v>
      </c>
      <c r="I27" t="str">
        <f t="shared" si="3"/>
        <v>1|10002|3,</v>
      </c>
      <c r="J27" t="str">
        <f>J26&amp;I27</f>
        <v>1|2|80,1|5|200,1|10002|3,</v>
      </c>
    </row>
    <row r="28" ht="15.6" spans="6:10">
      <c r="F28" s="7"/>
      <c r="G28" s="6" t="str">
        <f>_xlfn.XLOOKUP(G10,道具表!$B:$B,道具表!$C:$C)&amp;"|"&amp;_xlfn.XLOOKUP(G10,道具表!$B:$B,道具表!$A:$A)&amp;"|"</f>
        <v>1|10009|</v>
      </c>
      <c r="H28" s="6">
        <f t="shared" si="2"/>
        <v>4</v>
      </c>
      <c r="I28" t="str">
        <f t="shared" si="3"/>
        <v>1|10009|4,</v>
      </c>
      <c r="J28" t="str">
        <f>J27&amp;I28</f>
        <v>1|2|80,1|5|200,1|10002|3,1|10009|4,</v>
      </c>
    </row>
    <row r="29" ht="15.6" spans="6:10">
      <c r="F29" s="7"/>
      <c r="G29" s="6" t="str">
        <f>_xlfn.XLOOKUP(G11,道具表!$B:$B,道具表!$C:$C)&amp;"|"&amp;_xlfn.XLOOKUP(G11,道具表!$B:$B,道具表!$A:$A)&amp;"|"</f>
        <v>1|10006|</v>
      </c>
      <c r="H29" s="6">
        <f t="shared" si="2"/>
        <v>200</v>
      </c>
      <c r="I29" t="str">
        <f t="shared" si="3"/>
        <v>1|10006|200,</v>
      </c>
      <c r="J29" t="str">
        <f>J28&amp;I29</f>
        <v>1|2|80,1|5|200,1|10002|3,1|10009|4,1|10006|200,</v>
      </c>
    </row>
    <row r="30" ht="15.6" spans="6:10">
      <c r="F30" s="7"/>
      <c r="G30" s="6" t="str">
        <f>_xlfn.XLOOKUP(G12,道具表!$B:$B,道具表!$C:$C)&amp;"|"&amp;_xlfn.XLOOKUP(G12,道具表!$B:$B,道具表!$A:$A)&amp;"|"</f>
        <v>1|10007|</v>
      </c>
      <c r="H30" s="6">
        <f t="shared" si="2"/>
        <v>10</v>
      </c>
      <c r="I30" t="str">
        <f t="shared" si="3"/>
        <v>1|10007|10,</v>
      </c>
      <c r="J30" t="str">
        <f t="shared" ref="J30:J40" si="4">J29&amp;I30</f>
        <v>1|2|80,1|5|200,1|10002|3,1|10009|4,1|10006|200,1|10007|10,</v>
      </c>
    </row>
    <row r="31" ht="15.6" spans="6:10">
      <c r="F31" s="7"/>
      <c r="G31" s="6" t="str">
        <f>_xlfn.XLOOKUP(G13,道具表!$B:$B,道具表!$C:$C)&amp;"|"&amp;_xlfn.XLOOKUP(G13,道具表!$B:$B,道具表!$A:$A)&amp;"|"</f>
        <v>1|1011|</v>
      </c>
      <c r="H31" s="6">
        <f t="shared" si="2"/>
        <v>2</v>
      </c>
      <c r="I31" t="str">
        <f t="shared" si="3"/>
        <v>1|1011|2,</v>
      </c>
      <c r="J31" t="str">
        <f t="shared" si="4"/>
        <v>1|2|80,1|5|200,1|10002|3,1|10009|4,1|10006|200,1|10007|10,1|1011|2,</v>
      </c>
    </row>
    <row r="33" spans="6:9">
      <c r="F33" s="7" t="s">
        <v>1123</v>
      </c>
      <c r="G33" s="7" t="s">
        <v>322</v>
      </c>
      <c r="H33" s="7" t="s">
        <v>323</v>
      </c>
      <c r="I33" t="str">
        <f t="shared" ref="I33:I39" si="5">G33&amp;H33&amp;","</f>
        <v>道具数量,</v>
      </c>
    </row>
    <row r="34" ht="15.6" spans="6:10">
      <c r="F34" s="7"/>
      <c r="G34" s="6" t="str">
        <f>_xlfn.XLOOKUP(G16,道具表!$B:$B,道具表!$C:$C)&amp;"|"&amp;_xlfn.XLOOKUP(G16,道具表!$B:$B,道具表!$A:$A)&amp;"|"</f>
        <v>1|2|</v>
      </c>
      <c r="H34" s="6">
        <f t="shared" ref="H34:H40" si="6">H16</f>
        <v>200</v>
      </c>
      <c r="I34" t="str">
        <f t="shared" si="5"/>
        <v>1|2|200,</v>
      </c>
      <c r="J34" t="str">
        <f>I34</f>
        <v>1|2|200,</v>
      </c>
    </row>
    <row r="35" ht="15.6" spans="6:10">
      <c r="F35" s="7"/>
      <c r="G35" s="6" t="str">
        <f>_xlfn.XLOOKUP(G17,道具表!$B:$B,道具表!$C:$C)&amp;"|"&amp;_xlfn.XLOOKUP(G17,道具表!$B:$B,道具表!$A:$A)&amp;"|"</f>
        <v>1|10009|</v>
      </c>
      <c r="H35" s="6">
        <f t="shared" si="6"/>
        <v>8</v>
      </c>
      <c r="I35" t="str">
        <f t="shared" si="5"/>
        <v>1|10009|8,</v>
      </c>
      <c r="J35" t="str">
        <f t="shared" si="4"/>
        <v>1|2|200,1|10009|8,</v>
      </c>
    </row>
    <row r="36" ht="15.6" spans="6:10">
      <c r="F36" s="7"/>
      <c r="G36" s="6" t="str">
        <f>_xlfn.XLOOKUP(G18,道具表!$B:$B,道具表!$C:$C)&amp;"|"&amp;_xlfn.XLOOKUP(G18,道具表!$B:$B,道具表!$A:$A)&amp;"|"</f>
        <v>1|10005|</v>
      </c>
      <c r="H36" s="6">
        <f t="shared" si="6"/>
        <v>10</v>
      </c>
      <c r="I36" t="str">
        <f t="shared" si="5"/>
        <v>1|10005|10,</v>
      </c>
      <c r="J36" t="str">
        <f t="shared" si="4"/>
        <v>1|2|200,1|10009|8,1|10005|10,</v>
      </c>
    </row>
    <row r="37" ht="15.6" spans="6:10">
      <c r="F37" s="7"/>
      <c r="G37" s="6" t="str">
        <f>_xlfn.XLOOKUP(G19,道具表!$B:$B,道具表!$C:$C)&amp;"|"&amp;_xlfn.XLOOKUP(G19,道具表!$B:$B,道具表!$A:$A)&amp;"|"</f>
        <v>1|10019|</v>
      </c>
      <c r="H37" s="6">
        <f t="shared" si="6"/>
        <v>200</v>
      </c>
      <c r="I37" t="str">
        <f t="shared" si="5"/>
        <v>1|10019|200,</v>
      </c>
      <c r="J37" t="str">
        <f t="shared" si="4"/>
        <v>1|2|200,1|10009|8,1|10005|10,1|10019|200,</v>
      </c>
    </row>
    <row r="38" ht="15.6" spans="6:10">
      <c r="F38" s="7"/>
      <c r="G38" s="6" t="str">
        <f>_xlfn.XLOOKUP(G20,道具表!$B:$B,道具表!$C:$C)&amp;"|"&amp;_xlfn.XLOOKUP(G20,道具表!$B:$B,道具表!$A:$A)&amp;"|"</f>
        <v>1|1012|</v>
      </c>
      <c r="H38" s="6">
        <f t="shared" si="6"/>
        <v>2</v>
      </c>
      <c r="I38" t="str">
        <f t="shared" si="5"/>
        <v>1|1012|2,</v>
      </c>
      <c r="J38" t="str">
        <f t="shared" si="4"/>
        <v>1|2|200,1|10009|8,1|10005|10,1|10019|200,1|1012|2,</v>
      </c>
    </row>
    <row r="39" ht="15.6" spans="6:10">
      <c r="F39" s="7"/>
      <c r="G39" s="6" t="str">
        <f>_xlfn.XLOOKUP(G21,道具表!$B:$B,道具表!$C:$C)&amp;"|"&amp;_xlfn.XLOOKUP(G21,道具表!$B:$B,道具表!$A:$A)&amp;"|"</f>
        <v>1|6|</v>
      </c>
      <c r="H39" s="6">
        <f t="shared" si="6"/>
        <v>40</v>
      </c>
      <c r="I39" t="str">
        <f t="shared" si="5"/>
        <v>1|6|40,</v>
      </c>
      <c r="J39" t="str">
        <f t="shared" si="4"/>
        <v>1|2|200,1|10009|8,1|10005|10,1|10019|200,1|1012|2,1|6|40,</v>
      </c>
    </row>
  </sheetData>
  <mergeCells count="4">
    <mergeCell ref="F6:F13"/>
    <mergeCell ref="F15:F21"/>
    <mergeCell ref="F24:F31"/>
    <mergeCell ref="F33:F39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48"/>
  <sheetViews>
    <sheetView workbookViewId="0">
      <selection activeCell="A49" sqref="$A49:$XFD55"/>
    </sheetView>
  </sheetViews>
  <sheetFormatPr defaultColWidth="8.88888888888889" defaultRowHeight="14.4"/>
  <cols>
    <col min="11" max="11" width="12.8888888888889"/>
  </cols>
  <sheetData>
    <row r="2" spans="9:19">
      <c r="I2">
        <v>8740</v>
      </c>
      <c r="P2">
        <f>SUM(P4:P24)</f>
        <v>7105</v>
      </c>
      <c r="S2">
        <f>300*20</f>
        <v>6000</v>
      </c>
    </row>
    <row r="3" ht="15.6" spans="2:16">
      <c r="B3" t="s">
        <v>823</v>
      </c>
      <c r="C3" t="s">
        <v>354</v>
      </c>
      <c r="D3" s="7" t="s">
        <v>338</v>
      </c>
      <c r="E3" s="7" t="s">
        <v>974</v>
      </c>
      <c r="F3" s="7" t="s">
        <v>953</v>
      </c>
      <c r="G3" s="7" t="s">
        <v>323</v>
      </c>
      <c r="H3" s="7" t="s">
        <v>1124</v>
      </c>
      <c r="I3" s="7" t="s">
        <v>323</v>
      </c>
      <c r="J3" s="7" t="s">
        <v>1125</v>
      </c>
      <c r="K3" s="7" t="s">
        <v>323</v>
      </c>
      <c r="L3" s="7" t="s">
        <v>1126</v>
      </c>
      <c r="M3" s="7" t="s">
        <v>323</v>
      </c>
      <c r="N3" s="6" t="s">
        <v>339</v>
      </c>
      <c r="O3" s="6" t="s">
        <v>340</v>
      </c>
      <c r="P3" s="6" t="s">
        <v>341</v>
      </c>
    </row>
    <row r="4" ht="15.6" spans="3:18">
      <c r="C4" s="23">
        <v>1</v>
      </c>
      <c r="D4" s="7">
        <v>30</v>
      </c>
      <c r="E4" s="7">
        <v>5</v>
      </c>
      <c r="F4" s="7" t="s">
        <v>9</v>
      </c>
      <c r="G4" s="7">
        <v>10</v>
      </c>
      <c r="H4" s="7" t="s">
        <v>9</v>
      </c>
      <c r="I4" s="7">
        <v>50</v>
      </c>
      <c r="J4" s="7" t="s">
        <v>47</v>
      </c>
      <c r="K4" s="9">
        <v>4</v>
      </c>
      <c r="L4" s="7" t="s">
        <v>6</v>
      </c>
      <c r="M4" s="7">
        <v>300</v>
      </c>
      <c r="N4" s="6">
        <f>_xlfn.XLOOKUP(H4,道具表!$B:$B,道具表!$E:$E)</f>
        <v>1</v>
      </c>
      <c r="O4" s="6">
        <f>_xlfn.XLOOKUP(J4,道具表!$B:$B,道具表!$E:$E)</f>
        <v>15</v>
      </c>
      <c r="P4" s="6">
        <f>N4*I4+O4*K4</f>
        <v>110</v>
      </c>
      <c r="R4">
        <v>2</v>
      </c>
    </row>
    <row r="5" ht="15.6" spans="3:18">
      <c r="C5" s="23"/>
      <c r="D5" s="7"/>
      <c r="E5" s="7">
        <v>10</v>
      </c>
      <c r="F5" s="7" t="s">
        <v>9</v>
      </c>
      <c r="G5" s="7">
        <v>10</v>
      </c>
      <c r="H5" s="7" t="s">
        <v>9</v>
      </c>
      <c r="I5" s="7">
        <v>50</v>
      </c>
      <c r="J5" s="7" t="s">
        <v>47</v>
      </c>
      <c r="K5" s="9">
        <v>4</v>
      </c>
      <c r="L5" s="7"/>
      <c r="M5" s="7"/>
      <c r="N5" s="6">
        <f>_xlfn.XLOOKUP(H5,道具表!$B:$B,道具表!$E:$E)</f>
        <v>1</v>
      </c>
      <c r="O5" s="6">
        <f>_xlfn.XLOOKUP(J5,道具表!$B:$B,道具表!$E:$E)</f>
        <v>15</v>
      </c>
      <c r="P5" s="6">
        <f>N5*I5+O5*K5</f>
        <v>110</v>
      </c>
      <c r="R5">
        <v>2</v>
      </c>
    </row>
    <row r="6" ht="15.6" spans="3:18">
      <c r="C6" s="23"/>
      <c r="D6" s="7"/>
      <c r="E6" s="7">
        <v>15</v>
      </c>
      <c r="F6" s="7" t="s">
        <v>9</v>
      </c>
      <c r="G6" s="7">
        <v>10</v>
      </c>
      <c r="H6" s="7" t="s">
        <v>9</v>
      </c>
      <c r="I6" s="7">
        <v>50</v>
      </c>
      <c r="J6" s="7" t="s">
        <v>47</v>
      </c>
      <c r="K6" s="9">
        <v>4</v>
      </c>
      <c r="L6" s="7"/>
      <c r="M6" s="7"/>
      <c r="N6" s="6">
        <f>_xlfn.XLOOKUP(H6,道具表!$B:$B,道具表!$E:$E)</f>
        <v>1</v>
      </c>
      <c r="O6" s="6">
        <f>_xlfn.XLOOKUP(J6,道具表!$B:$B,道具表!$E:$E)</f>
        <v>15</v>
      </c>
      <c r="P6" s="6">
        <f>N6*I6+O6*K6</f>
        <v>110</v>
      </c>
      <c r="R6">
        <v>4</v>
      </c>
    </row>
    <row r="7" ht="15.6" spans="3:18">
      <c r="C7" s="23"/>
      <c r="D7" s="7"/>
      <c r="E7" s="7">
        <v>20</v>
      </c>
      <c r="F7" s="7" t="s">
        <v>9</v>
      </c>
      <c r="G7" s="7">
        <v>20</v>
      </c>
      <c r="H7" s="7" t="s">
        <v>9</v>
      </c>
      <c r="I7" s="7">
        <v>100</v>
      </c>
      <c r="J7" s="7" t="s">
        <v>47</v>
      </c>
      <c r="K7" s="9">
        <v>6</v>
      </c>
      <c r="L7" s="7"/>
      <c r="M7" s="7"/>
      <c r="N7" s="6">
        <f>_xlfn.XLOOKUP(H7,道具表!$B:$B,道具表!$E:$E)</f>
        <v>1</v>
      </c>
      <c r="O7" s="6">
        <f>_xlfn.XLOOKUP(J7,道具表!$B:$B,道具表!$E:$E)</f>
        <v>15</v>
      </c>
      <c r="P7" s="6">
        <f>N7*I7+O7*K7</f>
        <v>190</v>
      </c>
      <c r="R7">
        <v>4</v>
      </c>
    </row>
    <row r="8" ht="15.6" spans="3:20">
      <c r="C8" s="23"/>
      <c r="D8" s="7"/>
      <c r="E8" s="7">
        <v>25</v>
      </c>
      <c r="F8" s="7" t="s">
        <v>9</v>
      </c>
      <c r="G8" s="7">
        <v>20</v>
      </c>
      <c r="H8" s="7" t="s">
        <v>9</v>
      </c>
      <c r="I8" s="7">
        <v>100</v>
      </c>
      <c r="J8" s="7" t="s">
        <v>47</v>
      </c>
      <c r="K8" s="9">
        <v>6</v>
      </c>
      <c r="L8" s="7"/>
      <c r="M8" s="7"/>
      <c r="N8" s="6">
        <f>_xlfn.XLOOKUP(H8,道具表!$B:$B,道具表!$E:$E)</f>
        <v>1</v>
      </c>
      <c r="O8" s="6">
        <f>_xlfn.XLOOKUP(J8,道具表!$B:$B,道具表!$E:$E)</f>
        <v>15</v>
      </c>
      <c r="P8" s="6">
        <f>N8*I8+O8*K8</f>
        <v>190</v>
      </c>
      <c r="R8">
        <v>6</v>
      </c>
      <c r="T8">
        <f>300*20</f>
        <v>6000</v>
      </c>
    </row>
    <row r="9" ht="15.6" spans="3:18">
      <c r="C9" s="23"/>
      <c r="D9" s="7"/>
      <c r="E9" s="7">
        <v>30</v>
      </c>
      <c r="F9" s="7" t="s">
        <v>9</v>
      </c>
      <c r="G9" s="7">
        <v>20</v>
      </c>
      <c r="H9" s="7" t="s">
        <v>9</v>
      </c>
      <c r="I9" s="7">
        <v>100</v>
      </c>
      <c r="J9" s="7" t="s">
        <v>47</v>
      </c>
      <c r="K9" s="9">
        <v>6</v>
      </c>
      <c r="L9" s="7"/>
      <c r="M9" s="7"/>
      <c r="N9" s="6">
        <f>_xlfn.XLOOKUP(H9,道具表!$B:$B,道具表!$E:$E)</f>
        <v>1</v>
      </c>
      <c r="O9" s="6">
        <f>_xlfn.XLOOKUP(J9,道具表!$B:$B,道具表!$E:$E)</f>
        <v>15</v>
      </c>
      <c r="P9" s="6">
        <f>N9*I9+O9*K9</f>
        <v>190</v>
      </c>
      <c r="R9">
        <v>6</v>
      </c>
    </row>
    <row r="10" ht="15.6" spans="3:18">
      <c r="C10" s="14">
        <v>2</v>
      </c>
      <c r="D10" s="7"/>
      <c r="E10" s="7">
        <v>35</v>
      </c>
      <c r="F10" s="7" t="s">
        <v>9</v>
      </c>
      <c r="G10" s="7">
        <v>20</v>
      </c>
      <c r="H10" s="7" t="s">
        <v>9</v>
      </c>
      <c r="I10" s="7">
        <v>100</v>
      </c>
      <c r="J10" s="7" t="s">
        <v>47</v>
      </c>
      <c r="K10" s="9">
        <v>8</v>
      </c>
      <c r="L10" s="7"/>
      <c r="M10" s="7"/>
      <c r="N10" s="6">
        <f>_xlfn.XLOOKUP(H10,道具表!$B:$B,道具表!$E:$E)</f>
        <v>1</v>
      </c>
      <c r="O10" s="6">
        <f>_xlfn.XLOOKUP(J10,道具表!$B:$B,道具表!$E:$E)</f>
        <v>15</v>
      </c>
      <c r="P10" s="6">
        <f>N10*I10+O10*K10</f>
        <v>220</v>
      </c>
      <c r="R10">
        <v>8</v>
      </c>
    </row>
    <row r="11" ht="15.6" spans="3:18">
      <c r="C11" s="14"/>
      <c r="D11" s="7"/>
      <c r="E11" s="7">
        <v>40</v>
      </c>
      <c r="F11" s="7" t="s">
        <v>9</v>
      </c>
      <c r="G11" s="7">
        <v>20</v>
      </c>
      <c r="H11" s="7" t="s">
        <v>9</v>
      </c>
      <c r="I11" s="7">
        <v>100</v>
      </c>
      <c r="J11" s="7" t="s">
        <v>47</v>
      </c>
      <c r="K11" s="9">
        <v>8</v>
      </c>
      <c r="L11" s="7"/>
      <c r="M11" s="7"/>
      <c r="N11" s="6">
        <f>_xlfn.XLOOKUP(H11,道具表!$B:$B,道具表!$E:$E)</f>
        <v>1</v>
      </c>
      <c r="O11" s="6">
        <f>_xlfn.XLOOKUP(J11,道具表!$B:$B,道具表!$E:$E)</f>
        <v>15</v>
      </c>
      <c r="P11" s="6">
        <f>N11*I11+O11*K11</f>
        <v>220</v>
      </c>
      <c r="R11">
        <v>8</v>
      </c>
    </row>
    <row r="12" ht="15.6" spans="3:18">
      <c r="C12" s="14">
        <v>3</v>
      </c>
      <c r="D12" s="7"/>
      <c r="E12" s="7">
        <v>45</v>
      </c>
      <c r="F12" s="7" t="s">
        <v>9</v>
      </c>
      <c r="G12" s="7">
        <v>25</v>
      </c>
      <c r="H12" s="7" t="s">
        <v>9</v>
      </c>
      <c r="I12" s="7">
        <v>150</v>
      </c>
      <c r="J12" s="7" t="s">
        <v>47</v>
      </c>
      <c r="K12" s="9">
        <v>8</v>
      </c>
      <c r="L12" s="7"/>
      <c r="M12" s="7"/>
      <c r="N12" s="6">
        <f>_xlfn.XLOOKUP(H12,道具表!$B:$B,道具表!$E:$E)</f>
        <v>1</v>
      </c>
      <c r="O12" s="6">
        <f>_xlfn.XLOOKUP(J12,道具表!$B:$B,道具表!$E:$E)</f>
        <v>15</v>
      </c>
      <c r="P12" s="6">
        <f>N12*I12+O12*K12</f>
        <v>270</v>
      </c>
      <c r="R12">
        <v>10</v>
      </c>
    </row>
    <row r="13" ht="15.6" spans="3:18">
      <c r="C13" s="14"/>
      <c r="D13" s="7"/>
      <c r="E13" s="7">
        <v>50</v>
      </c>
      <c r="F13" s="7" t="s">
        <v>9</v>
      </c>
      <c r="G13" s="7">
        <v>25</v>
      </c>
      <c r="H13" s="7" t="s">
        <v>9</v>
      </c>
      <c r="I13" s="7">
        <v>150</v>
      </c>
      <c r="J13" s="7" t="s">
        <v>47</v>
      </c>
      <c r="K13" s="9">
        <v>10</v>
      </c>
      <c r="L13" s="7"/>
      <c r="M13" s="7"/>
      <c r="N13" s="6">
        <f>_xlfn.XLOOKUP(H13,道具表!$B:$B,道具表!$E:$E)</f>
        <v>1</v>
      </c>
      <c r="O13" s="6">
        <f>_xlfn.XLOOKUP(J13,道具表!$B:$B,道具表!$E:$E)</f>
        <v>15</v>
      </c>
      <c r="P13" s="6">
        <f>N13*I13+O13*K13</f>
        <v>300</v>
      </c>
      <c r="R13">
        <v>10</v>
      </c>
    </row>
    <row r="14" ht="15.6" spans="3:18">
      <c r="C14" s="14"/>
      <c r="D14" s="7"/>
      <c r="E14" s="7">
        <v>55</v>
      </c>
      <c r="F14" s="7" t="s">
        <v>9</v>
      </c>
      <c r="G14" s="7">
        <v>25</v>
      </c>
      <c r="H14" s="7" t="s">
        <v>9</v>
      </c>
      <c r="I14" s="7">
        <v>150</v>
      </c>
      <c r="J14" s="7" t="s">
        <v>47</v>
      </c>
      <c r="K14" s="9">
        <v>10</v>
      </c>
      <c r="L14" s="7"/>
      <c r="M14" s="7"/>
      <c r="N14" s="6">
        <f>_xlfn.XLOOKUP(H14,道具表!$B:$B,道具表!$E:$E)</f>
        <v>1</v>
      </c>
      <c r="O14" s="6">
        <f>_xlfn.XLOOKUP(J14,道具表!$B:$B,道具表!$E:$E)</f>
        <v>15</v>
      </c>
      <c r="P14" s="6">
        <f>N14*I14+O14*K14</f>
        <v>300</v>
      </c>
      <c r="R14">
        <v>10</v>
      </c>
    </row>
    <row r="15" ht="15.6" spans="3:18">
      <c r="C15">
        <v>4</v>
      </c>
      <c r="D15" s="7"/>
      <c r="E15" s="7">
        <v>60</v>
      </c>
      <c r="F15" s="7" t="s">
        <v>9</v>
      </c>
      <c r="G15" s="7">
        <v>25</v>
      </c>
      <c r="H15" s="7" t="s">
        <v>9</v>
      </c>
      <c r="I15" s="7">
        <v>150</v>
      </c>
      <c r="J15" s="7" t="s">
        <v>47</v>
      </c>
      <c r="K15" s="9">
        <v>10</v>
      </c>
      <c r="L15" s="7"/>
      <c r="M15" s="7"/>
      <c r="N15" s="6">
        <f>_xlfn.XLOOKUP(H15,道具表!$B:$B,道具表!$E:$E)</f>
        <v>1</v>
      </c>
      <c r="O15" s="6">
        <f>_xlfn.XLOOKUP(J15,道具表!$B:$B,道具表!$E:$E)</f>
        <v>15</v>
      </c>
      <c r="P15" s="6">
        <f>N15*I15+O15*K15</f>
        <v>300</v>
      </c>
      <c r="R15">
        <v>10</v>
      </c>
    </row>
    <row r="16" ht="15.6" spans="3:18">
      <c r="C16">
        <v>5</v>
      </c>
      <c r="D16" s="7"/>
      <c r="E16" s="7">
        <v>65</v>
      </c>
      <c r="F16" s="7" t="s">
        <v>9</v>
      </c>
      <c r="G16" s="7">
        <v>30</v>
      </c>
      <c r="H16" s="7" t="s">
        <v>9</v>
      </c>
      <c r="I16" s="7">
        <v>200</v>
      </c>
      <c r="J16" s="7" t="s">
        <v>47</v>
      </c>
      <c r="K16" s="9">
        <v>12</v>
      </c>
      <c r="L16" s="7"/>
      <c r="M16" s="7"/>
      <c r="N16" s="6">
        <f>_xlfn.XLOOKUP(H16,道具表!$B:$B,道具表!$E:$E)</f>
        <v>1</v>
      </c>
      <c r="O16" s="6">
        <f>_xlfn.XLOOKUP(J16,道具表!$B:$B,道具表!$E:$E)</f>
        <v>15</v>
      </c>
      <c r="P16" s="6">
        <f>N16*I16+O16*K16</f>
        <v>380</v>
      </c>
      <c r="R16">
        <v>12</v>
      </c>
    </row>
    <row r="17" ht="15.6" spans="4:18">
      <c r="D17" s="7"/>
      <c r="E17" s="7">
        <v>70</v>
      </c>
      <c r="F17" s="7" t="s">
        <v>9</v>
      </c>
      <c r="G17" s="7">
        <v>30</v>
      </c>
      <c r="H17" s="7" t="s">
        <v>9</v>
      </c>
      <c r="I17" s="7">
        <v>200</v>
      </c>
      <c r="J17" s="7" t="s">
        <v>47</v>
      </c>
      <c r="K17" s="9">
        <v>12</v>
      </c>
      <c r="L17" s="7"/>
      <c r="M17" s="7"/>
      <c r="N17" s="6">
        <f>_xlfn.XLOOKUP(H17,道具表!$B:$B,道具表!$E:$E)</f>
        <v>1</v>
      </c>
      <c r="O17" s="6">
        <f>_xlfn.XLOOKUP(J17,道具表!$B:$B,道具表!$E:$E)</f>
        <v>15</v>
      </c>
      <c r="P17" s="6">
        <f>N17*I17+O17*K17</f>
        <v>380</v>
      </c>
      <c r="R17">
        <v>12</v>
      </c>
    </row>
    <row r="18" ht="15.6" spans="3:18">
      <c r="C18">
        <v>6</v>
      </c>
      <c r="D18" s="7"/>
      <c r="E18" s="7">
        <v>75</v>
      </c>
      <c r="F18" s="7" t="s">
        <v>9</v>
      </c>
      <c r="G18" s="7">
        <v>30</v>
      </c>
      <c r="H18" s="7" t="s">
        <v>9</v>
      </c>
      <c r="I18" s="7">
        <v>200</v>
      </c>
      <c r="J18" s="7" t="s">
        <v>47</v>
      </c>
      <c r="K18" s="9">
        <v>12</v>
      </c>
      <c r="L18" s="7"/>
      <c r="M18" s="7"/>
      <c r="N18" s="6">
        <f>_xlfn.XLOOKUP(H18,道具表!$B:$B,道具表!$E:$E)</f>
        <v>1</v>
      </c>
      <c r="O18" s="6">
        <f>_xlfn.XLOOKUP(J18,道具表!$B:$B,道具表!$E:$E)</f>
        <v>15</v>
      </c>
      <c r="P18" s="6">
        <f>N18*I18+O18*K18</f>
        <v>380</v>
      </c>
      <c r="R18">
        <v>12</v>
      </c>
    </row>
    <row r="19" ht="15.6" spans="3:18">
      <c r="C19">
        <v>7</v>
      </c>
      <c r="D19" s="7"/>
      <c r="E19" s="7">
        <v>80</v>
      </c>
      <c r="F19" s="7" t="s">
        <v>9</v>
      </c>
      <c r="G19" s="7">
        <v>30</v>
      </c>
      <c r="H19" s="7" t="s">
        <v>9</v>
      </c>
      <c r="I19" s="7">
        <v>200</v>
      </c>
      <c r="J19" s="7" t="s">
        <v>47</v>
      </c>
      <c r="K19" s="9">
        <v>14</v>
      </c>
      <c r="L19" s="7"/>
      <c r="M19" s="7"/>
      <c r="N19" s="6">
        <f>_xlfn.XLOOKUP(H19,道具表!$B:$B,道具表!$E:$E)</f>
        <v>1</v>
      </c>
      <c r="O19" s="6">
        <f>_xlfn.XLOOKUP(J19,道具表!$B:$B,道具表!$E:$E)</f>
        <v>15</v>
      </c>
      <c r="P19" s="6">
        <f>N19*I19+O19*K19</f>
        <v>410</v>
      </c>
      <c r="R19">
        <v>12</v>
      </c>
    </row>
    <row r="20" ht="15.6" spans="3:18">
      <c r="C20">
        <v>8</v>
      </c>
      <c r="D20" s="7"/>
      <c r="E20" s="7">
        <v>85</v>
      </c>
      <c r="F20" s="7" t="s">
        <v>9</v>
      </c>
      <c r="G20" s="7">
        <v>30</v>
      </c>
      <c r="H20" s="7" t="s">
        <v>9</v>
      </c>
      <c r="I20" s="7">
        <v>200</v>
      </c>
      <c r="J20" s="7" t="s">
        <v>47</v>
      </c>
      <c r="K20" s="9">
        <v>14</v>
      </c>
      <c r="L20" s="7"/>
      <c r="M20" s="7"/>
      <c r="N20" s="6">
        <f>_xlfn.XLOOKUP(H20,道具表!$B:$B,道具表!$E:$E)</f>
        <v>1</v>
      </c>
      <c r="O20" s="6">
        <f>_xlfn.XLOOKUP(J20,道具表!$B:$B,道具表!$E:$E)</f>
        <v>15</v>
      </c>
      <c r="P20" s="6">
        <f>N20*I20+O20*K20</f>
        <v>410</v>
      </c>
      <c r="R20">
        <v>12</v>
      </c>
    </row>
    <row r="21" ht="15.6" spans="3:18">
      <c r="C21">
        <v>9</v>
      </c>
      <c r="D21" s="7"/>
      <c r="E21" s="7">
        <v>90</v>
      </c>
      <c r="F21" s="7" t="s">
        <v>9</v>
      </c>
      <c r="G21" s="7">
        <v>35</v>
      </c>
      <c r="H21" s="7" t="s">
        <v>9</v>
      </c>
      <c r="I21" s="7">
        <v>250</v>
      </c>
      <c r="J21" s="7" t="s">
        <v>47</v>
      </c>
      <c r="K21" s="9">
        <v>16</v>
      </c>
      <c r="L21" s="7"/>
      <c r="M21" s="7"/>
      <c r="N21" s="6">
        <f>_xlfn.XLOOKUP(H21,道具表!$B:$B,道具表!$E:$E)</f>
        <v>1</v>
      </c>
      <c r="O21" s="6">
        <f>_xlfn.XLOOKUP(J21,道具表!$B:$B,道具表!$E:$E)</f>
        <v>15</v>
      </c>
      <c r="P21" s="6">
        <f>N21*I21+O21*K21</f>
        <v>490</v>
      </c>
      <c r="R21">
        <v>15</v>
      </c>
    </row>
    <row r="22" ht="15.6" spans="3:18">
      <c r="C22">
        <v>10</v>
      </c>
      <c r="D22" s="7"/>
      <c r="E22" s="7">
        <v>95</v>
      </c>
      <c r="F22" s="7" t="s">
        <v>9</v>
      </c>
      <c r="G22" s="7">
        <v>40</v>
      </c>
      <c r="H22" s="7" t="s">
        <v>9</v>
      </c>
      <c r="I22" s="7">
        <v>300</v>
      </c>
      <c r="J22" s="7" t="s">
        <v>47</v>
      </c>
      <c r="K22" s="9">
        <v>18</v>
      </c>
      <c r="L22" s="7"/>
      <c r="M22" s="7"/>
      <c r="N22" s="6">
        <f>_xlfn.XLOOKUP(H22,道具表!$B:$B,道具表!$E:$E)</f>
        <v>1</v>
      </c>
      <c r="O22" s="6">
        <f>_xlfn.XLOOKUP(J22,道具表!$B:$B,道具表!$E:$E)</f>
        <v>15</v>
      </c>
      <c r="P22" s="6">
        <f t="shared" ref="P22:P38" si="0">N22*I22+O22*K22</f>
        <v>570</v>
      </c>
      <c r="R22">
        <v>15</v>
      </c>
    </row>
    <row r="23" ht="15.6" spans="3:18">
      <c r="C23">
        <v>11</v>
      </c>
      <c r="D23" s="7"/>
      <c r="E23" s="7">
        <v>97</v>
      </c>
      <c r="F23" s="7" t="s">
        <v>9</v>
      </c>
      <c r="G23" s="7">
        <v>45</v>
      </c>
      <c r="H23" s="7" t="s">
        <v>9</v>
      </c>
      <c r="I23" s="7">
        <v>400</v>
      </c>
      <c r="J23" s="7" t="s">
        <v>47</v>
      </c>
      <c r="K23" s="9">
        <v>20</v>
      </c>
      <c r="L23" s="7"/>
      <c r="M23" s="7"/>
      <c r="N23" s="6">
        <f>_xlfn.XLOOKUP(H23,道具表!$B:$B,道具表!$E:$E)</f>
        <v>1</v>
      </c>
      <c r="O23" s="6">
        <f>_xlfn.XLOOKUP(J23,道具表!$B:$B,道具表!$E:$E)</f>
        <v>15</v>
      </c>
      <c r="P23" s="6">
        <f t="shared" si="0"/>
        <v>700</v>
      </c>
      <c r="R23">
        <v>15</v>
      </c>
    </row>
    <row r="24" ht="15.6" spans="3:20">
      <c r="C24">
        <v>12</v>
      </c>
      <c r="D24" s="7"/>
      <c r="E24" s="7">
        <v>100</v>
      </c>
      <c r="F24" s="7" t="s">
        <v>9</v>
      </c>
      <c r="G24" s="7">
        <v>50</v>
      </c>
      <c r="H24" s="7" t="s">
        <v>9</v>
      </c>
      <c r="I24" s="7">
        <v>500</v>
      </c>
      <c r="J24" s="7" t="s">
        <v>47</v>
      </c>
      <c r="K24" s="9">
        <v>25</v>
      </c>
      <c r="L24" s="7"/>
      <c r="M24" s="7"/>
      <c r="N24" s="6">
        <f>_xlfn.XLOOKUP(H24,道具表!$B:$B,道具表!$E:$E)</f>
        <v>1</v>
      </c>
      <c r="O24" s="6">
        <f>_xlfn.XLOOKUP(J24,道具表!$B:$B,道具表!$E:$E)</f>
        <v>15</v>
      </c>
      <c r="P24" s="6">
        <f>N24*I24+O24*K24</f>
        <v>875</v>
      </c>
      <c r="R24">
        <v>20</v>
      </c>
      <c r="T24">
        <v>1.5</v>
      </c>
    </row>
    <row r="25" ht="15.6" spans="4:16"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8"/>
      <c r="O25" s="8"/>
      <c r="P25" s="8">
        <f>SUM(P4:P24)</f>
        <v>7105</v>
      </c>
    </row>
    <row r="27" ht="15.6" spans="4:15">
      <c r="D27" s="7" t="s">
        <v>338</v>
      </c>
      <c r="E27" s="7" t="str">
        <f>E3</f>
        <v>等级</v>
      </c>
      <c r="F27" s="7" t="s">
        <v>953</v>
      </c>
      <c r="G27" s="7" t="str">
        <f t="shared" ref="G27:K27" si="1">IF(G3="","",G3&amp;",")</f>
        <v>数量,</v>
      </c>
      <c r="H27" s="7" t="s">
        <v>1124</v>
      </c>
      <c r="I27" s="7" t="str">
        <f t="shared" si="1"/>
        <v>数量,</v>
      </c>
      <c r="J27" s="7" t="s">
        <v>1125</v>
      </c>
      <c r="K27" s="7" t="str">
        <f t="shared" si="1"/>
        <v>数量,</v>
      </c>
      <c r="L27" s="7" t="s">
        <v>1126</v>
      </c>
      <c r="M27" s="7" t="s">
        <v>323</v>
      </c>
      <c r="N27" s="19" t="s">
        <v>327</v>
      </c>
      <c r="O27" s="19" t="s">
        <v>327</v>
      </c>
    </row>
    <row r="28" ht="15.6" spans="4:15">
      <c r="D28" s="7">
        <v>30</v>
      </c>
      <c r="E28" s="7">
        <f t="shared" ref="E28:E45" si="2">E4</f>
        <v>5</v>
      </c>
      <c r="F28" s="6" t="str">
        <f>IF(F4="","",(_xlfn.XLOOKUP(F4,道具表!$B:$B,道具表!$C:$C)&amp;"|"&amp;_xlfn.XLOOKUP(F4,道具表!$B:$B,道具表!$A:$A)&amp;"|"))</f>
        <v>1|5|</v>
      </c>
      <c r="G28" s="7" t="str">
        <f t="shared" ref="G28:G54" si="3">IF(G4="","",G4&amp;",")</f>
        <v>10,</v>
      </c>
      <c r="H28" s="6" t="str">
        <f>IF(H4="","",(_xlfn.XLOOKUP(H4,道具表!$B:$B,道具表!$C:$C)&amp;"|"&amp;_xlfn.XLOOKUP(H4,道具表!$B:$B,道具表!$A:$A)&amp;"|"))</f>
        <v>1|5|</v>
      </c>
      <c r="I28" s="7" t="str">
        <f t="shared" ref="I27:I54" si="4">IF(I4="","",I4&amp;",")</f>
        <v>50,</v>
      </c>
      <c r="J28" s="6" t="str">
        <f>IF(J4="","",(_xlfn.XLOOKUP(J4,道具表!$B:$B,道具表!$C:$C)&amp;"|"&amp;_xlfn.XLOOKUP(J4,道具表!$B:$B,道具表!$A:$A)&amp;"|"))</f>
        <v>1|10007|</v>
      </c>
      <c r="K28" s="7" t="str">
        <f t="shared" ref="K28:K54" si="5">IF(K4="","",K4&amp;",")</f>
        <v>4,</v>
      </c>
      <c r="L28" s="6" t="str">
        <f>_xlfn.XLOOKUP(L4,道具表!$B:$B,道具表!$C:$C)&amp;"|"&amp;_xlfn.XLOOKUP(L4,道具表!$B:$B,道具表!$A:$A)&amp;"|"</f>
        <v>1|2|</v>
      </c>
      <c r="M28" s="7">
        <v>300</v>
      </c>
      <c r="N28" s="19" t="str">
        <f>LEFT(F28&amp;G28,LEN(F28&amp;G28)-1)</f>
        <v>1|5|10</v>
      </c>
      <c r="O28" s="20" t="str">
        <f>LEFT(H28&amp;I28&amp;J28&amp;K28,LEN(H28&amp;I28&amp;J28&amp;K28)-1)</f>
        <v>1|5|50,1|10007|4</v>
      </c>
    </row>
    <row r="29" ht="15.6" spans="4:15">
      <c r="D29" s="7"/>
      <c r="E29" s="7">
        <f t="shared" si="2"/>
        <v>10</v>
      </c>
      <c r="F29" s="6" t="str">
        <f>IF(F5="","",(_xlfn.XLOOKUP(F5,道具表!$B:$B,道具表!$C:$C)&amp;"|"&amp;_xlfn.XLOOKUP(F5,道具表!$B:$B,道具表!$A:$A)&amp;"|"))</f>
        <v>1|5|</v>
      </c>
      <c r="G29" s="7" t="str">
        <f t="shared" si="3"/>
        <v>10,</v>
      </c>
      <c r="H29" s="6" t="str">
        <f>IF(H5="","",(_xlfn.XLOOKUP(H5,道具表!$B:$B,道具表!$C:$C)&amp;"|"&amp;_xlfn.XLOOKUP(H5,道具表!$B:$B,道具表!$A:$A)&amp;"|"))</f>
        <v>1|5|</v>
      </c>
      <c r="I29" s="7" t="str">
        <f t="shared" si="4"/>
        <v>50,</v>
      </c>
      <c r="J29" s="6" t="str">
        <f>IF(J5="","",(_xlfn.XLOOKUP(J5,道具表!$B:$B,道具表!$C:$C)&amp;"|"&amp;_xlfn.XLOOKUP(J5,道具表!$B:$B,道具表!$A:$A)&amp;"|"))</f>
        <v>1|10007|</v>
      </c>
      <c r="K29" s="7" t="str">
        <f t="shared" si="5"/>
        <v>4,</v>
      </c>
      <c r="L29" s="6"/>
      <c r="M29" s="7"/>
      <c r="N29" s="19" t="str">
        <f t="shared" ref="N29:N54" si="6">LEFT(F29&amp;G29,LEN(F29&amp;G29)-1)</f>
        <v>1|5|10</v>
      </c>
      <c r="O29" s="20" t="str">
        <f t="shared" ref="O29:O54" si="7">LEFT(H29&amp;I29&amp;J29&amp;K29,LEN(H29&amp;I29&amp;J29&amp;K29)-1)</f>
        <v>1|5|50,1|10007|4</v>
      </c>
    </row>
    <row r="30" ht="15.6" spans="4:15">
      <c r="D30" s="7"/>
      <c r="E30" s="7">
        <f t="shared" si="2"/>
        <v>15</v>
      </c>
      <c r="F30" s="6" t="str">
        <f>IF(F6="","",(_xlfn.XLOOKUP(F6,道具表!$B:$B,道具表!$C:$C)&amp;"|"&amp;_xlfn.XLOOKUP(F6,道具表!$B:$B,道具表!$A:$A)&amp;"|"))</f>
        <v>1|5|</v>
      </c>
      <c r="G30" s="7" t="str">
        <f t="shared" si="3"/>
        <v>10,</v>
      </c>
      <c r="H30" s="6" t="str">
        <f>IF(H6="","",(_xlfn.XLOOKUP(H6,道具表!$B:$B,道具表!$C:$C)&amp;"|"&amp;_xlfn.XLOOKUP(H6,道具表!$B:$B,道具表!$A:$A)&amp;"|"))</f>
        <v>1|5|</v>
      </c>
      <c r="I30" s="7" t="str">
        <f t="shared" si="4"/>
        <v>50,</v>
      </c>
      <c r="J30" s="6" t="str">
        <f>IF(J6="","",(_xlfn.XLOOKUP(J6,道具表!$B:$B,道具表!$C:$C)&amp;"|"&amp;_xlfn.XLOOKUP(J6,道具表!$B:$B,道具表!$A:$A)&amp;"|"))</f>
        <v>1|10007|</v>
      </c>
      <c r="K30" s="7" t="str">
        <f t="shared" si="5"/>
        <v>4,</v>
      </c>
      <c r="L30" s="6"/>
      <c r="M30" s="7"/>
      <c r="N30" s="19" t="str">
        <f t="shared" si="6"/>
        <v>1|5|10</v>
      </c>
      <c r="O30" s="20" t="str">
        <f t="shared" si="7"/>
        <v>1|5|50,1|10007|4</v>
      </c>
    </row>
    <row r="31" ht="15.6" spans="4:15">
      <c r="D31" s="7"/>
      <c r="E31" s="7">
        <f t="shared" si="2"/>
        <v>20</v>
      </c>
      <c r="F31" s="6" t="str">
        <f>IF(F7="","",(_xlfn.XLOOKUP(F7,道具表!$B:$B,道具表!$C:$C)&amp;"|"&amp;_xlfn.XLOOKUP(F7,道具表!$B:$B,道具表!$A:$A)&amp;"|"))</f>
        <v>1|5|</v>
      </c>
      <c r="G31" s="7" t="str">
        <f t="shared" si="3"/>
        <v>20,</v>
      </c>
      <c r="H31" s="6" t="str">
        <f>IF(H7="","",(_xlfn.XLOOKUP(H7,道具表!$B:$B,道具表!$C:$C)&amp;"|"&amp;_xlfn.XLOOKUP(H7,道具表!$B:$B,道具表!$A:$A)&amp;"|"))</f>
        <v>1|5|</v>
      </c>
      <c r="I31" s="7" t="str">
        <f t="shared" si="4"/>
        <v>100,</v>
      </c>
      <c r="J31" s="6" t="str">
        <f>IF(J7="","",(_xlfn.XLOOKUP(J7,道具表!$B:$B,道具表!$C:$C)&amp;"|"&amp;_xlfn.XLOOKUP(J7,道具表!$B:$B,道具表!$A:$A)&amp;"|"))</f>
        <v>1|10007|</v>
      </c>
      <c r="K31" s="7" t="str">
        <f t="shared" si="5"/>
        <v>6,</v>
      </c>
      <c r="L31" s="6"/>
      <c r="M31" s="7"/>
      <c r="N31" s="19" t="str">
        <f t="shared" si="6"/>
        <v>1|5|20</v>
      </c>
      <c r="O31" s="20" t="str">
        <f t="shared" si="7"/>
        <v>1|5|100,1|10007|6</v>
      </c>
    </row>
    <row r="32" ht="15.6" spans="4:15">
      <c r="D32" s="7"/>
      <c r="E32" s="7">
        <f t="shared" si="2"/>
        <v>25</v>
      </c>
      <c r="F32" s="6" t="str">
        <f>IF(F8="","",(_xlfn.XLOOKUP(F8,道具表!$B:$B,道具表!$C:$C)&amp;"|"&amp;_xlfn.XLOOKUP(F8,道具表!$B:$B,道具表!$A:$A)&amp;"|"))</f>
        <v>1|5|</v>
      </c>
      <c r="G32" s="7" t="str">
        <f t="shared" si="3"/>
        <v>20,</v>
      </c>
      <c r="H32" s="6" t="str">
        <f>IF(H8="","",(_xlfn.XLOOKUP(H8,道具表!$B:$B,道具表!$C:$C)&amp;"|"&amp;_xlfn.XLOOKUP(H8,道具表!$B:$B,道具表!$A:$A)&amp;"|"))</f>
        <v>1|5|</v>
      </c>
      <c r="I32" s="7" t="str">
        <f t="shared" si="4"/>
        <v>100,</v>
      </c>
      <c r="J32" s="6" t="str">
        <f>IF(J8="","",(_xlfn.XLOOKUP(J8,道具表!$B:$B,道具表!$C:$C)&amp;"|"&amp;_xlfn.XLOOKUP(J8,道具表!$B:$B,道具表!$A:$A)&amp;"|"))</f>
        <v>1|10007|</v>
      </c>
      <c r="K32" s="7" t="str">
        <f t="shared" si="5"/>
        <v>6,</v>
      </c>
      <c r="L32" s="6"/>
      <c r="M32" s="7"/>
      <c r="N32" s="19" t="str">
        <f t="shared" si="6"/>
        <v>1|5|20</v>
      </c>
      <c r="O32" s="20" t="str">
        <f t="shared" si="7"/>
        <v>1|5|100,1|10007|6</v>
      </c>
    </row>
    <row r="33" ht="15.6" spans="4:15">
      <c r="D33" s="7"/>
      <c r="E33" s="7">
        <f t="shared" si="2"/>
        <v>30</v>
      </c>
      <c r="F33" s="6" t="str">
        <f>IF(F9="","",(_xlfn.XLOOKUP(F9,道具表!$B:$B,道具表!$C:$C)&amp;"|"&amp;_xlfn.XLOOKUP(F9,道具表!$B:$B,道具表!$A:$A)&amp;"|"))</f>
        <v>1|5|</v>
      </c>
      <c r="G33" s="7" t="str">
        <f t="shared" si="3"/>
        <v>20,</v>
      </c>
      <c r="H33" s="6" t="str">
        <f>IF(H9="","",(_xlfn.XLOOKUP(H9,道具表!$B:$B,道具表!$C:$C)&amp;"|"&amp;_xlfn.XLOOKUP(H9,道具表!$B:$B,道具表!$A:$A)&amp;"|"))</f>
        <v>1|5|</v>
      </c>
      <c r="I33" s="7" t="str">
        <f t="shared" si="4"/>
        <v>100,</v>
      </c>
      <c r="J33" s="6" t="str">
        <f>IF(J9="","",(_xlfn.XLOOKUP(J9,道具表!$B:$B,道具表!$C:$C)&amp;"|"&amp;_xlfn.XLOOKUP(J9,道具表!$B:$B,道具表!$A:$A)&amp;"|"))</f>
        <v>1|10007|</v>
      </c>
      <c r="K33" s="7" t="str">
        <f t="shared" si="5"/>
        <v>6,</v>
      </c>
      <c r="L33" s="6"/>
      <c r="M33" s="7"/>
      <c r="N33" s="19" t="str">
        <f t="shared" si="6"/>
        <v>1|5|20</v>
      </c>
      <c r="O33" s="20" t="str">
        <f t="shared" si="7"/>
        <v>1|5|100,1|10007|6</v>
      </c>
    </row>
    <row r="34" ht="15.6" spans="4:15">
      <c r="D34" s="7"/>
      <c r="E34" s="7">
        <f t="shared" si="2"/>
        <v>35</v>
      </c>
      <c r="F34" s="6" t="str">
        <f>IF(F10="","",(_xlfn.XLOOKUP(F10,道具表!$B:$B,道具表!$C:$C)&amp;"|"&amp;_xlfn.XLOOKUP(F10,道具表!$B:$B,道具表!$A:$A)&amp;"|"))</f>
        <v>1|5|</v>
      </c>
      <c r="G34" s="7" t="str">
        <f t="shared" si="3"/>
        <v>20,</v>
      </c>
      <c r="H34" s="6" t="str">
        <f>IF(H10="","",(_xlfn.XLOOKUP(H10,道具表!$B:$B,道具表!$C:$C)&amp;"|"&amp;_xlfn.XLOOKUP(H10,道具表!$B:$B,道具表!$A:$A)&amp;"|"))</f>
        <v>1|5|</v>
      </c>
      <c r="I34" s="7" t="str">
        <f t="shared" si="4"/>
        <v>100,</v>
      </c>
      <c r="J34" s="6" t="str">
        <f>IF(J10="","",(_xlfn.XLOOKUP(J10,道具表!$B:$B,道具表!$C:$C)&amp;"|"&amp;_xlfn.XLOOKUP(J10,道具表!$B:$B,道具表!$A:$A)&amp;"|"))</f>
        <v>1|10007|</v>
      </c>
      <c r="K34" s="7" t="str">
        <f t="shared" si="5"/>
        <v>8,</v>
      </c>
      <c r="L34" s="6"/>
      <c r="M34" s="7"/>
      <c r="N34" s="19" t="str">
        <f t="shared" si="6"/>
        <v>1|5|20</v>
      </c>
      <c r="O34" s="20" t="str">
        <f t="shared" si="7"/>
        <v>1|5|100,1|10007|8</v>
      </c>
    </row>
    <row r="35" ht="15.6" spans="4:15">
      <c r="D35" s="7"/>
      <c r="E35" s="7">
        <f t="shared" si="2"/>
        <v>40</v>
      </c>
      <c r="F35" s="6" t="str">
        <f>IF(F11="","",(_xlfn.XLOOKUP(F11,道具表!$B:$B,道具表!$C:$C)&amp;"|"&amp;_xlfn.XLOOKUP(F11,道具表!$B:$B,道具表!$A:$A)&amp;"|"))</f>
        <v>1|5|</v>
      </c>
      <c r="G35" s="7" t="str">
        <f t="shared" si="3"/>
        <v>20,</v>
      </c>
      <c r="H35" s="6" t="str">
        <f>IF(H11="","",(_xlfn.XLOOKUP(H11,道具表!$B:$B,道具表!$C:$C)&amp;"|"&amp;_xlfn.XLOOKUP(H11,道具表!$B:$B,道具表!$A:$A)&amp;"|"))</f>
        <v>1|5|</v>
      </c>
      <c r="I35" s="7" t="str">
        <f t="shared" si="4"/>
        <v>100,</v>
      </c>
      <c r="J35" s="6" t="str">
        <f>IF(J11="","",(_xlfn.XLOOKUP(J11,道具表!$B:$B,道具表!$C:$C)&amp;"|"&amp;_xlfn.XLOOKUP(J11,道具表!$B:$B,道具表!$A:$A)&amp;"|"))</f>
        <v>1|10007|</v>
      </c>
      <c r="K35" s="7" t="str">
        <f t="shared" si="5"/>
        <v>8,</v>
      </c>
      <c r="L35" s="6"/>
      <c r="M35" s="7"/>
      <c r="N35" s="19" t="str">
        <f t="shared" si="6"/>
        <v>1|5|20</v>
      </c>
      <c r="O35" s="20" t="str">
        <f t="shared" si="7"/>
        <v>1|5|100,1|10007|8</v>
      </c>
    </row>
    <row r="36" ht="15.6" spans="4:15">
      <c r="D36" s="7"/>
      <c r="E36" s="7">
        <f t="shared" si="2"/>
        <v>45</v>
      </c>
      <c r="F36" s="6" t="str">
        <f>IF(F12="","",(_xlfn.XLOOKUP(F12,道具表!$B:$B,道具表!$C:$C)&amp;"|"&amp;_xlfn.XLOOKUP(F12,道具表!$B:$B,道具表!$A:$A)&amp;"|"))</f>
        <v>1|5|</v>
      </c>
      <c r="G36" s="7" t="str">
        <f t="shared" si="3"/>
        <v>25,</v>
      </c>
      <c r="H36" s="6" t="str">
        <f>IF(H12="","",(_xlfn.XLOOKUP(H12,道具表!$B:$B,道具表!$C:$C)&amp;"|"&amp;_xlfn.XLOOKUP(H12,道具表!$B:$B,道具表!$A:$A)&amp;"|"))</f>
        <v>1|5|</v>
      </c>
      <c r="I36" s="7" t="str">
        <f t="shared" si="4"/>
        <v>150,</v>
      </c>
      <c r="J36" s="6" t="str">
        <f>IF(J12="","",(_xlfn.XLOOKUP(J12,道具表!$B:$B,道具表!$C:$C)&amp;"|"&amp;_xlfn.XLOOKUP(J12,道具表!$B:$B,道具表!$A:$A)&amp;"|"))</f>
        <v>1|10007|</v>
      </c>
      <c r="K36" s="7" t="str">
        <f t="shared" si="5"/>
        <v>8,</v>
      </c>
      <c r="L36" s="6"/>
      <c r="M36" s="7"/>
      <c r="N36" s="19" t="str">
        <f t="shared" si="6"/>
        <v>1|5|25</v>
      </c>
      <c r="O36" s="20" t="str">
        <f t="shared" si="7"/>
        <v>1|5|150,1|10007|8</v>
      </c>
    </row>
    <row r="37" ht="15.6" spans="4:15">
      <c r="D37" s="7"/>
      <c r="E37" s="7">
        <f t="shared" si="2"/>
        <v>50</v>
      </c>
      <c r="F37" s="6" t="str">
        <f>IF(F13="","",(_xlfn.XLOOKUP(F13,道具表!$B:$B,道具表!$C:$C)&amp;"|"&amp;_xlfn.XLOOKUP(F13,道具表!$B:$B,道具表!$A:$A)&amp;"|"))</f>
        <v>1|5|</v>
      </c>
      <c r="G37" s="7" t="str">
        <f t="shared" si="3"/>
        <v>25,</v>
      </c>
      <c r="H37" s="6" t="str">
        <f>IF(H13="","",(_xlfn.XLOOKUP(H13,道具表!$B:$B,道具表!$C:$C)&amp;"|"&amp;_xlfn.XLOOKUP(H13,道具表!$B:$B,道具表!$A:$A)&amp;"|"))</f>
        <v>1|5|</v>
      </c>
      <c r="I37" s="7" t="str">
        <f t="shared" si="4"/>
        <v>150,</v>
      </c>
      <c r="J37" s="6" t="str">
        <f>IF(J13="","",(_xlfn.XLOOKUP(J13,道具表!$B:$B,道具表!$C:$C)&amp;"|"&amp;_xlfn.XLOOKUP(J13,道具表!$B:$B,道具表!$A:$A)&amp;"|"))</f>
        <v>1|10007|</v>
      </c>
      <c r="K37" s="7" t="str">
        <f t="shared" si="5"/>
        <v>10,</v>
      </c>
      <c r="L37" s="6"/>
      <c r="M37" s="7"/>
      <c r="N37" s="19" t="str">
        <f t="shared" si="6"/>
        <v>1|5|25</v>
      </c>
      <c r="O37" s="20" t="str">
        <f t="shared" si="7"/>
        <v>1|5|150,1|10007|10</v>
      </c>
    </row>
    <row r="38" ht="15.6" spans="4:15">
      <c r="D38" s="7"/>
      <c r="E38" s="7">
        <f t="shared" si="2"/>
        <v>55</v>
      </c>
      <c r="F38" s="6" t="str">
        <f>IF(F14="","",(_xlfn.XLOOKUP(F14,道具表!$B:$B,道具表!$C:$C)&amp;"|"&amp;_xlfn.XLOOKUP(F14,道具表!$B:$B,道具表!$A:$A)&amp;"|"))</f>
        <v>1|5|</v>
      </c>
      <c r="G38" s="7" t="str">
        <f t="shared" si="3"/>
        <v>25,</v>
      </c>
      <c r="H38" s="6" t="str">
        <f>IF(H14="","",(_xlfn.XLOOKUP(H14,道具表!$B:$B,道具表!$C:$C)&amp;"|"&amp;_xlfn.XLOOKUP(H14,道具表!$B:$B,道具表!$A:$A)&amp;"|"))</f>
        <v>1|5|</v>
      </c>
      <c r="I38" s="7" t="str">
        <f t="shared" si="4"/>
        <v>150,</v>
      </c>
      <c r="J38" s="6" t="str">
        <f>IF(J14="","",(_xlfn.XLOOKUP(J14,道具表!$B:$B,道具表!$C:$C)&amp;"|"&amp;_xlfn.XLOOKUP(J14,道具表!$B:$B,道具表!$A:$A)&amp;"|"))</f>
        <v>1|10007|</v>
      </c>
      <c r="K38" s="7" t="str">
        <f t="shared" si="5"/>
        <v>10,</v>
      </c>
      <c r="L38" s="6"/>
      <c r="M38" s="7"/>
      <c r="N38" s="19" t="str">
        <f t="shared" si="6"/>
        <v>1|5|25</v>
      </c>
      <c r="O38" s="20" t="str">
        <f t="shared" si="7"/>
        <v>1|5|150,1|10007|10</v>
      </c>
    </row>
    <row r="39" ht="15.6" spans="4:15">
      <c r="D39" s="7"/>
      <c r="E39" s="7">
        <f t="shared" si="2"/>
        <v>60</v>
      </c>
      <c r="F39" s="6" t="str">
        <f>IF(F15="","",(_xlfn.XLOOKUP(F15,道具表!$B:$B,道具表!$C:$C)&amp;"|"&amp;_xlfn.XLOOKUP(F15,道具表!$B:$B,道具表!$A:$A)&amp;"|"))</f>
        <v>1|5|</v>
      </c>
      <c r="G39" s="7" t="str">
        <f t="shared" si="3"/>
        <v>25,</v>
      </c>
      <c r="H39" s="6" t="str">
        <f>IF(H15="","",(_xlfn.XLOOKUP(H15,道具表!$B:$B,道具表!$C:$C)&amp;"|"&amp;_xlfn.XLOOKUP(H15,道具表!$B:$B,道具表!$A:$A)&amp;"|"))</f>
        <v>1|5|</v>
      </c>
      <c r="I39" s="7" t="str">
        <f t="shared" si="4"/>
        <v>150,</v>
      </c>
      <c r="J39" s="6" t="str">
        <f>IF(J15="","",(_xlfn.XLOOKUP(J15,道具表!$B:$B,道具表!$C:$C)&amp;"|"&amp;_xlfn.XLOOKUP(J15,道具表!$B:$B,道具表!$A:$A)&amp;"|"))</f>
        <v>1|10007|</v>
      </c>
      <c r="K39" s="7" t="str">
        <f t="shared" si="5"/>
        <v>10,</v>
      </c>
      <c r="L39" s="6"/>
      <c r="M39" s="7"/>
      <c r="N39" s="19" t="str">
        <f t="shared" si="6"/>
        <v>1|5|25</v>
      </c>
      <c r="O39" s="20" t="str">
        <f t="shared" si="7"/>
        <v>1|5|150,1|10007|10</v>
      </c>
    </row>
    <row r="40" ht="15.6" spans="4:15">
      <c r="D40" s="7"/>
      <c r="E40" s="7">
        <f t="shared" si="2"/>
        <v>65</v>
      </c>
      <c r="F40" s="6" t="str">
        <f>IF(F16="","",(_xlfn.XLOOKUP(F16,道具表!$B:$B,道具表!$C:$C)&amp;"|"&amp;_xlfn.XLOOKUP(F16,道具表!$B:$B,道具表!$A:$A)&amp;"|"))</f>
        <v>1|5|</v>
      </c>
      <c r="G40" s="7" t="str">
        <f t="shared" si="3"/>
        <v>30,</v>
      </c>
      <c r="H40" s="6" t="str">
        <f>IF(H16="","",(_xlfn.XLOOKUP(H16,道具表!$B:$B,道具表!$C:$C)&amp;"|"&amp;_xlfn.XLOOKUP(H16,道具表!$B:$B,道具表!$A:$A)&amp;"|"))</f>
        <v>1|5|</v>
      </c>
      <c r="I40" s="7" t="str">
        <f t="shared" si="4"/>
        <v>200,</v>
      </c>
      <c r="J40" s="6" t="str">
        <f>IF(J16="","",(_xlfn.XLOOKUP(J16,道具表!$B:$B,道具表!$C:$C)&amp;"|"&amp;_xlfn.XLOOKUP(J16,道具表!$B:$B,道具表!$A:$A)&amp;"|"))</f>
        <v>1|10007|</v>
      </c>
      <c r="K40" s="7" t="str">
        <f t="shared" si="5"/>
        <v>12,</v>
      </c>
      <c r="L40" s="6"/>
      <c r="M40" s="7"/>
      <c r="N40" s="19" t="str">
        <f t="shared" si="6"/>
        <v>1|5|30</v>
      </c>
      <c r="O40" s="20" t="str">
        <f t="shared" si="7"/>
        <v>1|5|200,1|10007|12</v>
      </c>
    </row>
    <row r="41" ht="15.6" spans="4:15">
      <c r="D41" s="7"/>
      <c r="E41" s="7">
        <f t="shared" si="2"/>
        <v>70</v>
      </c>
      <c r="F41" s="6" t="str">
        <f>IF(F17="","",(_xlfn.XLOOKUP(F17,道具表!$B:$B,道具表!$C:$C)&amp;"|"&amp;_xlfn.XLOOKUP(F17,道具表!$B:$B,道具表!$A:$A)&amp;"|"))</f>
        <v>1|5|</v>
      </c>
      <c r="G41" s="7" t="str">
        <f t="shared" si="3"/>
        <v>30,</v>
      </c>
      <c r="H41" s="6" t="str">
        <f>IF(H17="","",(_xlfn.XLOOKUP(H17,道具表!$B:$B,道具表!$C:$C)&amp;"|"&amp;_xlfn.XLOOKUP(H17,道具表!$B:$B,道具表!$A:$A)&amp;"|"))</f>
        <v>1|5|</v>
      </c>
      <c r="I41" s="7" t="str">
        <f t="shared" si="4"/>
        <v>200,</v>
      </c>
      <c r="J41" s="6" t="str">
        <f>IF(J17="","",(_xlfn.XLOOKUP(J17,道具表!$B:$B,道具表!$C:$C)&amp;"|"&amp;_xlfn.XLOOKUP(J17,道具表!$B:$B,道具表!$A:$A)&amp;"|"))</f>
        <v>1|10007|</v>
      </c>
      <c r="K41" s="7" t="str">
        <f t="shared" si="5"/>
        <v>12,</v>
      </c>
      <c r="L41" s="6"/>
      <c r="M41" s="7"/>
      <c r="N41" s="19" t="str">
        <f t="shared" si="6"/>
        <v>1|5|30</v>
      </c>
      <c r="O41" s="20" t="str">
        <f t="shared" si="7"/>
        <v>1|5|200,1|10007|12</v>
      </c>
    </row>
    <row r="42" ht="15.6" spans="4:15">
      <c r="D42" s="7"/>
      <c r="E42" s="7">
        <f t="shared" si="2"/>
        <v>75</v>
      </c>
      <c r="F42" s="6" t="str">
        <f>IF(F18="","",(_xlfn.XLOOKUP(F18,道具表!$B:$B,道具表!$C:$C)&amp;"|"&amp;_xlfn.XLOOKUP(F18,道具表!$B:$B,道具表!$A:$A)&amp;"|"))</f>
        <v>1|5|</v>
      </c>
      <c r="G42" s="7" t="str">
        <f t="shared" si="3"/>
        <v>30,</v>
      </c>
      <c r="H42" s="6" t="str">
        <f>IF(H18="","",(_xlfn.XLOOKUP(H18,道具表!$B:$B,道具表!$C:$C)&amp;"|"&amp;_xlfn.XLOOKUP(H18,道具表!$B:$B,道具表!$A:$A)&amp;"|"))</f>
        <v>1|5|</v>
      </c>
      <c r="I42" s="7" t="str">
        <f t="shared" si="4"/>
        <v>200,</v>
      </c>
      <c r="J42" s="6" t="str">
        <f>IF(J18="","",(_xlfn.XLOOKUP(J18,道具表!$B:$B,道具表!$C:$C)&amp;"|"&amp;_xlfn.XLOOKUP(J18,道具表!$B:$B,道具表!$A:$A)&amp;"|"))</f>
        <v>1|10007|</v>
      </c>
      <c r="K42" s="7" t="str">
        <f t="shared" si="5"/>
        <v>12,</v>
      </c>
      <c r="L42" s="6"/>
      <c r="M42" s="7"/>
      <c r="N42" s="19" t="str">
        <f t="shared" si="6"/>
        <v>1|5|30</v>
      </c>
      <c r="O42" s="20" t="str">
        <f t="shared" si="7"/>
        <v>1|5|200,1|10007|12</v>
      </c>
    </row>
    <row r="43" ht="15.6" spans="4:15">
      <c r="D43" s="7"/>
      <c r="E43" s="7">
        <f t="shared" si="2"/>
        <v>80</v>
      </c>
      <c r="F43" s="6" t="str">
        <f>IF(F19="","",(_xlfn.XLOOKUP(F19,道具表!$B:$B,道具表!$C:$C)&amp;"|"&amp;_xlfn.XLOOKUP(F19,道具表!$B:$B,道具表!$A:$A)&amp;"|"))</f>
        <v>1|5|</v>
      </c>
      <c r="G43" s="7" t="str">
        <f t="shared" si="3"/>
        <v>30,</v>
      </c>
      <c r="H43" s="6" t="str">
        <f>IF(H19="","",(_xlfn.XLOOKUP(H19,道具表!$B:$B,道具表!$C:$C)&amp;"|"&amp;_xlfn.XLOOKUP(H19,道具表!$B:$B,道具表!$A:$A)&amp;"|"))</f>
        <v>1|5|</v>
      </c>
      <c r="I43" s="7" t="str">
        <f t="shared" si="4"/>
        <v>200,</v>
      </c>
      <c r="J43" s="6" t="str">
        <f>IF(J19="","",(_xlfn.XLOOKUP(J19,道具表!$B:$B,道具表!$C:$C)&amp;"|"&amp;_xlfn.XLOOKUP(J19,道具表!$B:$B,道具表!$A:$A)&amp;"|"))</f>
        <v>1|10007|</v>
      </c>
      <c r="K43" s="7" t="str">
        <f t="shared" si="5"/>
        <v>14,</v>
      </c>
      <c r="L43" s="6"/>
      <c r="M43" s="7"/>
      <c r="N43" s="19" t="str">
        <f t="shared" si="6"/>
        <v>1|5|30</v>
      </c>
      <c r="O43" s="20" t="str">
        <f t="shared" si="7"/>
        <v>1|5|200,1|10007|14</v>
      </c>
    </row>
    <row r="44" ht="15.6" spans="4:15">
      <c r="D44" s="7"/>
      <c r="E44" s="7">
        <f>E20</f>
        <v>85</v>
      </c>
      <c r="F44" s="6" t="str">
        <f>IF(F20="","",(_xlfn.XLOOKUP(F20,道具表!$B:$B,道具表!$C:$C)&amp;"|"&amp;_xlfn.XLOOKUP(F20,道具表!$B:$B,道具表!$A:$A)&amp;"|"))</f>
        <v>1|5|</v>
      </c>
      <c r="G44" s="7" t="str">
        <f>IF(G20="","",G20&amp;",")</f>
        <v>30,</v>
      </c>
      <c r="H44" s="6" t="str">
        <f>IF(H20="","",(_xlfn.XLOOKUP(H20,道具表!$B:$B,道具表!$C:$C)&amp;"|"&amp;_xlfn.XLOOKUP(H20,道具表!$B:$B,道具表!$A:$A)&amp;"|"))</f>
        <v>1|5|</v>
      </c>
      <c r="I44" s="7" t="str">
        <f>IF(I20="","",I20&amp;",")</f>
        <v>200,</v>
      </c>
      <c r="J44" s="6" t="str">
        <f>IF(J20="","",(_xlfn.XLOOKUP(J20,道具表!$B:$B,道具表!$C:$C)&amp;"|"&amp;_xlfn.XLOOKUP(J20,道具表!$B:$B,道具表!$A:$A)&amp;"|"))</f>
        <v>1|10007|</v>
      </c>
      <c r="K44" s="7" t="str">
        <f>IF(K20="","",K20&amp;",")</f>
        <v>14,</v>
      </c>
      <c r="L44" s="6"/>
      <c r="M44" s="7"/>
      <c r="N44" s="19" t="str">
        <f t="shared" si="6"/>
        <v>1|5|30</v>
      </c>
      <c r="O44" s="20" t="str">
        <f t="shared" si="7"/>
        <v>1|5|200,1|10007|14</v>
      </c>
    </row>
    <row r="45" ht="15.6" spans="4:15">
      <c r="D45" s="7"/>
      <c r="E45" s="7">
        <f>E21</f>
        <v>90</v>
      </c>
      <c r="F45" s="6" t="str">
        <f>IF(F21="","",(_xlfn.XLOOKUP(F21,道具表!$B:$B,道具表!$C:$C)&amp;"|"&amp;_xlfn.XLOOKUP(F21,道具表!$B:$B,道具表!$A:$A)&amp;"|"))</f>
        <v>1|5|</v>
      </c>
      <c r="G45" s="7" t="str">
        <f>IF(G21="","",G21&amp;",")</f>
        <v>35,</v>
      </c>
      <c r="H45" s="6" t="str">
        <f>IF(H21="","",(_xlfn.XLOOKUP(H21,道具表!$B:$B,道具表!$C:$C)&amp;"|"&amp;_xlfn.XLOOKUP(H21,道具表!$B:$B,道具表!$A:$A)&amp;"|"))</f>
        <v>1|5|</v>
      </c>
      <c r="I45" s="7" t="str">
        <f>IF(I21="","",I21&amp;",")</f>
        <v>250,</v>
      </c>
      <c r="J45" s="6" t="str">
        <f>IF(J21="","",(_xlfn.XLOOKUP(J21,道具表!$B:$B,道具表!$C:$C)&amp;"|"&amp;_xlfn.XLOOKUP(J21,道具表!$B:$B,道具表!$A:$A)&amp;"|"))</f>
        <v>1|10007|</v>
      </c>
      <c r="K45" s="7" t="str">
        <f>IF(K21="","",K21&amp;",")</f>
        <v>16,</v>
      </c>
      <c r="L45" s="6"/>
      <c r="M45" s="7"/>
      <c r="N45" s="19" t="str">
        <f t="shared" si="6"/>
        <v>1|5|35</v>
      </c>
      <c r="O45" s="20" t="str">
        <f t="shared" si="7"/>
        <v>1|5|250,1|10007|16</v>
      </c>
    </row>
    <row r="46" ht="15.6" spans="4:15">
      <c r="D46" s="7"/>
      <c r="E46" s="7">
        <f>E22</f>
        <v>95</v>
      </c>
      <c r="F46" s="6" t="str">
        <f>IF(F22="","",(_xlfn.XLOOKUP(F22,道具表!$B:$B,道具表!$C:$C)&amp;"|"&amp;_xlfn.XLOOKUP(F22,道具表!$B:$B,道具表!$A:$A)&amp;"|"))</f>
        <v>1|5|</v>
      </c>
      <c r="G46" s="7" t="str">
        <f>IF(G22="","",G22&amp;",")</f>
        <v>40,</v>
      </c>
      <c r="H46" s="6" t="str">
        <f>IF(H22="","",(_xlfn.XLOOKUP(H22,道具表!$B:$B,道具表!$C:$C)&amp;"|"&amp;_xlfn.XLOOKUP(H22,道具表!$B:$B,道具表!$A:$A)&amp;"|"))</f>
        <v>1|5|</v>
      </c>
      <c r="I46" s="7" t="str">
        <f>IF(I22="","",I22&amp;",")</f>
        <v>300,</v>
      </c>
      <c r="J46" s="6" t="str">
        <f>IF(J22="","",(_xlfn.XLOOKUP(J22,道具表!$B:$B,道具表!$C:$C)&amp;"|"&amp;_xlfn.XLOOKUP(J22,道具表!$B:$B,道具表!$A:$A)&amp;"|"))</f>
        <v>1|10007|</v>
      </c>
      <c r="K46" s="7" t="str">
        <f>IF(K22="","",K22&amp;",")</f>
        <v>18,</v>
      </c>
      <c r="L46" s="6"/>
      <c r="M46" s="7"/>
      <c r="N46" s="19" t="str">
        <f t="shared" si="6"/>
        <v>1|5|40</v>
      </c>
      <c r="O46" s="20" t="str">
        <f t="shared" si="7"/>
        <v>1|5|300,1|10007|18</v>
      </c>
    </row>
    <row r="47" ht="15.6" spans="4:15">
      <c r="D47" s="7"/>
      <c r="E47" s="7">
        <f>E23</f>
        <v>97</v>
      </c>
      <c r="F47" s="6" t="str">
        <f>IF(F23="","",(_xlfn.XLOOKUP(F23,道具表!$B:$B,道具表!$C:$C)&amp;"|"&amp;_xlfn.XLOOKUP(F23,道具表!$B:$B,道具表!$A:$A)&amp;"|"))</f>
        <v>1|5|</v>
      </c>
      <c r="G47" s="7" t="str">
        <f>IF(G23="","",G23&amp;",")</f>
        <v>45,</v>
      </c>
      <c r="H47" s="6" t="str">
        <f>IF(H23="","",(_xlfn.XLOOKUP(H23,道具表!$B:$B,道具表!$C:$C)&amp;"|"&amp;_xlfn.XLOOKUP(H23,道具表!$B:$B,道具表!$A:$A)&amp;"|"))</f>
        <v>1|5|</v>
      </c>
      <c r="I47" s="7" t="str">
        <f>IF(I23="","",I23&amp;",")</f>
        <v>400,</v>
      </c>
      <c r="J47" s="6" t="str">
        <f>IF(J23="","",(_xlfn.XLOOKUP(J23,道具表!$B:$B,道具表!$C:$C)&amp;"|"&amp;_xlfn.XLOOKUP(J23,道具表!$B:$B,道具表!$A:$A)&amp;"|"))</f>
        <v>1|10007|</v>
      </c>
      <c r="K47" s="7" t="str">
        <f>IF(K23="","",K23&amp;",")</f>
        <v>20,</v>
      </c>
      <c r="L47" s="6"/>
      <c r="M47" s="7"/>
      <c r="N47" s="19" t="str">
        <f t="shared" si="6"/>
        <v>1|5|45</v>
      </c>
      <c r="O47" s="20" t="str">
        <f t="shared" si="7"/>
        <v>1|5|400,1|10007|20</v>
      </c>
    </row>
    <row r="48" ht="15.6" spans="4:15">
      <c r="D48" s="7"/>
      <c r="E48" s="7">
        <f>E24</f>
        <v>100</v>
      </c>
      <c r="F48" s="6" t="str">
        <f>IF(F24="","",(_xlfn.XLOOKUP(F24,道具表!$B:$B,道具表!$C:$C)&amp;"|"&amp;_xlfn.XLOOKUP(F24,道具表!$B:$B,道具表!$A:$A)&amp;"|"))</f>
        <v>1|5|</v>
      </c>
      <c r="G48" s="7" t="str">
        <f>IF(G24="","",G24&amp;",")</f>
        <v>50,</v>
      </c>
      <c r="H48" s="6" t="str">
        <f>IF(H24="","",(_xlfn.XLOOKUP(H24,道具表!$B:$B,道具表!$C:$C)&amp;"|"&amp;_xlfn.XLOOKUP(H24,道具表!$B:$B,道具表!$A:$A)&amp;"|"))</f>
        <v>1|5|</v>
      </c>
      <c r="I48" s="7" t="str">
        <f>IF(I24="","",I24&amp;",")</f>
        <v>500,</v>
      </c>
      <c r="J48" s="6" t="str">
        <f>IF(J24="","",(_xlfn.XLOOKUP(J24,道具表!$B:$B,道具表!$C:$C)&amp;"|"&amp;_xlfn.XLOOKUP(J24,道具表!$B:$B,道具表!$A:$A)&amp;"|"))</f>
        <v>1|10007|</v>
      </c>
      <c r="K48" s="7" t="str">
        <f>IF(K24="","",K24&amp;",")</f>
        <v>25,</v>
      </c>
      <c r="L48" s="6"/>
      <c r="M48" s="7"/>
      <c r="N48" s="19" t="str">
        <f t="shared" si="6"/>
        <v>1|5|50</v>
      </c>
      <c r="O48" s="20" t="str">
        <f t="shared" si="7"/>
        <v>1|5|500,1|10007|25</v>
      </c>
    </row>
  </sheetData>
  <mergeCells count="3">
    <mergeCell ref="C4:C9"/>
    <mergeCell ref="C10:C11"/>
    <mergeCell ref="C12:C13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R57"/>
  <sheetViews>
    <sheetView topLeftCell="A7" workbookViewId="0">
      <selection activeCell="J34" sqref="J34"/>
    </sheetView>
  </sheetViews>
  <sheetFormatPr defaultColWidth="8.88888888888889" defaultRowHeight="14.4"/>
  <cols>
    <col min="9" max="9" width="12.8888888888889"/>
    <col min="16" max="16" width="9.66666666666667"/>
    <col min="17" max="17" width="12.8888888888889"/>
  </cols>
  <sheetData>
    <row r="1" spans="9:9">
      <c r="I1">
        <v>18660</v>
      </c>
    </row>
    <row r="2" ht="15.6" spans="4:18">
      <c r="D2" s="7" t="s">
        <v>338</v>
      </c>
      <c r="E2" s="7" t="s">
        <v>354</v>
      </c>
      <c r="F2" s="7" t="s">
        <v>953</v>
      </c>
      <c r="G2" s="7" t="s">
        <v>323</v>
      </c>
      <c r="H2" s="7" t="s">
        <v>1124</v>
      </c>
      <c r="I2" s="7" t="s">
        <v>323</v>
      </c>
      <c r="J2" s="7" t="s">
        <v>1125</v>
      </c>
      <c r="K2" s="7" t="s">
        <v>323</v>
      </c>
      <c r="L2" s="7" t="s">
        <v>1126</v>
      </c>
      <c r="M2" s="7" t="s">
        <v>323</v>
      </c>
      <c r="N2" s="6" t="s">
        <v>339</v>
      </c>
      <c r="O2" s="6" t="s">
        <v>340</v>
      </c>
      <c r="P2" s="6" t="s">
        <v>341</v>
      </c>
      <c r="R2">
        <f>980*10</f>
        <v>9800</v>
      </c>
    </row>
    <row r="3" ht="15.6" spans="4:16">
      <c r="D3" s="7">
        <v>98</v>
      </c>
      <c r="E3" s="7">
        <v>1</v>
      </c>
      <c r="F3" s="7" t="s">
        <v>6</v>
      </c>
      <c r="G3" s="7">
        <v>20</v>
      </c>
      <c r="H3" s="7" t="s">
        <v>6</v>
      </c>
      <c r="I3" s="7">
        <v>500</v>
      </c>
      <c r="J3" s="7"/>
      <c r="K3" s="7"/>
      <c r="L3" s="7" t="s">
        <v>6</v>
      </c>
      <c r="M3" s="7">
        <v>980</v>
      </c>
      <c r="N3" s="6">
        <f>_xlfn.XLOOKUP(H3,道具表!$B:$B,道具表!$E:$E)</f>
        <v>1</v>
      </c>
      <c r="O3" s="6">
        <f>_xlfn.XLOOKUP(J3,道具表!$B:$B,道具表!$E:$E)</f>
        <v>0</v>
      </c>
      <c r="P3" s="6">
        <f>N3*I3+O3*K3</f>
        <v>500</v>
      </c>
    </row>
    <row r="4" ht="15.6" spans="4:16">
      <c r="D4" s="7"/>
      <c r="E4" s="7">
        <v>2</v>
      </c>
      <c r="F4" s="7" t="s">
        <v>6</v>
      </c>
      <c r="G4" s="7">
        <v>20</v>
      </c>
      <c r="H4" s="7" t="s">
        <v>6</v>
      </c>
      <c r="I4" s="7">
        <v>500</v>
      </c>
      <c r="J4" s="7"/>
      <c r="K4" s="7"/>
      <c r="L4" s="7"/>
      <c r="M4" s="7"/>
      <c r="N4" s="6">
        <f>_xlfn.XLOOKUP(H4,道具表!$B:$B,道具表!$E:$E)</f>
        <v>1</v>
      </c>
      <c r="O4" s="6">
        <f>_xlfn.XLOOKUP(J4,道具表!$B:$B,道具表!$E:$E)</f>
        <v>0</v>
      </c>
      <c r="P4" s="6">
        <f>N4*I4+O4*K4</f>
        <v>500</v>
      </c>
    </row>
    <row r="5" ht="15.6" spans="4:16">
      <c r="D5" s="7"/>
      <c r="E5" s="7">
        <v>3</v>
      </c>
      <c r="F5" s="7" t="s">
        <v>6</v>
      </c>
      <c r="G5" s="7">
        <v>20</v>
      </c>
      <c r="H5" s="7" t="s">
        <v>6</v>
      </c>
      <c r="I5" s="7">
        <v>500</v>
      </c>
      <c r="J5" s="7"/>
      <c r="K5" s="7"/>
      <c r="L5" s="7"/>
      <c r="M5" s="7"/>
      <c r="N5" s="6">
        <f>_xlfn.XLOOKUP(H5,道具表!$B:$B,道具表!$E:$E)</f>
        <v>1</v>
      </c>
      <c r="O5" s="6">
        <f>_xlfn.XLOOKUP(J5,道具表!$B:$B,道具表!$E:$E)</f>
        <v>0</v>
      </c>
      <c r="P5" s="6">
        <f t="shared" ref="P5:P22" si="0">N5*I5+O5*K5</f>
        <v>500</v>
      </c>
    </row>
    <row r="6" ht="15.6" spans="4:16">
      <c r="D6" s="7"/>
      <c r="E6" s="7">
        <v>4</v>
      </c>
      <c r="F6" s="7" t="s">
        <v>6</v>
      </c>
      <c r="G6" s="7">
        <v>20</v>
      </c>
      <c r="H6" s="7" t="s">
        <v>6</v>
      </c>
      <c r="I6" s="7">
        <v>500</v>
      </c>
      <c r="J6" s="7"/>
      <c r="K6" s="7"/>
      <c r="L6" s="7"/>
      <c r="M6" s="7"/>
      <c r="N6" s="6">
        <f>_xlfn.XLOOKUP(H6,道具表!$B:$B,道具表!$E:$E)</f>
        <v>1</v>
      </c>
      <c r="O6" s="6">
        <f>_xlfn.XLOOKUP(J6,道具表!$B:$B,道具表!$E:$E)</f>
        <v>0</v>
      </c>
      <c r="P6" s="6">
        <f t="shared" si="0"/>
        <v>500</v>
      </c>
    </row>
    <row r="7" ht="15.6" spans="4:16">
      <c r="D7" s="7"/>
      <c r="E7" s="7">
        <v>5</v>
      </c>
      <c r="F7" s="7" t="s">
        <v>6</v>
      </c>
      <c r="G7" s="7">
        <v>20</v>
      </c>
      <c r="H7" s="7" t="s">
        <v>6</v>
      </c>
      <c r="I7" s="7">
        <v>500</v>
      </c>
      <c r="J7" s="7"/>
      <c r="K7" s="7"/>
      <c r="L7" s="7"/>
      <c r="M7" s="7"/>
      <c r="N7" s="6">
        <f>_xlfn.XLOOKUP(H7,道具表!$B:$B,道具表!$E:$E)</f>
        <v>1</v>
      </c>
      <c r="O7" s="6">
        <f>_xlfn.XLOOKUP(J7,道具表!$B:$B,道具表!$E:$E)</f>
        <v>0</v>
      </c>
      <c r="P7" s="6">
        <f t="shared" si="0"/>
        <v>500</v>
      </c>
    </row>
    <row r="8" ht="15.6" spans="4:16">
      <c r="D8" s="7"/>
      <c r="E8" s="7">
        <v>6</v>
      </c>
      <c r="F8" s="7" t="s">
        <v>6</v>
      </c>
      <c r="G8" s="7">
        <v>30</v>
      </c>
      <c r="H8" s="7" t="s">
        <v>6</v>
      </c>
      <c r="I8" s="7">
        <v>500</v>
      </c>
      <c r="J8" s="7"/>
      <c r="K8" s="7"/>
      <c r="L8" s="7"/>
      <c r="M8" s="7"/>
      <c r="N8" s="6">
        <f>_xlfn.XLOOKUP(H8,道具表!$B:$B,道具表!$E:$E)</f>
        <v>1</v>
      </c>
      <c r="O8" s="6">
        <f>_xlfn.XLOOKUP(J8,道具表!$B:$B,道具表!$E:$E)</f>
        <v>0</v>
      </c>
      <c r="P8" s="6">
        <f t="shared" si="0"/>
        <v>500</v>
      </c>
    </row>
    <row r="9" ht="15.6" spans="4:16">
      <c r="D9" s="7"/>
      <c r="E9" s="7">
        <v>7</v>
      </c>
      <c r="F9" s="7" t="s">
        <v>6</v>
      </c>
      <c r="G9" s="7">
        <v>30</v>
      </c>
      <c r="H9" s="7" t="s">
        <v>6</v>
      </c>
      <c r="I9" s="7">
        <v>500</v>
      </c>
      <c r="J9" s="7"/>
      <c r="K9" s="7"/>
      <c r="L9" s="7"/>
      <c r="M9" s="7"/>
      <c r="N9" s="6">
        <f>_xlfn.XLOOKUP(H9,道具表!$B:$B,道具表!$E:$E)</f>
        <v>1</v>
      </c>
      <c r="O9" s="6">
        <f>_xlfn.XLOOKUP(J9,道具表!$B:$B,道具表!$E:$E)</f>
        <v>0</v>
      </c>
      <c r="P9" s="6">
        <f t="shared" si="0"/>
        <v>500</v>
      </c>
    </row>
    <row r="10" ht="15.6" spans="4:16">
      <c r="D10" s="7"/>
      <c r="E10" s="7">
        <v>8</v>
      </c>
      <c r="F10" s="7" t="s">
        <v>6</v>
      </c>
      <c r="G10" s="7">
        <v>30</v>
      </c>
      <c r="H10" s="7" t="s">
        <v>6</v>
      </c>
      <c r="I10" s="7">
        <v>500</v>
      </c>
      <c r="J10" s="7"/>
      <c r="K10" s="7"/>
      <c r="L10" s="7"/>
      <c r="M10" s="7"/>
      <c r="N10" s="6">
        <f>_xlfn.XLOOKUP(H10,道具表!$B:$B,道具表!$E:$E)</f>
        <v>1</v>
      </c>
      <c r="O10" s="6">
        <f>_xlfn.XLOOKUP(J10,道具表!$B:$B,道具表!$E:$E)</f>
        <v>0</v>
      </c>
      <c r="P10" s="6">
        <f t="shared" si="0"/>
        <v>500</v>
      </c>
    </row>
    <row r="11" ht="15.6" spans="4:16">
      <c r="D11" s="7"/>
      <c r="E11" s="7">
        <v>9</v>
      </c>
      <c r="F11" s="7" t="s">
        <v>6</v>
      </c>
      <c r="G11" s="7">
        <v>30</v>
      </c>
      <c r="H11" s="7" t="s">
        <v>6</v>
      </c>
      <c r="I11" s="7">
        <v>500</v>
      </c>
      <c r="J11" s="7"/>
      <c r="K11" s="7"/>
      <c r="L11" s="7"/>
      <c r="M11" s="7"/>
      <c r="N11" s="6">
        <f>_xlfn.XLOOKUP(H11,道具表!$B:$B,道具表!$E:$E)</f>
        <v>1</v>
      </c>
      <c r="O11" s="6">
        <f>_xlfn.XLOOKUP(J11,道具表!$B:$B,道具表!$E:$E)</f>
        <v>0</v>
      </c>
      <c r="P11" s="6">
        <f t="shared" si="0"/>
        <v>500</v>
      </c>
    </row>
    <row r="12" ht="15.6" spans="4:16">
      <c r="D12" s="7"/>
      <c r="E12" s="7">
        <v>10</v>
      </c>
      <c r="F12" s="7" t="s">
        <v>6</v>
      </c>
      <c r="G12" s="7">
        <v>30</v>
      </c>
      <c r="H12" s="7" t="s">
        <v>6</v>
      </c>
      <c r="I12" s="7">
        <v>500</v>
      </c>
      <c r="J12" s="7"/>
      <c r="K12" s="7"/>
      <c r="L12" s="7"/>
      <c r="M12" s="7"/>
      <c r="N12" s="6">
        <f>_xlfn.XLOOKUP(H12,道具表!$B:$B,道具表!$E:$E)</f>
        <v>1</v>
      </c>
      <c r="O12" s="6">
        <f>_xlfn.XLOOKUP(J12,道具表!$B:$B,道具表!$E:$E)</f>
        <v>0</v>
      </c>
      <c r="P12" s="6">
        <f t="shared" si="0"/>
        <v>500</v>
      </c>
    </row>
    <row r="13" ht="15.6" spans="4:16">
      <c r="D13" s="7"/>
      <c r="E13" s="7">
        <v>11</v>
      </c>
      <c r="F13" s="7" t="s">
        <v>6</v>
      </c>
      <c r="G13" s="7">
        <v>40</v>
      </c>
      <c r="H13" s="7" t="s">
        <v>6</v>
      </c>
      <c r="I13" s="7">
        <v>600</v>
      </c>
      <c r="J13" s="7"/>
      <c r="K13" s="7"/>
      <c r="L13" s="7"/>
      <c r="M13" s="7"/>
      <c r="N13" s="6">
        <f>_xlfn.XLOOKUP(H13,道具表!$B:$B,道具表!$E:$E)</f>
        <v>1</v>
      </c>
      <c r="O13" s="6">
        <f>_xlfn.XLOOKUP(J13,道具表!$B:$B,道具表!$E:$E)</f>
        <v>0</v>
      </c>
      <c r="P13" s="6">
        <f t="shared" si="0"/>
        <v>600</v>
      </c>
    </row>
    <row r="14" ht="15.6" spans="4:16">
      <c r="D14" s="7"/>
      <c r="E14" s="7">
        <v>12</v>
      </c>
      <c r="F14" s="7" t="s">
        <v>6</v>
      </c>
      <c r="G14" s="7">
        <v>40</v>
      </c>
      <c r="H14" s="7" t="s">
        <v>6</v>
      </c>
      <c r="I14" s="7">
        <v>600</v>
      </c>
      <c r="J14" s="7"/>
      <c r="K14" s="7"/>
      <c r="L14" s="7"/>
      <c r="M14" s="7"/>
      <c r="N14" s="6">
        <f>_xlfn.XLOOKUP(H14,道具表!$B:$B,道具表!$E:$E)</f>
        <v>1</v>
      </c>
      <c r="O14" s="6">
        <f>_xlfn.XLOOKUP(J14,道具表!$B:$B,道具表!$E:$E)</f>
        <v>0</v>
      </c>
      <c r="P14" s="6">
        <f t="shared" si="0"/>
        <v>600</v>
      </c>
    </row>
    <row r="15" ht="15.6" spans="4:16">
      <c r="D15" s="7"/>
      <c r="E15" s="7">
        <v>13</v>
      </c>
      <c r="F15" s="7" t="s">
        <v>6</v>
      </c>
      <c r="G15" s="7">
        <v>40</v>
      </c>
      <c r="H15" s="7" t="s">
        <v>6</v>
      </c>
      <c r="I15" s="7">
        <v>600</v>
      </c>
      <c r="J15" s="7"/>
      <c r="K15" s="7"/>
      <c r="L15" s="7"/>
      <c r="M15" s="7"/>
      <c r="N15" s="6">
        <f>_xlfn.XLOOKUP(H15,道具表!$B:$B,道具表!$E:$E)</f>
        <v>1</v>
      </c>
      <c r="O15" s="6">
        <f>_xlfn.XLOOKUP(J15,道具表!$B:$B,道具表!$E:$E)</f>
        <v>0</v>
      </c>
      <c r="P15" s="6">
        <f t="shared" si="0"/>
        <v>600</v>
      </c>
    </row>
    <row r="16" ht="15.6" spans="4:16">
      <c r="D16" s="7"/>
      <c r="E16" s="7">
        <v>14</v>
      </c>
      <c r="F16" s="7" t="s">
        <v>6</v>
      </c>
      <c r="G16" s="7">
        <v>40</v>
      </c>
      <c r="H16" s="7" t="s">
        <v>6</v>
      </c>
      <c r="I16" s="7">
        <v>600</v>
      </c>
      <c r="J16" s="7"/>
      <c r="K16" s="7"/>
      <c r="L16" s="7"/>
      <c r="M16" s="7"/>
      <c r="N16" s="6">
        <f>_xlfn.XLOOKUP(H16,道具表!$B:$B,道具表!$E:$E)</f>
        <v>1</v>
      </c>
      <c r="O16" s="6">
        <f>_xlfn.XLOOKUP(J16,道具表!$B:$B,道具表!$E:$E)</f>
        <v>0</v>
      </c>
      <c r="P16" s="6">
        <f t="shared" si="0"/>
        <v>600</v>
      </c>
    </row>
    <row r="17" ht="15.6" spans="4:16">
      <c r="D17" s="7"/>
      <c r="E17" s="7">
        <v>15</v>
      </c>
      <c r="F17" s="7" t="s">
        <v>6</v>
      </c>
      <c r="G17" s="7">
        <v>40</v>
      </c>
      <c r="H17" s="7" t="s">
        <v>6</v>
      </c>
      <c r="I17" s="7">
        <v>600</v>
      </c>
      <c r="J17" s="7"/>
      <c r="K17" s="7"/>
      <c r="L17" s="7"/>
      <c r="M17" s="7"/>
      <c r="N17" s="6">
        <f>_xlfn.XLOOKUP(H17,道具表!$B:$B,道具表!$E:$E)</f>
        <v>1</v>
      </c>
      <c r="O17" s="6">
        <f>_xlfn.XLOOKUP(J17,道具表!$B:$B,道具表!$E:$E)</f>
        <v>0</v>
      </c>
      <c r="P17" s="6">
        <f t="shared" si="0"/>
        <v>600</v>
      </c>
    </row>
    <row r="18" ht="15.6" spans="4:16">
      <c r="D18" s="7"/>
      <c r="E18" s="7">
        <v>16</v>
      </c>
      <c r="F18" s="7" t="s">
        <v>6</v>
      </c>
      <c r="G18" s="7">
        <v>50</v>
      </c>
      <c r="H18" s="7" t="s">
        <v>6</v>
      </c>
      <c r="I18" s="7">
        <v>600</v>
      </c>
      <c r="J18" s="7"/>
      <c r="K18" s="7"/>
      <c r="L18" s="7"/>
      <c r="M18" s="7"/>
      <c r="N18" s="6">
        <f>_xlfn.XLOOKUP(H18,道具表!$B:$B,道具表!$E:$E)</f>
        <v>1</v>
      </c>
      <c r="O18" s="6">
        <f>_xlfn.XLOOKUP(J18,道具表!$B:$B,道具表!$E:$E)</f>
        <v>0</v>
      </c>
      <c r="P18" s="6">
        <f t="shared" si="0"/>
        <v>600</v>
      </c>
    </row>
    <row r="19" ht="15.6" spans="4:16">
      <c r="D19" s="7"/>
      <c r="E19" s="7">
        <v>17</v>
      </c>
      <c r="F19" s="7" t="s">
        <v>6</v>
      </c>
      <c r="G19" s="7">
        <v>50</v>
      </c>
      <c r="H19" s="7" t="s">
        <v>6</v>
      </c>
      <c r="I19" s="7">
        <v>600</v>
      </c>
      <c r="J19" s="7"/>
      <c r="K19" s="7"/>
      <c r="L19" s="7"/>
      <c r="M19" s="7"/>
      <c r="N19" s="6">
        <f>_xlfn.XLOOKUP(H19,道具表!$B:$B,道具表!$E:$E)</f>
        <v>1</v>
      </c>
      <c r="O19" s="6">
        <f>_xlfn.XLOOKUP(J19,道具表!$B:$B,道具表!$E:$E)</f>
        <v>0</v>
      </c>
      <c r="P19" s="6">
        <f t="shared" si="0"/>
        <v>600</v>
      </c>
    </row>
    <row r="20" ht="15.6" spans="4:16">
      <c r="D20" s="7"/>
      <c r="E20" s="7">
        <v>18</v>
      </c>
      <c r="F20" s="7" t="s">
        <v>6</v>
      </c>
      <c r="G20" s="7">
        <v>50</v>
      </c>
      <c r="H20" s="7" t="s">
        <v>6</v>
      </c>
      <c r="I20" s="7">
        <v>600</v>
      </c>
      <c r="J20" s="7"/>
      <c r="K20" s="7"/>
      <c r="L20" s="7"/>
      <c r="M20" s="7"/>
      <c r="N20" s="6">
        <f>_xlfn.XLOOKUP(H20,道具表!$B:$B,道具表!$E:$E)</f>
        <v>1</v>
      </c>
      <c r="O20" s="6">
        <f>_xlfn.XLOOKUP(J20,道具表!$B:$B,道具表!$E:$E)</f>
        <v>0</v>
      </c>
      <c r="P20" s="6">
        <f t="shared" si="0"/>
        <v>600</v>
      </c>
    </row>
    <row r="21" ht="15.6" spans="4:16">
      <c r="D21" s="7"/>
      <c r="E21" s="7">
        <v>19</v>
      </c>
      <c r="F21" s="7" t="s">
        <v>6</v>
      </c>
      <c r="G21" s="7">
        <v>50</v>
      </c>
      <c r="H21" s="7" t="s">
        <v>6</v>
      </c>
      <c r="I21" s="7">
        <v>600</v>
      </c>
      <c r="J21" s="7"/>
      <c r="K21" s="7"/>
      <c r="L21" s="7"/>
      <c r="M21" s="7"/>
      <c r="N21" s="6">
        <f>_xlfn.XLOOKUP(H21,道具表!$B:$B,道具表!$E:$E)</f>
        <v>1</v>
      </c>
      <c r="O21" s="6">
        <f>_xlfn.XLOOKUP(J21,道具表!$B:$B,道具表!$E:$E)</f>
        <v>0</v>
      </c>
      <c r="P21" s="6">
        <f t="shared" si="0"/>
        <v>600</v>
      </c>
    </row>
    <row r="22" ht="15.6" spans="4:16">
      <c r="D22" s="7"/>
      <c r="E22" s="7">
        <v>20</v>
      </c>
      <c r="F22" s="7" t="s">
        <v>6</v>
      </c>
      <c r="G22" s="7">
        <v>50</v>
      </c>
      <c r="H22" s="7" t="s">
        <v>6</v>
      </c>
      <c r="I22" s="7">
        <v>600</v>
      </c>
      <c r="J22" s="7"/>
      <c r="K22" s="7"/>
      <c r="L22" s="7"/>
      <c r="M22" s="7"/>
      <c r="N22" s="6">
        <f>_xlfn.XLOOKUP(H22,道具表!$B:$B,道具表!$E:$E)</f>
        <v>1</v>
      </c>
      <c r="O22" s="6">
        <f>_xlfn.XLOOKUP(J22,道具表!$B:$B,道具表!$E:$E)</f>
        <v>0</v>
      </c>
      <c r="P22" s="6">
        <f t="shared" si="0"/>
        <v>600</v>
      </c>
    </row>
    <row r="23" ht="15.6" spans="4:16">
      <c r="D23" s="22"/>
      <c r="E23" s="7">
        <v>21</v>
      </c>
      <c r="F23" s="7" t="s">
        <v>6</v>
      </c>
      <c r="G23" s="7">
        <v>50</v>
      </c>
      <c r="H23" s="7" t="s">
        <v>6</v>
      </c>
      <c r="I23" s="7">
        <v>700</v>
      </c>
      <c r="J23" s="22"/>
      <c r="K23" s="22"/>
      <c r="L23" s="21"/>
      <c r="M23" s="21"/>
      <c r="N23" s="6">
        <f>_xlfn.XLOOKUP(H23,道具表!$B:$B,道具表!$E:$E)</f>
        <v>1</v>
      </c>
      <c r="O23" s="6">
        <f>_xlfn.XLOOKUP(J23,道具表!$B:$B,道具表!$E:$E)</f>
        <v>0</v>
      </c>
      <c r="P23" s="6">
        <f t="shared" ref="P23:P32" si="1">N23*I23+O23*K23</f>
        <v>700</v>
      </c>
    </row>
    <row r="24" ht="15.6" spans="4:16">
      <c r="D24" s="22"/>
      <c r="E24" s="7">
        <v>22</v>
      </c>
      <c r="F24" s="7" t="s">
        <v>6</v>
      </c>
      <c r="G24" s="7">
        <v>50</v>
      </c>
      <c r="H24" s="7" t="s">
        <v>6</v>
      </c>
      <c r="I24" s="7">
        <v>700</v>
      </c>
      <c r="J24" s="22"/>
      <c r="K24" s="22"/>
      <c r="L24" s="21"/>
      <c r="M24" s="21"/>
      <c r="N24" s="6">
        <f>_xlfn.XLOOKUP(H24,道具表!$B:$B,道具表!$E:$E)</f>
        <v>1</v>
      </c>
      <c r="O24" s="6">
        <f>_xlfn.XLOOKUP(J24,道具表!$B:$B,道具表!$E:$E)</f>
        <v>0</v>
      </c>
      <c r="P24" s="6">
        <f t="shared" si="1"/>
        <v>700</v>
      </c>
    </row>
    <row r="25" ht="15.6" spans="4:16">
      <c r="D25" s="22"/>
      <c r="E25" s="7">
        <v>23</v>
      </c>
      <c r="F25" s="7" t="s">
        <v>6</v>
      </c>
      <c r="G25" s="7">
        <v>50</v>
      </c>
      <c r="H25" s="7" t="s">
        <v>6</v>
      </c>
      <c r="I25" s="7">
        <v>700</v>
      </c>
      <c r="J25" s="22"/>
      <c r="K25" s="22"/>
      <c r="L25" s="21"/>
      <c r="M25" s="21"/>
      <c r="N25" s="6">
        <f>_xlfn.XLOOKUP(H25,道具表!$B:$B,道具表!$E:$E)</f>
        <v>1</v>
      </c>
      <c r="O25" s="6">
        <f>_xlfn.XLOOKUP(J25,道具表!$B:$B,道具表!$E:$E)</f>
        <v>0</v>
      </c>
      <c r="P25" s="6">
        <f t="shared" si="1"/>
        <v>700</v>
      </c>
    </row>
    <row r="26" ht="15.6" spans="4:16">
      <c r="D26" s="22"/>
      <c r="E26" s="7">
        <v>24</v>
      </c>
      <c r="F26" s="7" t="s">
        <v>6</v>
      </c>
      <c r="G26" s="7">
        <v>50</v>
      </c>
      <c r="H26" s="7" t="s">
        <v>6</v>
      </c>
      <c r="I26" s="7">
        <v>700</v>
      </c>
      <c r="J26" s="22"/>
      <c r="K26" s="22"/>
      <c r="L26" s="21"/>
      <c r="M26" s="21"/>
      <c r="N26" s="6">
        <f>_xlfn.XLOOKUP(H26,道具表!$B:$B,道具表!$E:$E)</f>
        <v>1</v>
      </c>
      <c r="O26" s="6">
        <f>_xlfn.XLOOKUP(J26,道具表!$B:$B,道具表!$E:$E)</f>
        <v>0</v>
      </c>
      <c r="P26" s="6">
        <f t="shared" si="1"/>
        <v>700</v>
      </c>
    </row>
    <row r="27" ht="15.6" spans="4:16">
      <c r="D27" s="22"/>
      <c r="E27" s="7">
        <v>25</v>
      </c>
      <c r="F27" s="7" t="s">
        <v>6</v>
      </c>
      <c r="G27" s="7">
        <v>50</v>
      </c>
      <c r="H27" s="7" t="s">
        <v>6</v>
      </c>
      <c r="I27" s="7">
        <v>700</v>
      </c>
      <c r="J27" s="22"/>
      <c r="K27" s="22"/>
      <c r="L27" s="21"/>
      <c r="M27" s="21"/>
      <c r="N27" s="6">
        <f>_xlfn.XLOOKUP(H27,道具表!$B:$B,道具表!$E:$E)</f>
        <v>1</v>
      </c>
      <c r="O27" s="6">
        <f>_xlfn.XLOOKUP(J27,道具表!$B:$B,道具表!$E:$E)</f>
        <v>0</v>
      </c>
      <c r="P27" s="6">
        <f t="shared" si="1"/>
        <v>700</v>
      </c>
    </row>
    <row r="28" ht="15.6" spans="4:16">
      <c r="D28" s="22"/>
      <c r="E28" s="7">
        <v>26</v>
      </c>
      <c r="F28" s="7" t="s">
        <v>6</v>
      </c>
      <c r="G28" s="7">
        <v>50</v>
      </c>
      <c r="H28" s="7" t="s">
        <v>6</v>
      </c>
      <c r="I28" s="7">
        <v>700</v>
      </c>
      <c r="J28" s="22"/>
      <c r="K28" s="22"/>
      <c r="L28" s="21"/>
      <c r="M28" s="21"/>
      <c r="N28" s="6">
        <f>_xlfn.XLOOKUP(H28,道具表!$B:$B,道具表!$E:$E)</f>
        <v>1</v>
      </c>
      <c r="O28" s="6">
        <f>_xlfn.XLOOKUP(J28,道具表!$B:$B,道具表!$E:$E)</f>
        <v>0</v>
      </c>
      <c r="P28" s="6">
        <f t="shared" si="1"/>
        <v>700</v>
      </c>
    </row>
    <row r="29" ht="15.6" spans="4:16">
      <c r="D29" s="22"/>
      <c r="E29" s="7">
        <v>27</v>
      </c>
      <c r="F29" s="7" t="s">
        <v>6</v>
      </c>
      <c r="G29" s="7">
        <v>50</v>
      </c>
      <c r="H29" s="7" t="s">
        <v>6</v>
      </c>
      <c r="I29" s="7">
        <v>700</v>
      </c>
      <c r="J29" s="22"/>
      <c r="K29" s="22"/>
      <c r="L29" s="21"/>
      <c r="M29" s="21"/>
      <c r="N29" s="6">
        <f>_xlfn.XLOOKUP(H29,道具表!$B:$B,道具表!$E:$E)</f>
        <v>1</v>
      </c>
      <c r="O29" s="6">
        <f>_xlfn.XLOOKUP(J29,道具表!$B:$B,道具表!$E:$E)</f>
        <v>0</v>
      </c>
      <c r="P29" s="6">
        <f t="shared" si="1"/>
        <v>700</v>
      </c>
    </row>
    <row r="30" ht="15.6" spans="4:16">
      <c r="D30" s="22"/>
      <c r="E30" s="7">
        <v>28</v>
      </c>
      <c r="F30" s="7" t="s">
        <v>6</v>
      </c>
      <c r="G30" s="7">
        <v>50</v>
      </c>
      <c r="H30" s="7" t="s">
        <v>6</v>
      </c>
      <c r="I30" s="7">
        <v>700</v>
      </c>
      <c r="J30" s="22"/>
      <c r="K30" s="22"/>
      <c r="L30" s="21"/>
      <c r="M30" s="21"/>
      <c r="N30" s="6">
        <f>_xlfn.XLOOKUP(H30,道具表!$B:$B,道具表!$E:$E)</f>
        <v>1</v>
      </c>
      <c r="O30" s="6">
        <f>_xlfn.XLOOKUP(J30,道具表!$B:$B,道具表!$E:$E)</f>
        <v>0</v>
      </c>
      <c r="P30" s="6">
        <f t="shared" si="1"/>
        <v>700</v>
      </c>
    </row>
    <row r="31" ht="15.6" spans="4:16">
      <c r="D31" s="22"/>
      <c r="E31" s="7">
        <v>29</v>
      </c>
      <c r="F31" s="7" t="s">
        <v>6</v>
      </c>
      <c r="G31" s="7">
        <v>50</v>
      </c>
      <c r="H31" s="7" t="s">
        <v>6</v>
      </c>
      <c r="I31" s="7">
        <v>700</v>
      </c>
      <c r="J31" s="22"/>
      <c r="K31" s="22"/>
      <c r="L31" s="21"/>
      <c r="M31" s="21"/>
      <c r="N31" s="6">
        <f>_xlfn.XLOOKUP(H31,道具表!$B:$B,道具表!$E:$E)</f>
        <v>1</v>
      </c>
      <c r="O31" s="6">
        <f>_xlfn.XLOOKUP(J31,道具表!$B:$B,道具表!$E:$E)</f>
        <v>0</v>
      </c>
      <c r="P31" s="6">
        <f t="shared" si="1"/>
        <v>700</v>
      </c>
    </row>
    <row r="32" ht="15.6" spans="4:16">
      <c r="D32" s="22"/>
      <c r="E32" s="7">
        <v>30</v>
      </c>
      <c r="F32" s="7" t="s">
        <v>6</v>
      </c>
      <c r="G32" s="7">
        <v>50</v>
      </c>
      <c r="H32" s="7" t="s">
        <v>6</v>
      </c>
      <c r="I32" s="7">
        <v>700</v>
      </c>
      <c r="J32" s="22"/>
      <c r="K32" s="22"/>
      <c r="L32" s="21"/>
      <c r="M32" s="21"/>
      <c r="N32" s="6">
        <f>_xlfn.XLOOKUP(H32,道具表!$B:$B,道具表!$E:$E)</f>
        <v>1</v>
      </c>
      <c r="O32" s="6">
        <f>_xlfn.XLOOKUP(J32,道具表!$B:$B,道具表!$E:$E)</f>
        <v>0</v>
      </c>
      <c r="P32" s="6">
        <f t="shared" si="1"/>
        <v>700</v>
      </c>
    </row>
    <row r="33" spans="4:16">
      <c r="D33" s="16"/>
      <c r="E33" s="16"/>
      <c r="F33" s="16"/>
      <c r="G33" s="16"/>
      <c r="H33" s="16"/>
      <c r="I33" s="16"/>
      <c r="J33" s="16"/>
      <c r="K33" s="16"/>
      <c r="P33">
        <f>SUM(P3:P32)</f>
        <v>18000</v>
      </c>
    </row>
    <row r="34" spans="4:11">
      <c r="D34" s="16"/>
      <c r="E34" s="16"/>
      <c r="F34" s="16"/>
      <c r="G34" s="16"/>
      <c r="H34" s="16"/>
      <c r="I34" s="16"/>
      <c r="J34" s="16"/>
      <c r="K34" s="16"/>
    </row>
    <row r="35" spans="4:11">
      <c r="D35" s="16"/>
      <c r="E35" s="16"/>
      <c r="F35" s="16"/>
      <c r="G35" s="16"/>
      <c r="H35" s="16"/>
      <c r="I35" s="16"/>
      <c r="J35" s="16"/>
      <c r="K35" s="16"/>
    </row>
    <row r="37" ht="15.6" spans="4:15">
      <c r="D37" s="7" t="s">
        <v>338</v>
      </c>
      <c r="E37" s="7" t="str">
        <f>E2</f>
        <v>天数</v>
      </c>
      <c r="F37" s="7" t="s">
        <v>953</v>
      </c>
      <c r="G37" s="7" t="str">
        <f>IF(G2="","",G2&amp;",")</f>
        <v>数量,</v>
      </c>
      <c r="H37" s="7" t="s">
        <v>1124</v>
      </c>
      <c r="I37" s="7" t="str">
        <f t="shared" ref="I37:I51" si="2">IF(I2="","",I2&amp;",")</f>
        <v>数量,</v>
      </c>
      <c r="J37" s="7" t="s">
        <v>1125</v>
      </c>
      <c r="K37" s="7" t="str">
        <f t="shared" ref="K37:K51" si="3">IF(K2="","",K2&amp;",")</f>
        <v>数量,</v>
      </c>
      <c r="L37" s="7" t="s">
        <v>1126</v>
      </c>
      <c r="M37" s="7" t="s">
        <v>323</v>
      </c>
      <c r="N37" s="19" t="s">
        <v>327</v>
      </c>
      <c r="O37" s="20" t="s">
        <v>327</v>
      </c>
    </row>
    <row r="38" ht="15.6" spans="4:15">
      <c r="D38" s="7">
        <v>98</v>
      </c>
      <c r="E38" s="7">
        <f t="shared" ref="E38:E51" si="4">E3</f>
        <v>1</v>
      </c>
      <c r="F38" s="6" t="str">
        <f>IF(F3="","",(_xlfn.XLOOKUP(F3,道具表!$B:$B,道具表!$C:$C)&amp;"|"&amp;_xlfn.XLOOKUP(F3,道具表!$B:$B,道具表!$A:$A)&amp;"|"))</f>
        <v>1|2|</v>
      </c>
      <c r="G38" s="7" t="str">
        <f t="shared" ref="G38:G51" si="5">IF(G3="","",G3&amp;",")</f>
        <v>20,</v>
      </c>
      <c r="H38" s="6" t="str">
        <f>IF(H3="","",(_xlfn.XLOOKUP(H3,道具表!$B:$B,道具表!$C:$C)&amp;"|"&amp;_xlfn.XLOOKUP(H3,道具表!$B:$B,道具表!$A:$A)&amp;"|"))</f>
        <v>1|2|</v>
      </c>
      <c r="I38" s="7" t="str">
        <f t="shared" si="2"/>
        <v>500,</v>
      </c>
      <c r="J38" s="6" t="str">
        <f>IF(J3="","",(_xlfn.XLOOKUP(J3,道具表!$B:$B,道具表!$C:$C)&amp;"|"&amp;_xlfn.XLOOKUP(J3,道具表!$B:$B,道具表!$A:$A)&amp;"|"))</f>
        <v/>
      </c>
      <c r="K38" s="7" t="str">
        <f t="shared" si="3"/>
        <v/>
      </c>
      <c r="L38" s="6" t="str">
        <f>IF(L3="","",(_xlfn.XLOOKUP(L3,道具表!$B:$B,道具表!$C:$C)&amp;"|"&amp;_xlfn.XLOOKUP(L3,道具表!$B:$B,道具表!$A:$A)&amp;"|"))</f>
        <v>1|2|</v>
      </c>
      <c r="M38" s="7">
        <v>980</v>
      </c>
      <c r="N38" s="19" t="str">
        <f>LEFT(F38&amp;G38,LEN(F38&amp;G38)-1)</f>
        <v>1|2|20</v>
      </c>
      <c r="O38" s="20" t="str">
        <f>LEFT(H38&amp;I38&amp;J38&amp;K38,LEN(H38&amp;I38&amp;J38&amp;K38)-1)</f>
        <v>1|2|500</v>
      </c>
    </row>
    <row r="39" ht="15.6" spans="4:15">
      <c r="D39" s="7"/>
      <c r="E39" s="7">
        <f t="shared" si="4"/>
        <v>2</v>
      </c>
      <c r="F39" s="6" t="str">
        <f>IF(F4="","",(_xlfn.XLOOKUP(F4,道具表!$B:$B,道具表!$C:$C)&amp;"|"&amp;_xlfn.XLOOKUP(F4,道具表!$B:$B,道具表!$A:$A)&amp;"|"))</f>
        <v>1|2|</v>
      </c>
      <c r="G39" s="7" t="str">
        <f t="shared" si="5"/>
        <v>20,</v>
      </c>
      <c r="H39" s="6" t="str">
        <f>IF(H4="","",(_xlfn.XLOOKUP(H4,道具表!$B:$B,道具表!$C:$C)&amp;"|"&amp;_xlfn.XLOOKUP(H4,道具表!$B:$B,道具表!$A:$A)&amp;"|"))</f>
        <v>1|2|</v>
      </c>
      <c r="I39" s="7" t="str">
        <f t="shared" si="2"/>
        <v>500,</v>
      </c>
      <c r="J39" s="6" t="str">
        <f>IF(J4="","",(_xlfn.XLOOKUP(J4,道具表!$B:$B,道具表!$C:$C)&amp;"|"&amp;_xlfn.XLOOKUP(J4,道具表!$B:$B,道具表!$A:$A)&amp;"|"))</f>
        <v/>
      </c>
      <c r="K39" s="7" t="str">
        <f t="shared" si="3"/>
        <v/>
      </c>
      <c r="L39" s="6" t="str">
        <f>IF(L4="","",(_xlfn.XLOOKUP(L4,道具表!$B:$B,道具表!$C:$C)&amp;"|"&amp;_xlfn.XLOOKUP(L4,道具表!$B:$B,道具表!$A:$A)&amp;"|"))</f>
        <v/>
      </c>
      <c r="M39" s="7"/>
      <c r="N39" s="19" t="str">
        <f t="shared" ref="N39:N51" si="6">LEFT(F39&amp;G39,LEN(F39&amp;G39)-1)</f>
        <v>1|2|20</v>
      </c>
      <c r="O39" s="20" t="str">
        <f t="shared" ref="O39:O51" si="7">LEFT(H39&amp;I39&amp;J39&amp;K39,LEN(H39&amp;I39&amp;J39&amp;K39)-1)</f>
        <v>1|2|500</v>
      </c>
    </row>
    <row r="40" ht="15.6" spans="4:15">
      <c r="D40" s="7"/>
      <c r="E40" s="7">
        <f t="shared" si="4"/>
        <v>3</v>
      </c>
      <c r="F40" s="6" t="str">
        <f>IF(F5="","",(_xlfn.XLOOKUP(F5,道具表!$B:$B,道具表!$C:$C)&amp;"|"&amp;_xlfn.XLOOKUP(F5,道具表!$B:$B,道具表!$A:$A)&amp;"|"))</f>
        <v>1|2|</v>
      </c>
      <c r="G40" s="7" t="str">
        <f t="shared" si="5"/>
        <v>20,</v>
      </c>
      <c r="H40" s="6" t="str">
        <f>IF(H5="","",(_xlfn.XLOOKUP(H5,道具表!$B:$B,道具表!$C:$C)&amp;"|"&amp;_xlfn.XLOOKUP(H5,道具表!$B:$B,道具表!$A:$A)&amp;"|"))</f>
        <v>1|2|</v>
      </c>
      <c r="I40" s="7" t="str">
        <f t="shared" si="2"/>
        <v>500,</v>
      </c>
      <c r="J40" s="6" t="str">
        <f>IF(J5="","",(_xlfn.XLOOKUP(J5,道具表!$B:$B,道具表!$C:$C)&amp;"|"&amp;_xlfn.XLOOKUP(J5,道具表!$B:$B,道具表!$A:$A)&amp;"|"))</f>
        <v/>
      </c>
      <c r="K40" s="7" t="str">
        <f t="shared" si="3"/>
        <v/>
      </c>
      <c r="L40" s="6" t="str">
        <f>IF(L5="","",(_xlfn.XLOOKUP(L5,道具表!$B:$B,道具表!$C:$C)&amp;"|"&amp;_xlfn.XLOOKUP(L5,道具表!$B:$B,道具表!$A:$A)&amp;"|"))</f>
        <v/>
      </c>
      <c r="M40" s="7"/>
      <c r="N40" s="19" t="str">
        <f t="shared" si="6"/>
        <v>1|2|20</v>
      </c>
      <c r="O40" s="20" t="str">
        <f t="shared" si="7"/>
        <v>1|2|500</v>
      </c>
    </row>
    <row r="41" ht="15.6" spans="4:15">
      <c r="D41" s="7"/>
      <c r="E41" s="7">
        <f t="shared" si="4"/>
        <v>4</v>
      </c>
      <c r="F41" s="6" t="str">
        <f>IF(F6="","",(_xlfn.XLOOKUP(F6,道具表!$B:$B,道具表!$C:$C)&amp;"|"&amp;_xlfn.XLOOKUP(F6,道具表!$B:$B,道具表!$A:$A)&amp;"|"))</f>
        <v>1|2|</v>
      </c>
      <c r="G41" s="7" t="str">
        <f t="shared" si="5"/>
        <v>20,</v>
      </c>
      <c r="H41" s="6" t="str">
        <f>IF(H6="","",(_xlfn.XLOOKUP(H6,道具表!$B:$B,道具表!$C:$C)&amp;"|"&amp;_xlfn.XLOOKUP(H6,道具表!$B:$B,道具表!$A:$A)&amp;"|"))</f>
        <v>1|2|</v>
      </c>
      <c r="I41" s="7" t="str">
        <f t="shared" si="2"/>
        <v>500,</v>
      </c>
      <c r="J41" s="6" t="str">
        <f>IF(J6="","",(_xlfn.XLOOKUP(J6,道具表!$B:$B,道具表!$C:$C)&amp;"|"&amp;_xlfn.XLOOKUP(J6,道具表!$B:$B,道具表!$A:$A)&amp;"|"))</f>
        <v/>
      </c>
      <c r="K41" s="7" t="str">
        <f t="shared" si="3"/>
        <v/>
      </c>
      <c r="L41" s="6" t="str">
        <f>IF(L6="","",(_xlfn.XLOOKUP(L6,道具表!$B:$B,道具表!$C:$C)&amp;"|"&amp;_xlfn.XLOOKUP(L6,道具表!$B:$B,道具表!$A:$A)&amp;"|"))</f>
        <v/>
      </c>
      <c r="M41" s="7"/>
      <c r="N41" s="19" t="str">
        <f t="shared" si="6"/>
        <v>1|2|20</v>
      </c>
      <c r="O41" s="20" t="str">
        <f t="shared" si="7"/>
        <v>1|2|500</v>
      </c>
    </row>
    <row r="42" ht="15.6" spans="4:15">
      <c r="D42" s="7"/>
      <c r="E42" s="7">
        <f t="shared" si="4"/>
        <v>5</v>
      </c>
      <c r="F42" s="6" t="str">
        <f>IF(F7="","",(_xlfn.XLOOKUP(F7,道具表!$B:$B,道具表!$C:$C)&amp;"|"&amp;_xlfn.XLOOKUP(F7,道具表!$B:$B,道具表!$A:$A)&amp;"|"))</f>
        <v>1|2|</v>
      </c>
      <c r="G42" s="7" t="str">
        <f t="shared" si="5"/>
        <v>20,</v>
      </c>
      <c r="H42" s="6" t="str">
        <f>IF(H7="","",(_xlfn.XLOOKUP(H7,道具表!$B:$B,道具表!$C:$C)&amp;"|"&amp;_xlfn.XLOOKUP(H7,道具表!$B:$B,道具表!$A:$A)&amp;"|"))</f>
        <v>1|2|</v>
      </c>
      <c r="I42" s="7" t="str">
        <f t="shared" si="2"/>
        <v>500,</v>
      </c>
      <c r="J42" s="6" t="str">
        <f>IF(J7="","",(_xlfn.XLOOKUP(J7,道具表!$B:$B,道具表!$C:$C)&amp;"|"&amp;_xlfn.XLOOKUP(J7,道具表!$B:$B,道具表!$A:$A)&amp;"|"))</f>
        <v/>
      </c>
      <c r="K42" s="7" t="str">
        <f t="shared" si="3"/>
        <v/>
      </c>
      <c r="L42" s="6" t="str">
        <f>IF(L7="","",(_xlfn.XLOOKUP(L7,道具表!$B:$B,道具表!$C:$C)&amp;"|"&amp;_xlfn.XLOOKUP(L7,道具表!$B:$B,道具表!$A:$A)&amp;"|"))</f>
        <v/>
      </c>
      <c r="M42" s="7"/>
      <c r="N42" s="19" t="str">
        <f t="shared" si="6"/>
        <v>1|2|20</v>
      </c>
      <c r="O42" s="20" t="str">
        <f t="shared" si="7"/>
        <v>1|2|500</v>
      </c>
    </row>
    <row r="43" ht="15.6" spans="4:15">
      <c r="D43" s="7"/>
      <c r="E43" s="7">
        <f t="shared" si="4"/>
        <v>6</v>
      </c>
      <c r="F43" s="6" t="str">
        <f>IF(F8="","",(_xlfn.XLOOKUP(F8,道具表!$B:$B,道具表!$C:$C)&amp;"|"&amp;_xlfn.XLOOKUP(F8,道具表!$B:$B,道具表!$A:$A)&amp;"|"))</f>
        <v>1|2|</v>
      </c>
      <c r="G43" s="7" t="str">
        <f t="shared" si="5"/>
        <v>30,</v>
      </c>
      <c r="H43" s="6" t="str">
        <f>IF(H8="","",(_xlfn.XLOOKUP(H8,道具表!$B:$B,道具表!$C:$C)&amp;"|"&amp;_xlfn.XLOOKUP(H8,道具表!$B:$B,道具表!$A:$A)&amp;"|"))</f>
        <v>1|2|</v>
      </c>
      <c r="I43" s="7" t="str">
        <f t="shared" si="2"/>
        <v>500,</v>
      </c>
      <c r="J43" s="6" t="str">
        <f>IF(J8="","",(_xlfn.XLOOKUP(J8,道具表!$B:$B,道具表!$C:$C)&amp;"|"&amp;_xlfn.XLOOKUP(J8,道具表!$B:$B,道具表!$A:$A)&amp;"|"))</f>
        <v/>
      </c>
      <c r="K43" s="7" t="str">
        <f t="shared" si="3"/>
        <v/>
      </c>
      <c r="L43" s="6" t="str">
        <f>IF(L8="","",(_xlfn.XLOOKUP(L8,道具表!$B:$B,道具表!$C:$C)&amp;"|"&amp;_xlfn.XLOOKUP(L8,道具表!$B:$B,道具表!$A:$A)&amp;"|"))</f>
        <v/>
      </c>
      <c r="M43" s="7"/>
      <c r="N43" s="19" t="str">
        <f t="shared" si="6"/>
        <v>1|2|30</v>
      </c>
      <c r="O43" s="20" t="str">
        <f t="shared" si="7"/>
        <v>1|2|500</v>
      </c>
    </row>
    <row r="44" ht="15.6" spans="4:15">
      <c r="D44" s="7"/>
      <c r="E44" s="7">
        <f t="shared" si="4"/>
        <v>7</v>
      </c>
      <c r="F44" s="6" t="str">
        <f>IF(F9="","",(_xlfn.XLOOKUP(F9,道具表!$B:$B,道具表!$C:$C)&amp;"|"&amp;_xlfn.XLOOKUP(F9,道具表!$B:$B,道具表!$A:$A)&amp;"|"))</f>
        <v>1|2|</v>
      </c>
      <c r="G44" s="7" t="str">
        <f t="shared" si="5"/>
        <v>30,</v>
      </c>
      <c r="H44" s="6" t="str">
        <f>IF(H9="","",(_xlfn.XLOOKUP(H9,道具表!$B:$B,道具表!$C:$C)&amp;"|"&amp;_xlfn.XLOOKUP(H9,道具表!$B:$B,道具表!$A:$A)&amp;"|"))</f>
        <v>1|2|</v>
      </c>
      <c r="I44" s="7" t="str">
        <f t="shared" si="2"/>
        <v>500,</v>
      </c>
      <c r="J44" s="6" t="str">
        <f>IF(J9="","",(_xlfn.XLOOKUP(J9,道具表!$B:$B,道具表!$C:$C)&amp;"|"&amp;_xlfn.XLOOKUP(J9,道具表!$B:$B,道具表!$A:$A)&amp;"|"))</f>
        <v/>
      </c>
      <c r="K44" s="7" t="str">
        <f t="shared" si="3"/>
        <v/>
      </c>
      <c r="L44" s="6" t="str">
        <f>IF(L9="","",(_xlfn.XLOOKUP(L9,道具表!$B:$B,道具表!$C:$C)&amp;"|"&amp;_xlfn.XLOOKUP(L9,道具表!$B:$B,道具表!$A:$A)&amp;"|"))</f>
        <v/>
      </c>
      <c r="M44" s="7"/>
      <c r="N44" s="19" t="str">
        <f t="shared" si="6"/>
        <v>1|2|30</v>
      </c>
      <c r="O44" s="20" t="str">
        <f t="shared" si="7"/>
        <v>1|2|500</v>
      </c>
    </row>
    <row r="45" ht="15.6" spans="4:15">
      <c r="D45" s="7"/>
      <c r="E45" s="7">
        <f t="shared" si="4"/>
        <v>8</v>
      </c>
      <c r="F45" s="6" t="str">
        <f>IF(F10="","",(_xlfn.XLOOKUP(F10,道具表!$B:$B,道具表!$C:$C)&amp;"|"&amp;_xlfn.XLOOKUP(F10,道具表!$B:$B,道具表!$A:$A)&amp;"|"))</f>
        <v>1|2|</v>
      </c>
      <c r="G45" s="7" t="str">
        <f t="shared" si="5"/>
        <v>30,</v>
      </c>
      <c r="H45" s="6" t="str">
        <f>IF(H10="","",(_xlfn.XLOOKUP(H10,道具表!$B:$B,道具表!$C:$C)&amp;"|"&amp;_xlfn.XLOOKUP(H10,道具表!$B:$B,道具表!$A:$A)&amp;"|"))</f>
        <v>1|2|</v>
      </c>
      <c r="I45" s="7" t="str">
        <f t="shared" si="2"/>
        <v>500,</v>
      </c>
      <c r="J45" s="6" t="str">
        <f>IF(J10="","",(_xlfn.XLOOKUP(J10,道具表!$B:$B,道具表!$C:$C)&amp;"|"&amp;_xlfn.XLOOKUP(J10,道具表!$B:$B,道具表!$A:$A)&amp;"|"))</f>
        <v/>
      </c>
      <c r="K45" s="7" t="str">
        <f t="shared" si="3"/>
        <v/>
      </c>
      <c r="L45" s="6" t="str">
        <f>IF(L10="","",(_xlfn.XLOOKUP(L10,道具表!$B:$B,道具表!$C:$C)&amp;"|"&amp;_xlfn.XLOOKUP(L10,道具表!$B:$B,道具表!$A:$A)&amp;"|"))</f>
        <v/>
      </c>
      <c r="M45" s="7"/>
      <c r="N45" s="19" t="str">
        <f t="shared" si="6"/>
        <v>1|2|30</v>
      </c>
      <c r="O45" s="20" t="str">
        <f t="shared" si="7"/>
        <v>1|2|500</v>
      </c>
    </row>
    <row r="46" ht="15.6" spans="4:15">
      <c r="D46" s="7"/>
      <c r="E46" s="7">
        <f t="shared" si="4"/>
        <v>9</v>
      </c>
      <c r="F46" s="6" t="str">
        <f>IF(F11="","",(_xlfn.XLOOKUP(F11,道具表!$B:$B,道具表!$C:$C)&amp;"|"&amp;_xlfn.XLOOKUP(F11,道具表!$B:$B,道具表!$A:$A)&amp;"|"))</f>
        <v>1|2|</v>
      </c>
      <c r="G46" s="7" t="str">
        <f t="shared" si="5"/>
        <v>30,</v>
      </c>
      <c r="H46" s="6" t="str">
        <f>IF(H11="","",(_xlfn.XLOOKUP(H11,道具表!$B:$B,道具表!$C:$C)&amp;"|"&amp;_xlfn.XLOOKUP(H11,道具表!$B:$B,道具表!$A:$A)&amp;"|"))</f>
        <v>1|2|</v>
      </c>
      <c r="I46" s="7" t="str">
        <f t="shared" si="2"/>
        <v>500,</v>
      </c>
      <c r="J46" s="6" t="str">
        <f>IF(J11="","",(_xlfn.XLOOKUP(J11,道具表!$B:$B,道具表!$C:$C)&amp;"|"&amp;_xlfn.XLOOKUP(J11,道具表!$B:$B,道具表!$A:$A)&amp;"|"))</f>
        <v/>
      </c>
      <c r="K46" s="7" t="str">
        <f t="shared" si="3"/>
        <v/>
      </c>
      <c r="L46" s="6" t="str">
        <f>IF(L11="","",(_xlfn.XLOOKUP(L11,道具表!$B:$B,道具表!$C:$C)&amp;"|"&amp;_xlfn.XLOOKUP(L11,道具表!$B:$B,道具表!$A:$A)&amp;"|"))</f>
        <v/>
      </c>
      <c r="M46" s="7"/>
      <c r="N46" s="19" t="str">
        <f t="shared" si="6"/>
        <v>1|2|30</v>
      </c>
      <c r="O46" s="20" t="str">
        <f t="shared" si="7"/>
        <v>1|2|500</v>
      </c>
    </row>
    <row r="47" ht="15.6" spans="4:15">
      <c r="D47" s="7"/>
      <c r="E47" s="7">
        <f t="shared" si="4"/>
        <v>10</v>
      </c>
      <c r="F47" s="6" t="str">
        <f>IF(F12="","",(_xlfn.XLOOKUP(F12,道具表!$B:$B,道具表!$C:$C)&amp;"|"&amp;_xlfn.XLOOKUP(F12,道具表!$B:$B,道具表!$A:$A)&amp;"|"))</f>
        <v>1|2|</v>
      </c>
      <c r="G47" s="7" t="str">
        <f t="shared" si="5"/>
        <v>30,</v>
      </c>
      <c r="H47" s="6" t="str">
        <f>IF(H12="","",(_xlfn.XLOOKUP(H12,道具表!$B:$B,道具表!$C:$C)&amp;"|"&amp;_xlfn.XLOOKUP(H12,道具表!$B:$B,道具表!$A:$A)&amp;"|"))</f>
        <v>1|2|</v>
      </c>
      <c r="I47" s="7" t="str">
        <f t="shared" si="2"/>
        <v>500,</v>
      </c>
      <c r="J47" s="6" t="str">
        <f>IF(J12="","",(_xlfn.XLOOKUP(J12,道具表!$B:$B,道具表!$C:$C)&amp;"|"&amp;_xlfn.XLOOKUP(J12,道具表!$B:$B,道具表!$A:$A)&amp;"|"))</f>
        <v/>
      </c>
      <c r="K47" s="7" t="str">
        <f t="shared" si="3"/>
        <v/>
      </c>
      <c r="L47" s="6" t="str">
        <f>IF(L12="","",(_xlfn.XLOOKUP(L12,道具表!$B:$B,道具表!$C:$C)&amp;"|"&amp;_xlfn.XLOOKUP(L12,道具表!$B:$B,道具表!$A:$A)&amp;"|"))</f>
        <v/>
      </c>
      <c r="M47" s="7"/>
      <c r="N47" s="19" t="str">
        <f t="shared" si="6"/>
        <v>1|2|30</v>
      </c>
      <c r="O47" s="20" t="str">
        <f t="shared" si="7"/>
        <v>1|2|500</v>
      </c>
    </row>
    <row r="48" ht="15.6" spans="4:15">
      <c r="D48" s="7"/>
      <c r="E48" s="7">
        <f t="shared" si="4"/>
        <v>11</v>
      </c>
      <c r="F48" s="6" t="str">
        <f>IF(F13="","",(_xlfn.XLOOKUP(F13,道具表!$B:$B,道具表!$C:$C)&amp;"|"&amp;_xlfn.XLOOKUP(F13,道具表!$B:$B,道具表!$A:$A)&amp;"|"))</f>
        <v>1|2|</v>
      </c>
      <c r="G48" s="7" t="str">
        <f t="shared" si="5"/>
        <v>40,</v>
      </c>
      <c r="H48" s="6" t="str">
        <f>IF(H13="","",(_xlfn.XLOOKUP(H13,道具表!$B:$B,道具表!$C:$C)&amp;"|"&amp;_xlfn.XLOOKUP(H13,道具表!$B:$B,道具表!$A:$A)&amp;"|"))</f>
        <v>1|2|</v>
      </c>
      <c r="I48" s="7" t="str">
        <f t="shared" si="2"/>
        <v>600,</v>
      </c>
      <c r="J48" s="6" t="str">
        <f>IF(J13="","",(_xlfn.XLOOKUP(J13,道具表!$B:$B,道具表!$C:$C)&amp;"|"&amp;_xlfn.XLOOKUP(J13,道具表!$B:$B,道具表!$A:$A)&amp;"|"))</f>
        <v/>
      </c>
      <c r="K48" s="7" t="str">
        <f t="shared" si="3"/>
        <v/>
      </c>
      <c r="L48" s="6" t="str">
        <f>IF(L13="","",(_xlfn.XLOOKUP(L13,道具表!$B:$B,道具表!$C:$C)&amp;"|"&amp;_xlfn.XLOOKUP(L13,道具表!$B:$B,道具表!$A:$A)&amp;"|"))</f>
        <v/>
      </c>
      <c r="M48" s="7"/>
      <c r="N48" s="19" t="str">
        <f t="shared" si="6"/>
        <v>1|2|40</v>
      </c>
      <c r="O48" s="20" t="str">
        <f t="shared" si="7"/>
        <v>1|2|600</v>
      </c>
    </row>
    <row r="49" ht="15.6" spans="4:15">
      <c r="D49" s="7"/>
      <c r="E49" s="7">
        <f t="shared" si="4"/>
        <v>12</v>
      </c>
      <c r="F49" s="6" t="str">
        <f>IF(F14="","",(_xlfn.XLOOKUP(F14,道具表!$B:$B,道具表!$C:$C)&amp;"|"&amp;_xlfn.XLOOKUP(F14,道具表!$B:$B,道具表!$A:$A)&amp;"|"))</f>
        <v>1|2|</v>
      </c>
      <c r="G49" s="7" t="str">
        <f t="shared" si="5"/>
        <v>40,</v>
      </c>
      <c r="H49" s="6" t="str">
        <f>IF(H14="","",(_xlfn.XLOOKUP(H14,道具表!$B:$B,道具表!$C:$C)&amp;"|"&amp;_xlfn.XLOOKUP(H14,道具表!$B:$B,道具表!$A:$A)&amp;"|"))</f>
        <v>1|2|</v>
      </c>
      <c r="I49" s="7" t="str">
        <f t="shared" si="2"/>
        <v>600,</v>
      </c>
      <c r="J49" s="6" t="str">
        <f>IF(J14="","",(_xlfn.XLOOKUP(J14,道具表!$B:$B,道具表!$C:$C)&amp;"|"&amp;_xlfn.XLOOKUP(J14,道具表!$B:$B,道具表!$A:$A)&amp;"|"))</f>
        <v/>
      </c>
      <c r="K49" s="7" t="str">
        <f t="shared" si="3"/>
        <v/>
      </c>
      <c r="L49" s="6" t="str">
        <f>IF(L14="","",(_xlfn.XLOOKUP(L14,道具表!$B:$B,道具表!$C:$C)&amp;"|"&amp;_xlfn.XLOOKUP(L14,道具表!$B:$B,道具表!$A:$A)&amp;"|"))</f>
        <v/>
      </c>
      <c r="M49" s="7"/>
      <c r="N49" s="19" t="str">
        <f t="shared" si="6"/>
        <v>1|2|40</v>
      </c>
      <c r="O49" s="20" t="str">
        <f t="shared" si="7"/>
        <v>1|2|600</v>
      </c>
    </row>
    <row r="50" ht="15.6" spans="4:15">
      <c r="D50" s="7"/>
      <c r="E50" s="7">
        <f t="shared" si="4"/>
        <v>13</v>
      </c>
      <c r="F50" s="6" t="str">
        <f>IF(F15="","",(_xlfn.XLOOKUP(F15,道具表!$B:$B,道具表!$C:$C)&amp;"|"&amp;_xlfn.XLOOKUP(F15,道具表!$B:$B,道具表!$A:$A)&amp;"|"))</f>
        <v>1|2|</v>
      </c>
      <c r="G50" s="7" t="str">
        <f t="shared" si="5"/>
        <v>40,</v>
      </c>
      <c r="H50" s="6" t="str">
        <f>IF(H15="","",(_xlfn.XLOOKUP(H15,道具表!$B:$B,道具表!$C:$C)&amp;"|"&amp;_xlfn.XLOOKUP(H15,道具表!$B:$B,道具表!$A:$A)&amp;"|"))</f>
        <v>1|2|</v>
      </c>
      <c r="I50" s="7" t="str">
        <f t="shared" si="2"/>
        <v>600,</v>
      </c>
      <c r="J50" s="6" t="str">
        <f>IF(J15="","",(_xlfn.XLOOKUP(J15,道具表!$B:$B,道具表!$C:$C)&amp;"|"&amp;_xlfn.XLOOKUP(J15,道具表!$B:$B,道具表!$A:$A)&amp;"|"))</f>
        <v/>
      </c>
      <c r="K50" s="7" t="str">
        <f t="shared" si="3"/>
        <v/>
      </c>
      <c r="L50" s="6" t="str">
        <f>IF(L15="","",(_xlfn.XLOOKUP(L15,道具表!$B:$B,道具表!$C:$C)&amp;"|"&amp;_xlfn.XLOOKUP(L15,道具表!$B:$B,道具表!$A:$A)&amp;"|"))</f>
        <v/>
      </c>
      <c r="M50" s="7"/>
      <c r="N50" s="19" t="str">
        <f t="shared" si="6"/>
        <v>1|2|40</v>
      </c>
      <c r="O50" s="20" t="str">
        <f t="shared" si="7"/>
        <v>1|2|600</v>
      </c>
    </row>
    <row r="51" ht="15.6" spans="4:15">
      <c r="D51" s="7"/>
      <c r="E51" s="7">
        <f t="shared" si="4"/>
        <v>14</v>
      </c>
      <c r="F51" s="6" t="str">
        <f>IF(F16="","",(_xlfn.XLOOKUP(F16,道具表!$B:$B,道具表!$C:$C)&amp;"|"&amp;_xlfn.XLOOKUP(F16,道具表!$B:$B,道具表!$A:$A)&amp;"|"))</f>
        <v>1|2|</v>
      </c>
      <c r="G51" s="7" t="str">
        <f t="shared" si="5"/>
        <v>40,</v>
      </c>
      <c r="H51" s="6" t="str">
        <f>IF(H16="","",(_xlfn.XLOOKUP(H16,道具表!$B:$B,道具表!$C:$C)&amp;"|"&amp;_xlfn.XLOOKUP(H16,道具表!$B:$B,道具表!$A:$A)&amp;"|"))</f>
        <v>1|2|</v>
      </c>
      <c r="I51" s="7" t="str">
        <f t="shared" si="2"/>
        <v>600,</v>
      </c>
      <c r="J51" s="6" t="str">
        <f>IF(J16="","",(_xlfn.XLOOKUP(J16,道具表!$B:$B,道具表!$C:$C)&amp;"|"&amp;_xlfn.XLOOKUP(J16,道具表!$B:$B,道具表!$A:$A)&amp;"|"))</f>
        <v/>
      </c>
      <c r="K51" s="7" t="str">
        <f t="shared" si="3"/>
        <v/>
      </c>
      <c r="L51" s="6" t="str">
        <f>IF(L16="","",(_xlfn.XLOOKUP(L16,道具表!$B:$B,道具表!$C:$C)&amp;"|"&amp;_xlfn.XLOOKUP(L16,道具表!$B:$B,道具表!$A:$A)&amp;"|"))</f>
        <v/>
      </c>
      <c r="M51" s="7"/>
      <c r="N51" s="19" t="str">
        <f t="shared" si="6"/>
        <v>1|2|40</v>
      </c>
      <c r="O51" s="20" t="str">
        <f t="shared" si="7"/>
        <v>1|2|600</v>
      </c>
    </row>
    <row r="52" ht="15.6" spans="4:15">
      <c r="D52" s="7"/>
      <c r="E52" s="7">
        <f t="shared" ref="E52:E57" si="8">E17</f>
        <v>15</v>
      </c>
      <c r="F52" s="6" t="str">
        <f>IF(F17="","",(_xlfn.XLOOKUP(F17,道具表!$B:$B,道具表!$C:$C)&amp;"|"&amp;_xlfn.XLOOKUP(F17,道具表!$B:$B,道具表!$A:$A)&amp;"|"))</f>
        <v>1|2|</v>
      </c>
      <c r="G52" s="7" t="str">
        <f t="shared" ref="G52:G57" si="9">IF(G17="","",G17&amp;",")</f>
        <v>40,</v>
      </c>
      <c r="H52" s="6" t="str">
        <f>IF(H17="","",(_xlfn.XLOOKUP(H17,道具表!$B:$B,道具表!$C:$C)&amp;"|"&amp;_xlfn.XLOOKUP(H17,道具表!$B:$B,道具表!$A:$A)&amp;"|"))</f>
        <v>1|2|</v>
      </c>
      <c r="I52" s="7" t="str">
        <f t="shared" ref="I52:I57" si="10">IF(I17="","",I17&amp;",")</f>
        <v>600,</v>
      </c>
      <c r="J52" s="6" t="str">
        <f>IF(J17="","",(_xlfn.XLOOKUP(J17,道具表!$B:$B,道具表!$C:$C)&amp;"|"&amp;_xlfn.XLOOKUP(J17,道具表!$B:$B,道具表!$A:$A)&amp;"|"))</f>
        <v/>
      </c>
      <c r="K52" s="7" t="str">
        <f t="shared" ref="K52:K57" si="11">IF(K17="","",K17&amp;",")</f>
        <v/>
      </c>
      <c r="L52" s="6" t="str">
        <f>IF(L17="","",(_xlfn.XLOOKUP(L17,道具表!$B:$B,道具表!$C:$C)&amp;"|"&amp;_xlfn.XLOOKUP(L17,道具表!$B:$B,道具表!$A:$A)&amp;"|"))</f>
        <v/>
      </c>
      <c r="M52" s="7"/>
      <c r="N52" s="19" t="str">
        <f t="shared" ref="N52:N57" si="12">LEFT(F52&amp;G52,LEN(F52&amp;G52)-1)</f>
        <v>1|2|40</v>
      </c>
      <c r="O52" s="20" t="str">
        <f t="shared" ref="O52:O57" si="13">LEFT(H52&amp;I52&amp;J52&amp;K52,LEN(H52&amp;I52&amp;J52&amp;K52)-1)</f>
        <v>1|2|600</v>
      </c>
    </row>
    <row r="53" ht="15.6" spans="4:15">
      <c r="D53" s="7"/>
      <c r="E53" s="7">
        <f t="shared" si="8"/>
        <v>16</v>
      </c>
      <c r="F53" s="6" t="str">
        <f>IF(F18="","",(_xlfn.XLOOKUP(F18,道具表!$B:$B,道具表!$C:$C)&amp;"|"&amp;_xlfn.XLOOKUP(F18,道具表!$B:$B,道具表!$A:$A)&amp;"|"))</f>
        <v>1|2|</v>
      </c>
      <c r="G53" s="7" t="str">
        <f t="shared" si="9"/>
        <v>50,</v>
      </c>
      <c r="H53" s="6" t="str">
        <f>IF(H18="","",(_xlfn.XLOOKUP(H18,道具表!$B:$B,道具表!$C:$C)&amp;"|"&amp;_xlfn.XLOOKUP(H18,道具表!$B:$B,道具表!$A:$A)&amp;"|"))</f>
        <v>1|2|</v>
      </c>
      <c r="I53" s="7" t="str">
        <f t="shared" si="10"/>
        <v>600,</v>
      </c>
      <c r="J53" s="6" t="str">
        <f>IF(J18="","",(_xlfn.XLOOKUP(J18,道具表!$B:$B,道具表!$C:$C)&amp;"|"&amp;_xlfn.XLOOKUP(J18,道具表!$B:$B,道具表!$A:$A)&amp;"|"))</f>
        <v/>
      </c>
      <c r="K53" s="7" t="str">
        <f t="shared" si="11"/>
        <v/>
      </c>
      <c r="L53" s="6" t="str">
        <f>IF(L18="","",(_xlfn.XLOOKUP(L18,道具表!$B:$B,道具表!$C:$C)&amp;"|"&amp;_xlfn.XLOOKUP(L18,道具表!$B:$B,道具表!$A:$A)&amp;"|"))</f>
        <v/>
      </c>
      <c r="M53" s="7"/>
      <c r="N53" s="19" t="str">
        <f t="shared" si="12"/>
        <v>1|2|50</v>
      </c>
      <c r="O53" s="20" t="str">
        <f t="shared" si="13"/>
        <v>1|2|600</v>
      </c>
    </row>
    <row r="54" ht="15.6" spans="4:15">
      <c r="D54" s="7"/>
      <c r="E54" s="7">
        <f t="shared" si="8"/>
        <v>17</v>
      </c>
      <c r="F54" s="6" t="str">
        <f>IF(F19="","",(_xlfn.XLOOKUP(F19,道具表!$B:$B,道具表!$C:$C)&amp;"|"&amp;_xlfn.XLOOKUP(F19,道具表!$B:$B,道具表!$A:$A)&amp;"|"))</f>
        <v>1|2|</v>
      </c>
      <c r="G54" s="7" t="str">
        <f t="shared" si="9"/>
        <v>50,</v>
      </c>
      <c r="H54" s="6" t="str">
        <f>IF(H19="","",(_xlfn.XLOOKUP(H19,道具表!$B:$B,道具表!$C:$C)&amp;"|"&amp;_xlfn.XLOOKUP(H19,道具表!$B:$B,道具表!$A:$A)&amp;"|"))</f>
        <v>1|2|</v>
      </c>
      <c r="I54" s="7" t="str">
        <f t="shared" si="10"/>
        <v>600,</v>
      </c>
      <c r="J54" s="6" t="str">
        <f>IF(J19="","",(_xlfn.XLOOKUP(J19,道具表!$B:$B,道具表!$C:$C)&amp;"|"&amp;_xlfn.XLOOKUP(J19,道具表!$B:$B,道具表!$A:$A)&amp;"|"))</f>
        <v/>
      </c>
      <c r="K54" s="7" t="str">
        <f t="shared" si="11"/>
        <v/>
      </c>
      <c r="L54" s="6" t="str">
        <f>IF(L19="","",(_xlfn.XLOOKUP(L19,道具表!$B:$B,道具表!$C:$C)&amp;"|"&amp;_xlfn.XLOOKUP(L19,道具表!$B:$B,道具表!$A:$A)&amp;"|"))</f>
        <v/>
      </c>
      <c r="M54" s="7"/>
      <c r="N54" s="19" t="str">
        <f t="shared" si="12"/>
        <v>1|2|50</v>
      </c>
      <c r="O54" s="20" t="str">
        <f t="shared" si="13"/>
        <v>1|2|600</v>
      </c>
    </row>
    <row r="55" ht="15.6" spans="4:15">
      <c r="D55" s="7"/>
      <c r="E55" s="7">
        <f t="shared" si="8"/>
        <v>18</v>
      </c>
      <c r="F55" s="6" t="str">
        <f>IF(F20="","",(_xlfn.XLOOKUP(F20,道具表!$B:$B,道具表!$C:$C)&amp;"|"&amp;_xlfn.XLOOKUP(F20,道具表!$B:$B,道具表!$A:$A)&amp;"|"))</f>
        <v>1|2|</v>
      </c>
      <c r="G55" s="7" t="str">
        <f t="shared" si="9"/>
        <v>50,</v>
      </c>
      <c r="H55" s="6" t="str">
        <f>IF(H20="","",(_xlfn.XLOOKUP(H20,道具表!$B:$B,道具表!$C:$C)&amp;"|"&amp;_xlfn.XLOOKUP(H20,道具表!$B:$B,道具表!$A:$A)&amp;"|"))</f>
        <v>1|2|</v>
      </c>
      <c r="I55" s="7" t="str">
        <f t="shared" si="10"/>
        <v>600,</v>
      </c>
      <c r="J55" s="6" t="str">
        <f>IF(J20="","",(_xlfn.XLOOKUP(J20,道具表!$B:$B,道具表!$C:$C)&amp;"|"&amp;_xlfn.XLOOKUP(J20,道具表!$B:$B,道具表!$A:$A)&amp;"|"))</f>
        <v/>
      </c>
      <c r="K55" s="7" t="str">
        <f t="shared" si="11"/>
        <v/>
      </c>
      <c r="L55" s="6" t="str">
        <f>IF(L20="","",(_xlfn.XLOOKUP(L20,道具表!$B:$B,道具表!$C:$C)&amp;"|"&amp;_xlfn.XLOOKUP(L20,道具表!$B:$B,道具表!$A:$A)&amp;"|"))</f>
        <v/>
      </c>
      <c r="M55" s="7"/>
      <c r="N55" s="19" t="str">
        <f t="shared" si="12"/>
        <v>1|2|50</v>
      </c>
      <c r="O55" s="20" t="str">
        <f t="shared" si="13"/>
        <v>1|2|600</v>
      </c>
    </row>
    <row r="56" ht="15.6" spans="4:15">
      <c r="D56" s="7"/>
      <c r="E56" s="7">
        <f t="shared" si="8"/>
        <v>19</v>
      </c>
      <c r="F56" s="6" t="str">
        <f>IF(F21="","",(_xlfn.XLOOKUP(F21,道具表!$B:$B,道具表!$C:$C)&amp;"|"&amp;_xlfn.XLOOKUP(F21,道具表!$B:$B,道具表!$A:$A)&amp;"|"))</f>
        <v>1|2|</v>
      </c>
      <c r="G56" s="7" t="str">
        <f t="shared" si="9"/>
        <v>50,</v>
      </c>
      <c r="H56" s="6" t="str">
        <f>IF(H21="","",(_xlfn.XLOOKUP(H21,道具表!$B:$B,道具表!$C:$C)&amp;"|"&amp;_xlfn.XLOOKUP(H21,道具表!$B:$B,道具表!$A:$A)&amp;"|"))</f>
        <v>1|2|</v>
      </c>
      <c r="I56" s="7" t="str">
        <f t="shared" si="10"/>
        <v>600,</v>
      </c>
      <c r="J56" s="6" t="str">
        <f>IF(J21="","",(_xlfn.XLOOKUP(J21,道具表!$B:$B,道具表!$C:$C)&amp;"|"&amp;_xlfn.XLOOKUP(J21,道具表!$B:$B,道具表!$A:$A)&amp;"|"))</f>
        <v/>
      </c>
      <c r="K56" s="7" t="str">
        <f t="shared" si="11"/>
        <v/>
      </c>
      <c r="L56" s="6" t="str">
        <f>IF(L21="","",(_xlfn.XLOOKUP(L21,道具表!$B:$B,道具表!$C:$C)&amp;"|"&amp;_xlfn.XLOOKUP(L21,道具表!$B:$B,道具表!$A:$A)&amp;"|"))</f>
        <v/>
      </c>
      <c r="M56" s="7"/>
      <c r="N56" s="19" t="str">
        <f t="shared" si="12"/>
        <v>1|2|50</v>
      </c>
      <c r="O56" s="20" t="str">
        <f t="shared" si="13"/>
        <v>1|2|600</v>
      </c>
    </row>
    <row r="57" ht="15.6" spans="4:15">
      <c r="D57" s="7"/>
      <c r="E57" s="7">
        <f t="shared" si="8"/>
        <v>20</v>
      </c>
      <c r="F57" s="6" t="str">
        <f>IF(F22="","",(_xlfn.XLOOKUP(F22,道具表!$B:$B,道具表!$C:$C)&amp;"|"&amp;_xlfn.XLOOKUP(F22,道具表!$B:$B,道具表!$A:$A)&amp;"|"))</f>
        <v>1|2|</v>
      </c>
      <c r="G57" s="7" t="str">
        <f t="shared" si="9"/>
        <v>50,</v>
      </c>
      <c r="H57" s="6" t="str">
        <f>IF(H22="","",(_xlfn.XLOOKUP(H22,道具表!$B:$B,道具表!$C:$C)&amp;"|"&amp;_xlfn.XLOOKUP(H22,道具表!$B:$B,道具表!$A:$A)&amp;"|"))</f>
        <v>1|2|</v>
      </c>
      <c r="I57" s="7" t="str">
        <f t="shared" si="10"/>
        <v>600,</v>
      </c>
      <c r="J57" s="6" t="str">
        <f>IF(J22="","",(_xlfn.XLOOKUP(J22,道具表!$B:$B,道具表!$C:$C)&amp;"|"&amp;_xlfn.XLOOKUP(J22,道具表!$B:$B,道具表!$A:$A)&amp;"|"))</f>
        <v/>
      </c>
      <c r="K57" s="7" t="str">
        <f t="shared" si="11"/>
        <v/>
      </c>
      <c r="L57" s="6" t="str">
        <f>IF(L22="","",(_xlfn.XLOOKUP(L22,道具表!$B:$B,道具表!$C:$C)&amp;"|"&amp;_xlfn.XLOOKUP(L22,道具表!$B:$B,道具表!$A:$A)&amp;"|"))</f>
        <v/>
      </c>
      <c r="M57" s="7"/>
      <c r="N57" s="19" t="str">
        <f t="shared" si="12"/>
        <v>1|2|50</v>
      </c>
      <c r="O57" s="20" t="str">
        <f t="shared" si="13"/>
        <v>1|2|600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P56"/>
  <sheetViews>
    <sheetView topLeftCell="A7" workbookViewId="0">
      <selection activeCell="E33" sqref="E33"/>
    </sheetView>
  </sheetViews>
  <sheetFormatPr defaultColWidth="8.88888888888889" defaultRowHeight="14.4"/>
  <cols>
    <col min="4" max="6" width="8.88888888888889" style="14"/>
    <col min="7" max="7" width="12.8888888888889" style="14"/>
    <col min="8" max="8" width="8.88888888888889" style="14"/>
    <col min="9" max="9" width="12.8888888888889" style="14"/>
    <col min="10" max="15" width="8.88888888888889" style="14"/>
    <col min="16" max="16" width="15.6666666666667" style="14"/>
    <col min="17" max="18" width="12.8888888888889"/>
  </cols>
  <sheetData>
    <row r="1" spans="9:9">
      <c r="I1" s="14">
        <v>18660</v>
      </c>
    </row>
    <row r="2" ht="15.6" spans="4:16">
      <c r="D2" s="7" t="s">
        <v>338</v>
      </c>
      <c r="E2" s="7" t="s">
        <v>1127</v>
      </c>
      <c r="F2" s="7" t="s">
        <v>953</v>
      </c>
      <c r="G2" s="7" t="s">
        <v>323</v>
      </c>
      <c r="H2" s="7" t="s">
        <v>1124</v>
      </c>
      <c r="I2" s="7" t="s">
        <v>323</v>
      </c>
      <c r="J2" s="7" t="s">
        <v>1125</v>
      </c>
      <c r="K2" s="7" t="s">
        <v>323</v>
      </c>
      <c r="L2" s="7" t="s">
        <v>1126</v>
      </c>
      <c r="M2" s="7" t="s">
        <v>323</v>
      </c>
      <c r="N2" s="6" t="s">
        <v>339</v>
      </c>
      <c r="O2" s="6" t="s">
        <v>340</v>
      </c>
      <c r="P2" s="6" t="s">
        <v>341</v>
      </c>
    </row>
    <row r="3" ht="15.6" spans="4:16">
      <c r="D3" s="7">
        <v>328</v>
      </c>
      <c r="E3" s="15">
        <v>210</v>
      </c>
      <c r="F3" s="7" t="s">
        <v>34</v>
      </c>
      <c r="G3" s="7">
        <v>1</v>
      </c>
      <c r="H3" s="7" t="s">
        <v>34</v>
      </c>
      <c r="I3" s="7">
        <v>10</v>
      </c>
      <c r="J3" s="7"/>
      <c r="K3" s="7"/>
      <c r="L3" s="7" t="s">
        <v>6</v>
      </c>
      <c r="M3" s="7">
        <v>3280</v>
      </c>
      <c r="N3" s="6">
        <f>_xlfn.XLOOKUP(H3,道具表!$B:$B,道具表!$E:$E)</f>
        <v>100</v>
      </c>
      <c r="O3" s="6">
        <f>_xlfn.XLOOKUP(J3,道具表!$B:$B,道具表!$E:$E)</f>
        <v>0</v>
      </c>
      <c r="P3" s="6">
        <f>N3*I3+O3*K3</f>
        <v>1000</v>
      </c>
    </row>
    <row r="4" ht="15.6" spans="4:16">
      <c r="D4" s="7"/>
      <c r="E4" s="15">
        <v>310</v>
      </c>
      <c r="F4" s="7" t="s">
        <v>34</v>
      </c>
      <c r="G4" s="7">
        <v>1</v>
      </c>
      <c r="H4" s="7" t="s">
        <v>34</v>
      </c>
      <c r="I4" s="7">
        <v>10</v>
      </c>
      <c r="J4" s="7"/>
      <c r="K4" s="7"/>
      <c r="L4" s="7"/>
      <c r="M4" s="7"/>
      <c r="N4" s="6">
        <f>_xlfn.XLOOKUP(H4,道具表!$B:$B,道具表!$E:$E)</f>
        <v>100</v>
      </c>
      <c r="O4" s="6">
        <f>_xlfn.XLOOKUP(J4,道具表!$B:$B,道具表!$E:$E)</f>
        <v>0</v>
      </c>
      <c r="P4" s="6">
        <f>N4*I4+O4*K4</f>
        <v>1000</v>
      </c>
    </row>
    <row r="5" ht="15.6" spans="4:16">
      <c r="D5" s="7"/>
      <c r="E5" s="15">
        <v>410</v>
      </c>
      <c r="F5" s="7" t="s">
        <v>34</v>
      </c>
      <c r="G5" s="7">
        <v>1</v>
      </c>
      <c r="H5" s="7" t="s">
        <v>34</v>
      </c>
      <c r="I5" s="7">
        <v>10</v>
      </c>
      <c r="J5" s="7"/>
      <c r="K5" s="7"/>
      <c r="L5" s="7"/>
      <c r="M5" s="7"/>
      <c r="N5" s="6">
        <f>_xlfn.XLOOKUP(H5,道具表!$B:$B,道具表!$E:$E)</f>
        <v>100</v>
      </c>
      <c r="O5" s="6">
        <f>_xlfn.XLOOKUP(J5,道具表!$B:$B,道具表!$E:$E)</f>
        <v>0</v>
      </c>
      <c r="P5" s="6">
        <f t="shared" ref="P3:P22" si="0">N5*I5+O5*K5</f>
        <v>1000</v>
      </c>
    </row>
    <row r="6" ht="15.6" spans="4:16">
      <c r="D6" s="7"/>
      <c r="E6" s="15">
        <v>510</v>
      </c>
      <c r="F6" s="7" t="s">
        <v>34</v>
      </c>
      <c r="G6" s="7">
        <v>1</v>
      </c>
      <c r="H6" s="7" t="s">
        <v>34</v>
      </c>
      <c r="I6" s="7">
        <v>10</v>
      </c>
      <c r="J6" s="7"/>
      <c r="K6" s="7"/>
      <c r="L6" s="7"/>
      <c r="M6" s="7"/>
      <c r="N6" s="6">
        <f>_xlfn.XLOOKUP(H6,道具表!$B:$B,道具表!$E:$E)</f>
        <v>100</v>
      </c>
      <c r="O6" s="6">
        <f>_xlfn.XLOOKUP(J6,道具表!$B:$B,道具表!$E:$E)</f>
        <v>0</v>
      </c>
      <c r="P6" s="6">
        <f t="shared" si="0"/>
        <v>1000</v>
      </c>
    </row>
    <row r="7" ht="15.6" spans="4:16">
      <c r="D7" s="7"/>
      <c r="E7" s="15">
        <v>610</v>
      </c>
      <c r="F7" s="7" t="s">
        <v>34</v>
      </c>
      <c r="G7" s="7">
        <v>1</v>
      </c>
      <c r="H7" s="7" t="s">
        <v>34</v>
      </c>
      <c r="I7" s="7">
        <v>15</v>
      </c>
      <c r="J7" s="7"/>
      <c r="K7" s="7"/>
      <c r="L7" s="7"/>
      <c r="M7" s="7"/>
      <c r="N7" s="6">
        <f>_xlfn.XLOOKUP(H7,道具表!$B:$B,道具表!$E:$E)</f>
        <v>100</v>
      </c>
      <c r="O7" s="6">
        <f>_xlfn.XLOOKUP(J7,道具表!$B:$B,道具表!$E:$E)</f>
        <v>0</v>
      </c>
      <c r="P7" s="6">
        <f t="shared" si="0"/>
        <v>1500</v>
      </c>
    </row>
    <row r="8" ht="15.6" spans="4:16">
      <c r="D8" s="7"/>
      <c r="E8" s="15">
        <v>710</v>
      </c>
      <c r="F8" s="7" t="s">
        <v>34</v>
      </c>
      <c r="G8" s="7">
        <v>1</v>
      </c>
      <c r="H8" s="7" t="s">
        <v>34</v>
      </c>
      <c r="I8" s="7">
        <v>15</v>
      </c>
      <c r="J8" s="7"/>
      <c r="K8" s="7"/>
      <c r="L8" s="7"/>
      <c r="M8" s="7"/>
      <c r="N8" s="6">
        <f>_xlfn.XLOOKUP(H8,道具表!$B:$B,道具表!$E:$E)</f>
        <v>100</v>
      </c>
      <c r="O8" s="6">
        <f>_xlfn.XLOOKUP(J8,道具表!$B:$B,道具表!$E:$E)</f>
        <v>0</v>
      </c>
      <c r="P8" s="6">
        <f t="shared" si="0"/>
        <v>1500</v>
      </c>
    </row>
    <row r="9" ht="15.6" spans="4:16">
      <c r="D9" s="7"/>
      <c r="E9" s="15">
        <v>810</v>
      </c>
      <c r="F9" s="7" t="s">
        <v>34</v>
      </c>
      <c r="G9" s="7">
        <v>1</v>
      </c>
      <c r="H9" s="7" t="s">
        <v>34</v>
      </c>
      <c r="I9" s="7">
        <v>15</v>
      </c>
      <c r="J9" s="7"/>
      <c r="K9" s="7"/>
      <c r="L9" s="7"/>
      <c r="M9" s="7"/>
      <c r="N9" s="6">
        <f>_xlfn.XLOOKUP(H9,道具表!$B:$B,道具表!$E:$E)</f>
        <v>100</v>
      </c>
      <c r="O9" s="6">
        <f>_xlfn.XLOOKUP(J9,道具表!$B:$B,道具表!$E:$E)</f>
        <v>0</v>
      </c>
      <c r="P9" s="6">
        <f t="shared" si="0"/>
        <v>1500</v>
      </c>
    </row>
    <row r="10" ht="15.6" spans="4:16">
      <c r="D10" s="7"/>
      <c r="E10" s="15">
        <v>910</v>
      </c>
      <c r="F10" s="7" t="s">
        <v>34</v>
      </c>
      <c r="G10" s="7">
        <v>1</v>
      </c>
      <c r="H10" s="7" t="s">
        <v>34</v>
      </c>
      <c r="I10" s="7">
        <v>15</v>
      </c>
      <c r="J10" s="7"/>
      <c r="K10" s="7"/>
      <c r="L10" s="7"/>
      <c r="M10" s="7"/>
      <c r="N10" s="6">
        <f>_xlfn.XLOOKUP(H10,道具表!$B:$B,道具表!$E:$E)</f>
        <v>100</v>
      </c>
      <c r="O10" s="6">
        <f>_xlfn.XLOOKUP(J10,道具表!$B:$B,道具表!$E:$E)</f>
        <v>0</v>
      </c>
      <c r="P10" s="6">
        <f t="shared" si="0"/>
        <v>1500</v>
      </c>
    </row>
    <row r="11" ht="15.6" spans="4:16">
      <c r="D11" s="7"/>
      <c r="E11" s="15">
        <v>1010</v>
      </c>
      <c r="F11" s="7" t="s">
        <v>34</v>
      </c>
      <c r="G11" s="7">
        <v>1</v>
      </c>
      <c r="H11" s="7" t="s">
        <v>34</v>
      </c>
      <c r="I11" s="7">
        <v>15</v>
      </c>
      <c r="J11" s="7"/>
      <c r="K11" s="7"/>
      <c r="L11" s="7"/>
      <c r="M11" s="7"/>
      <c r="N11" s="6">
        <f>_xlfn.XLOOKUP(H11,道具表!$B:$B,道具表!$E:$E)</f>
        <v>100</v>
      </c>
      <c r="O11" s="6">
        <f>_xlfn.XLOOKUP(J11,道具表!$B:$B,道具表!$E:$E)</f>
        <v>0</v>
      </c>
      <c r="P11" s="6">
        <f t="shared" si="0"/>
        <v>1500</v>
      </c>
    </row>
    <row r="12" ht="15.6" spans="4:16">
      <c r="D12" s="7"/>
      <c r="E12" s="15">
        <v>1110</v>
      </c>
      <c r="F12" s="7" t="s">
        <v>34</v>
      </c>
      <c r="G12" s="7">
        <v>1</v>
      </c>
      <c r="H12" s="7" t="s">
        <v>34</v>
      </c>
      <c r="I12" s="7">
        <v>15</v>
      </c>
      <c r="J12" s="7"/>
      <c r="K12" s="7"/>
      <c r="L12" s="7"/>
      <c r="M12" s="7"/>
      <c r="N12" s="6">
        <f>_xlfn.XLOOKUP(H12,道具表!$B:$B,道具表!$E:$E)</f>
        <v>100</v>
      </c>
      <c r="O12" s="6">
        <f>_xlfn.XLOOKUP(J12,道具表!$B:$B,道具表!$E:$E)</f>
        <v>0</v>
      </c>
      <c r="P12" s="6">
        <f t="shared" si="0"/>
        <v>1500</v>
      </c>
    </row>
    <row r="13" ht="15.6" spans="4:16">
      <c r="D13" s="7"/>
      <c r="E13" s="15">
        <v>1210</v>
      </c>
      <c r="F13" s="7" t="s">
        <v>34</v>
      </c>
      <c r="G13" s="7">
        <v>2</v>
      </c>
      <c r="H13" s="7" t="s">
        <v>34</v>
      </c>
      <c r="I13" s="7">
        <v>15</v>
      </c>
      <c r="J13" s="7"/>
      <c r="K13" s="7"/>
      <c r="L13" s="7"/>
      <c r="M13" s="7"/>
      <c r="N13" s="6">
        <f>_xlfn.XLOOKUP(H13,道具表!$B:$B,道具表!$E:$E)</f>
        <v>100</v>
      </c>
      <c r="O13" s="6">
        <f>_xlfn.XLOOKUP(J13,道具表!$B:$B,道具表!$E:$E)</f>
        <v>0</v>
      </c>
      <c r="P13" s="6">
        <f t="shared" si="0"/>
        <v>1500</v>
      </c>
    </row>
    <row r="14" ht="15.6" spans="4:16">
      <c r="D14" s="7"/>
      <c r="E14" s="15">
        <v>1310</v>
      </c>
      <c r="F14" s="7" t="s">
        <v>34</v>
      </c>
      <c r="G14" s="7">
        <v>2</v>
      </c>
      <c r="H14" s="7" t="s">
        <v>34</v>
      </c>
      <c r="I14" s="7">
        <v>15</v>
      </c>
      <c r="J14" s="7"/>
      <c r="K14" s="7"/>
      <c r="L14" s="7"/>
      <c r="M14" s="7"/>
      <c r="N14" s="6">
        <f>_xlfn.XLOOKUP(H14,道具表!$B:$B,道具表!$E:$E)</f>
        <v>100</v>
      </c>
      <c r="O14" s="6">
        <f>_xlfn.XLOOKUP(J14,道具表!$B:$B,道具表!$E:$E)</f>
        <v>0</v>
      </c>
      <c r="P14" s="6">
        <f t="shared" si="0"/>
        <v>1500</v>
      </c>
    </row>
    <row r="15" ht="15.6" spans="4:16">
      <c r="D15" s="7"/>
      <c r="E15" s="15">
        <v>1410</v>
      </c>
      <c r="F15" s="7" t="s">
        <v>34</v>
      </c>
      <c r="G15" s="7">
        <v>2</v>
      </c>
      <c r="H15" s="7" t="s">
        <v>34</v>
      </c>
      <c r="I15" s="7">
        <v>15</v>
      </c>
      <c r="J15" s="7"/>
      <c r="K15" s="7"/>
      <c r="L15" s="7"/>
      <c r="M15" s="7"/>
      <c r="N15" s="6">
        <f>_xlfn.XLOOKUP(H15,道具表!$B:$B,道具表!$E:$E)</f>
        <v>100</v>
      </c>
      <c r="O15" s="6">
        <f>_xlfn.XLOOKUP(J15,道具表!$B:$B,道具表!$E:$E)</f>
        <v>0</v>
      </c>
      <c r="P15" s="6">
        <f t="shared" si="0"/>
        <v>1500</v>
      </c>
    </row>
    <row r="16" ht="15.6" spans="4:16">
      <c r="D16" s="7"/>
      <c r="E16" s="15">
        <v>1510</v>
      </c>
      <c r="F16" s="7" t="s">
        <v>34</v>
      </c>
      <c r="G16" s="7">
        <v>2</v>
      </c>
      <c r="H16" s="7" t="s">
        <v>34</v>
      </c>
      <c r="I16" s="7">
        <v>15</v>
      </c>
      <c r="J16" s="7"/>
      <c r="K16" s="7"/>
      <c r="L16" s="7"/>
      <c r="M16" s="7"/>
      <c r="N16" s="6">
        <f>_xlfn.XLOOKUP(H16,道具表!$B:$B,道具表!$E:$E)</f>
        <v>100</v>
      </c>
      <c r="O16" s="6">
        <f>_xlfn.XLOOKUP(J16,道具表!$B:$B,道具表!$E:$E)</f>
        <v>0</v>
      </c>
      <c r="P16" s="6">
        <f t="shared" si="0"/>
        <v>1500</v>
      </c>
    </row>
    <row r="17" ht="15.6" spans="4:16">
      <c r="D17" s="7"/>
      <c r="E17" s="15">
        <v>1610</v>
      </c>
      <c r="F17" s="7" t="s">
        <v>34</v>
      </c>
      <c r="G17" s="7">
        <v>2</v>
      </c>
      <c r="H17" s="7" t="s">
        <v>34</v>
      </c>
      <c r="I17" s="7">
        <v>20</v>
      </c>
      <c r="J17" s="7"/>
      <c r="K17" s="7"/>
      <c r="L17" s="7"/>
      <c r="M17" s="7"/>
      <c r="N17" s="6">
        <f>_xlfn.XLOOKUP(H17,道具表!$B:$B,道具表!$E:$E)</f>
        <v>100</v>
      </c>
      <c r="O17" s="6">
        <f>_xlfn.XLOOKUP(J17,道具表!$B:$B,道具表!$E:$E)</f>
        <v>0</v>
      </c>
      <c r="P17" s="6">
        <f t="shared" si="0"/>
        <v>2000</v>
      </c>
    </row>
    <row r="18" ht="15.6" spans="4:16">
      <c r="D18" s="7"/>
      <c r="E18" s="15">
        <v>1710</v>
      </c>
      <c r="F18" s="7" t="s">
        <v>34</v>
      </c>
      <c r="G18" s="7">
        <v>2</v>
      </c>
      <c r="H18" s="7" t="s">
        <v>34</v>
      </c>
      <c r="I18" s="7">
        <v>20</v>
      </c>
      <c r="J18" s="7"/>
      <c r="K18" s="7"/>
      <c r="L18" s="7"/>
      <c r="M18" s="7"/>
      <c r="N18" s="6">
        <f>_xlfn.XLOOKUP(H18,道具表!$B:$B,道具表!$E:$E)</f>
        <v>100</v>
      </c>
      <c r="O18" s="6">
        <f>_xlfn.XLOOKUP(J18,道具表!$B:$B,道具表!$E:$E)</f>
        <v>0</v>
      </c>
      <c r="P18" s="6">
        <f t="shared" si="0"/>
        <v>2000</v>
      </c>
    </row>
    <row r="19" ht="15.6" spans="4:16">
      <c r="D19" s="7"/>
      <c r="E19" s="15">
        <v>1810</v>
      </c>
      <c r="F19" s="7" t="s">
        <v>34</v>
      </c>
      <c r="G19" s="7">
        <v>2</v>
      </c>
      <c r="H19" s="7" t="s">
        <v>34</v>
      </c>
      <c r="I19" s="7">
        <v>20</v>
      </c>
      <c r="J19" s="7"/>
      <c r="K19" s="7"/>
      <c r="L19" s="7"/>
      <c r="M19" s="7"/>
      <c r="N19" s="6">
        <f>_xlfn.XLOOKUP(H19,道具表!$B:$B,道具表!$E:$E)</f>
        <v>100</v>
      </c>
      <c r="O19" s="6">
        <f>_xlfn.XLOOKUP(J19,道具表!$B:$B,道具表!$E:$E)</f>
        <v>0</v>
      </c>
      <c r="P19" s="6">
        <f t="shared" si="0"/>
        <v>2000</v>
      </c>
    </row>
    <row r="20" ht="15.6" spans="4:16">
      <c r="D20" s="7"/>
      <c r="E20" s="15">
        <v>1910</v>
      </c>
      <c r="F20" s="7" t="s">
        <v>34</v>
      </c>
      <c r="G20" s="7">
        <v>2</v>
      </c>
      <c r="H20" s="7" t="s">
        <v>34</v>
      </c>
      <c r="I20" s="7">
        <v>20</v>
      </c>
      <c r="J20" s="7"/>
      <c r="K20" s="7"/>
      <c r="L20" s="7"/>
      <c r="M20" s="7"/>
      <c r="N20" s="6">
        <f>_xlfn.XLOOKUP(H20,道具表!$B:$B,道具表!$E:$E)</f>
        <v>100</v>
      </c>
      <c r="O20" s="6">
        <f>_xlfn.XLOOKUP(J20,道具表!$B:$B,道具表!$E:$E)</f>
        <v>0</v>
      </c>
      <c r="P20" s="6">
        <f t="shared" si="0"/>
        <v>2000</v>
      </c>
    </row>
    <row r="21" ht="15.6" spans="4:16">
      <c r="D21" s="7"/>
      <c r="E21" s="15">
        <v>2010</v>
      </c>
      <c r="F21" s="7" t="s">
        <v>34</v>
      </c>
      <c r="G21" s="7">
        <v>2</v>
      </c>
      <c r="H21" s="7" t="s">
        <v>34</v>
      </c>
      <c r="I21" s="7">
        <v>20</v>
      </c>
      <c r="J21" s="7"/>
      <c r="K21" s="7"/>
      <c r="L21" s="7"/>
      <c r="M21" s="7"/>
      <c r="N21" s="6">
        <f>_xlfn.XLOOKUP(H21,道具表!$B:$B,道具表!$E:$E)</f>
        <v>100</v>
      </c>
      <c r="O21" s="6">
        <f>_xlfn.XLOOKUP(J21,道具表!$B:$B,道具表!$E:$E)</f>
        <v>0</v>
      </c>
      <c r="P21" s="6">
        <f t="shared" si="0"/>
        <v>2000</v>
      </c>
    </row>
    <row r="22" ht="15.6" spans="4:16">
      <c r="D22" s="7"/>
      <c r="E22" s="15">
        <v>2110</v>
      </c>
      <c r="F22" s="7" t="s">
        <v>34</v>
      </c>
      <c r="G22" s="7">
        <v>2</v>
      </c>
      <c r="H22" s="7" t="s">
        <v>34</v>
      </c>
      <c r="I22" s="7">
        <v>30</v>
      </c>
      <c r="J22" s="7"/>
      <c r="K22" s="7"/>
      <c r="L22" s="7"/>
      <c r="M22" s="7"/>
      <c r="N22" s="6">
        <f>_xlfn.XLOOKUP(H22,道具表!$B:$B,道具表!$E:$E)</f>
        <v>100</v>
      </c>
      <c r="O22" s="6">
        <f>_xlfn.XLOOKUP(J22,道具表!$B:$B,道具表!$E:$E)</f>
        <v>0</v>
      </c>
      <c r="P22" s="6">
        <f>N22*I22+O22*K22</f>
        <v>3000</v>
      </c>
    </row>
    <row r="23" ht="15.6" spans="4:16">
      <c r="D23" s="7"/>
      <c r="E23" s="15">
        <v>2210</v>
      </c>
      <c r="F23" s="7" t="s">
        <v>34</v>
      </c>
      <c r="G23" s="7">
        <v>2</v>
      </c>
      <c r="H23" s="7" t="s">
        <v>34</v>
      </c>
      <c r="I23" s="7">
        <v>30</v>
      </c>
      <c r="J23" s="7"/>
      <c r="K23" s="7"/>
      <c r="L23" s="7"/>
      <c r="M23" s="7"/>
      <c r="N23" s="6">
        <f>_xlfn.XLOOKUP(H23,道具表!$B:$B,道具表!$E:$E)</f>
        <v>100</v>
      </c>
      <c r="O23" s="6">
        <f>_xlfn.XLOOKUP(J23,道具表!$B:$B,道具表!$E:$E)</f>
        <v>0</v>
      </c>
      <c r="P23" s="6">
        <f>N23*I23+O23*K23</f>
        <v>3000</v>
      </c>
    </row>
    <row r="24" ht="15.6" spans="4:16">
      <c r="D24" s="7"/>
      <c r="E24" s="15">
        <v>2310</v>
      </c>
      <c r="F24" s="7" t="s">
        <v>34</v>
      </c>
      <c r="G24" s="7">
        <v>2</v>
      </c>
      <c r="H24" s="7" t="s">
        <v>34</v>
      </c>
      <c r="I24" s="7">
        <v>30</v>
      </c>
      <c r="J24" s="7"/>
      <c r="K24" s="7"/>
      <c r="L24" s="7"/>
      <c r="M24" s="7"/>
      <c r="N24" s="6">
        <f>_xlfn.XLOOKUP(H24,道具表!$B:$B,道具表!$E:$E)</f>
        <v>100</v>
      </c>
      <c r="O24" s="6">
        <f>_xlfn.XLOOKUP(J24,道具表!$B:$B,道具表!$E:$E)</f>
        <v>0</v>
      </c>
      <c r="P24" s="6">
        <f>N24*I24+O24*K24</f>
        <v>3000</v>
      </c>
    </row>
    <row r="25" ht="15.6" spans="4:16">
      <c r="D25" s="7"/>
      <c r="E25" s="15">
        <v>2410</v>
      </c>
      <c r="F25" s="7" t="s">
        <v>34</v>
      </c>
      <c r="G25" s="7">
        <v>2</v>
      </c>
      <c r="H25" s="7" t="s">
        <v>34</v>
      </c>
      <c r="I25" s="7">
        <v>40</v>
      </c>
      <c r="J25" s="7"/>
      <c r="K25" s="7"/>
      <c r="L25" s="7"/>
      <c r="M25" s="7"/>
      <c r="N25" s="6">
        <f>_xlfn.XLOOKUP(H25,道具表!$B:$B,道具表!$E:$E)</f>
        <v>100</v>
      </c>
      <c r="O25" s="6">
        <f>_xlfn.XLOOKUP(J25,道具表!$B:$B,道具表!$E:$E)</f>
        <v>0</v>
      </c>
      <c r="P25" s="6">
        <f>N25*I25+O25*K25</f>
        <v>4000</v>
      </c>
    </row>
    <row r="26" ht="15.6" spans="4:16">
      <c r="D26" s="7"/>
      <c r="E26" s="15">
        <v>2510</v>
      </c>
      <c r="F26" s="7" t="s">
        <v>34</v>
      </c>
      <c r="G26" s="7">
        <v>2</v>
      </c>
      <c r="H26" s="7" t="s">
        <v>34</v>
      </c>
      <c r="I26" s="7">
        <v>50</v>
      </c>
      <c r="J26" s="7"/>
      <c r="K26" s="7"/>
      <c r="L26" s="7"/>
      <c r="M26" s="7"/>
      <c r="N26" s="6">
        <f>_xlfn.XLOOKUP(H26,道具表!$B:$B,道具表!$E:$E)</f>
        <v>100</v>
      </c>
      <c r="O26" s="6">
        <f>_xlfn.XLOOKUP(J26,道具表!$B:$B,道具表!$E:$E)</f>
        <v>0</v>
      </c>
      <c r="P26" s="6">
        <f>N26*I26+O26*K26</f>
        <v>5000</v>
      </c>
    </row>
    <row r="27" spans="4:16">
      <c r="D27" s="16"/>
      <c r="F27" s="16"/>
      <c r="G27" s="16"/>
      <c r="H27" s="16"/>
      <c r="I27" s="16"/>
      <c r="J27" s="16"/>
      <c r="K27" s="16"/>
      <c r="P27" s="14">
        <f>SUM(P3:P26)</f>
        <v>47000</v>
      </c>
    </row>
    <row r="28" spans="4:11">
      <c r="D28" s="16"/>
      <c r="F28" s="16"/>
      <c r="G28" s="16"/>
      <c r="H28" s="16"/>
      <c r="I28" s="16"/>
      <c r="J28" s="16"/>
      <c r="K28" s="16"/>
    </row>
    <row r="29" spans="4:11">
      <c r="D29" s="16"/>
      <c r="F29" s="16"/>
      <c r="G29" s="16"/>
      <c r="H29" s="16"/>
      <c r="I29" s="16"/>
      <c r="J29" s="16"/>
      <c r="K29" s="16"/>
    </row>
    <row r="30" spans="4:16">
      <c r="D30" s="16"/>
      <c r="F30" s="16"/>
      <c r="G30" s="16"/>
      <c r="H30" s="16"/>
      <c r="I30" s="16"/>
      <c r="J30" s="16"/>
      <c r="K30" s="16"/>
      <c r="P30" s="14">
        <f>SUM(P7:P29)</f>
        <v>90000</v>
      </c>
    </row>
    <row r="32" ht="15.6" spans="4:15">
      <c r="D32" s="7" t="s">
        <v>338</v>
      </c>
      <c r="E32" s="7" t="str">
        <f>E2</f>
        <v>关卡等级</v>
      </c>
      <c r="F32" s="7" t="s">
        <v>953</v>
      </c>
      <c r="G32" s="7" t="str">
        <f>IF(G2="","",G2&amp;",")</f>
        <v>数量,</v>
      </c>
      <c r="H32" s="7" t="s">
        <v>1124</v>
      </c>
      <c r="I32" s="7" t="str">
        <f t="shared" ref="I32:I52" si="1">IF(I2="","",I2&amp;",")</f>
        <v>数量,</v>
      </c>
      <c r="J32" s="7" t="s">
        <v>1125</v>
      </c>
      <c r="K32" s="7" t="str">
        <f>IF(K2="","",K2&amp;",")</f>
        <v>数量,</v>
      </c>
      <c r="L32" s="7" t="s">
        <v>1126</v>
      </c>
      <c r="M32" s="7" t="str">
        <f>IF(M2="","",M2&amp;",")</f>
        <v>数量,</v>
      </c>
      <c r="N32" s="18" t="s">
        <v>327</v>
      </c>
      <c r="O32" s="18" t="s">
        <v>327</v>
      </c>
    </row>
    <row r="33" ht="15.6" spans="4:15">
      <c r="D33" s="7">
        <v>328</v>
      </c>
      <c r="E33" s="7">
        <f>E3</f>
        <v>210</v>
      </c>
      <c r="F33" s="6" t="str">
        <f>IF(F3="","",(_xlfn.XLOOKUP(F3,道具表!$B:$B,道具表!$C:$C)&amp;"|"&amp;_xlfn.XLOOKUP(F3,道具表!$B:$B,道具表!$A:$A)&amp;"|"))</f>
        <v>1|1011|</v>
      </c>
      <c r="G33" s="7" t="str">
        <f t="shared" ref="G33:G52" si="2">IF(G3="","",G3&amp;",")</f>
        <v>1,</v>
      </c>
      <c r="H33" s="6" t="str">
        <f>IF(H3="","",(_xlfn.XLOOKUP(H3,道具表!$B:$B,道具表!$C:$C)&amp;"|"&amp;_xlfn.XLOOKUP(H3,道具表!$B:$B,道具表!$A:$A)&amp;"|"))</f>
        <v>1|1011|</v>
      </c>
      <c r="I33" s="7" t="str">
        <f t="shared" si="1"/>
        <v>10,</v>
      </c>
      <c r="J33" s="6" t="str">
        <f>IF(J3="","",(_xlfn.XLOOKUP(J3,道具表!$B:$B,道具表!$C:$C)&amp;"|"&amp;_xlfn.XLOOKUP(J3,道具表!$B:$B,道具表!$A:$A)&amp;"|"))</f>
        <v/>
      </c>
      <c r="K33" s="7" t="str">
        <f>IF(K3="","",K3&amp;",")</f>
        <v/>
      </c>
      <c r="L33" s="6" t="str">
        <f>_xlfn.XLOOKUP(L3,道具表!$B:$B,道具表!$C:$C)&amp;"|"&amp;_xlfn.XLOOKUP(L3,道具表!$B:$B,道具表!$A:$A)&amp;"|"</f>
        <v>1|2|</v>
      </c>
      <c r="M33" s="7" t="str">
        <f>IF(M3="","",M3&amp;",")</f>
        <v>3280,</v>
      </c>
      <c r="N33" s="19" t="str">
        <f>LEFT(F33&amp;G33,LEN(F33&amp;G33)-1)</f>
        <v>1|1011|1</v>
      </c>
      <c r="O33" s="20" t="str">
        <f>LEFT(H33&amp;I33&amp;J33&amp;K33,LEN(H33&amp;I33&amp;J33&amp;K33)-1)</f>
        <v>1|1011|10</v>
      </c>
    </row>
    <row r="34" ht="15.6" spans="4:15">
      <c r="D34" s="7"/>
      <c r="E34" s="7">
        <f t="shared" ref="E33:E52" si="3">E4</f>
        <v>310</v>
      </c>
      <c r="F34" s="6" t="str">
        <f>IF(F4="","",(_xlfn.XLOOKUP(F4,道具表!$B:$B,道具表!$C:$C)&amp;"|"&amp;_xlfn.XLOOKUP(F4,道具表!$B:$B,道具表!$A:$A)&amp;"|"))</f>
        <v>1|1011|</v>
      </c>
      <c r="G34" s="7" t="str">
        <f t="shared" si="2"/>
        <v>1,</v>
      </c>
      <c r="H34" s="6" t="str">
        <f>IF(H4="","",(_xlfn.XLOOKUP(H4,道具表!$B:$B,道具表!$C:$C)&amp;"|"&amp;_xlfn.XLOOKUP(H4,道具表!$B:$B,道具表!$A:$A)&amp;"|"))</f>
        <v>1|1011|</v>
      </c>
      <c r="I34" s="7" t="str">
        <f t="shared" si="1"/>
        <v>10,</v>
      </c>
      <c r="J34" s="6" t="str">
        <f>IF(J4="","",(_xlfn.XLOOKUP(J4,道具表!$B:$B,道具表!$C:$C)&amp;"|"&amp;_xlfn.XLOOKUP(J4,道具表!$B:$B,道具表!$A:$A)&amp;"|"))</f>
        <v/>
      </c>
      <c r="K34" s="7" t="str">
        <f>IF(K4="","",K4&amp;",")</f>
        <v/>
      </c>
      <c r="L34" s="7"/>
      <c r="M34" s="7" t="str">
        <f>IF(M4="","",M4&amp;",")</f>
        <v/>
      </c>
      <c r="N34" s="19" t="str">
        <f t="shared" ref="N34:N52" si="4">LEFT(F34&amp;G34,LEN(F34&amp;G34)-1)</f>
        <v>1|1011|1</v>
      </c>
      <c r="O34" s="20" t="str">
        <f t="shared" ref="O34:O52" si="5">LEFT(H34&amp;I34&amp;J34&amp;K34,LEN(H34&amp;I34&amp;J34&amp;K34)-1)</f>
        <v>1|1011|10</v>
      </c>
    </row>
    <row r="35" ht="15.6" spans="4:15">
      <c r="D35" s="7"/>
      <c r="E35" s="7">
        <f t="shared" si="3"/>
        <v>410</v>
      </c>
      <c r="F35" s="6" t="str">
        <f>IF(F5="","",(_xlfn.XLOOKUP(F5,道具表!$B:$B,道具表!$C:$C)&amp;"|"&amp;_xlfn.XLOOKUP(F5,道具表!$B:$B,道具表!$A:$A)&amp;"|"))</f>
        <v>1|1011|</v>
      </c>
      <c r="G35" s="7" t="str">
        <f t="shared" si="2"/>
        <v>1,</v>
      </c>
      <c r="H35" s="6" t="str">
        <f>IF(H5="","",(_xlfn.XLOOKUP(H5,道具表!$B:$B,道具表!$C:$C)&amp;"|"&amp;_xlfn.XLOOKUP(H5,道具表!$B:$B,道具表!$A:$A)&amp;"|"))</f>
        <v>1|1011|</v>
      </c>
      <c r="I35" s="7" t="str">
        <f t="shared" si="1"/>
        <v>10,</v>
      </c>
      <c r="J35" s="6" t="str">
        <f>IF(J5="","",(_xlfn.XLOOKUP(J5,道具表!$B:$B,道具表!$C:$C)&amp;"|"&amp;_xlfn.XLOOKUP(J5,道具表!$B:$B,道具表!$A:$A)&amp;"|"))</f>
        <v/>
      </c>
      <c r="K35" s="7" t="str">
        <f t="shared" ref="K35:K52" si="6">IF(K5="","",K5&amp;",")</f>
        <v/>
      </c>
      <c r="L35" s="7"/>
      <c r="M35" s="7" t="str">
        <f t="shared" ref="M35:M52" si="7">IF(M5="","",M5&amp;",")</f>
        <v/>
      </c>
      <c r="N35" s="19" t="str">
        <f t="shared" si="4"/>
        <v>1|1011|1</v>
      </c>
      <c r="O35" s="20" t="str">
        <f t="shared" si="5"/>
        <v>1|1011|10</v>
      </c>
    </row>
    <row r="36" ht="15.6" spans="4:15">
      <c r="D36" s="7"/>
      <c r="E36" s="7">
        <f t="shared" si="3"/>
        <v>510</v>
      </c>
      <c r="F36" s="6" t="str">
        <f>IF(F6="","",(_xlfn.XLOOKUP(F6,道具表!$B:$B,道具表!$C:$C)&amp;"|"&amp;_xlfn.XLOOKUP(F6,道具表!$B:$B,道具表!$A:$A)&amp;"|"))</f>
        <v>1|1011|</v>
      </c>
      <c r="G36" s="7" t="str">
        <f t="shared" si="2"/>
        <v>1,</v>
      </c>
      <c r="H36" s="6" t="str">
        <f>IF(H6="","",(_xlfn.XLOOKUP(H6,道具表!$B:$B,道具表!$C:$C)&amp;"|"&amp;_xlfn.XLOOKUP(H6,道具表!$B:$B,道具表!$A:$A)&amp;"|"))</f>
        <v>1|1011|</v>
      </c>
      <c r="I36" s="7" t="str">
        <f t="shared" si="1"/>
        <v>10,</v>
      </c>
      <c r="J36" s="6" t="str">
        <f>IF(J6="","",(_xlfn.XLOOKUP(J6,道具表!$B:$B,道具表!$C:$C)&amp;"|"&amp;_xlfn.XLOOKUP(J6,道具表!$B:$B,道具表!$A:$A)&amp;"|"))</f>
        <v/>
      </c>
      <c r="K36" s="7" t="str">
        <f t="shared" si="6"/>
        <v/>
      </c>
      <c r="L36" s="7"/>
      <c r="M36" s="7" t="str">
        <f t="shared" si="7"/>
        <v/>
      </c>
      <c r="N36" s="19" t="str">
        <f t="shared" si="4"/>
        <v>1|1011|1</v>
      </c>
      <c r="O36" s="20" t="str">
        <f t="shared" si="5"/>
        <v>1|1011|10</v>
      </c>
    </row>
    <row r="37" ht="15.6" spans="4:15">
      <c r="D37" s="7"/>
      <c r="E37" s="7">
        <f t="shared" si="3"/>
        <v>610</v>
      </c>
      <c r="F37" s="6" t="str">
        <f>IF(F7="","",(_xlfn.XLOOKUP(F7,道具表!$B:$B,道具表!$C:$C)&amp;"|"&amp;_xlfn.XLOOKUP(F7,道具表!$B:$B,道具表!$A:$A)&amp;"|"))</f>
        <v>1|1011|</v>
      </c>
      <c r="G37" s="7" t="str">
        <f t="shared" si="2"/>
        <v>1,</v>
      </c>
      <c r="H37" s="6" t="str">
        <f>IF(H7="","",(_xlfn.XLOOKUP(H7,道具表!$B:$B,道具表!$C:$C)&amp;"|"&amp;_xlfn.XLOOKUP(H7,道具表!$B:$B,道具表!$A:$A)&amp;"|"))</f>
        <v>1|1011|</v>
      </c>
      <c r="I37" s="7" t="str">
        <f t="shared" si="1"/>
        <v>15,</v>
      </c>
      <c r="J37" s="6" t="str">
        <f>IF(J7="","",(_xlfn.XLOOKUP(J7,道具表!$B:$B,道具表!$C:$C)&amp;"|"&amp;_xlfn.XLOOKUP(J7,道具表!$B:$B,道具表!$A:$A)&amp;"|"))</f>
        <v/>
      </c>
      <c r="K37" s="7" t="str">
        <f t="shared" si="6"/>
        <v/>
      </c>
      <c r="L37" s="7"/>
      <c r="M37" s="7" t="str">
        <f t="shared" si="7"/>
        <v/>
      </c>
      <c r="N37" s="19" t="str">
        <f t="shared" si="4"/>
        <v>1|1011|1</v>
      </c>
      <c r="O37" s="20" t="str">
        <f t="shared" si="5"/>
        <v>1|1011|15</v>
      </c>
    </row>
    <row r="38" ht="15.6" spans="4:15">
      <c r="D38" s="7"/>
      <c r="E38" s="7">
        <f t="shared" si="3"/>
        <v>710</v>
      </c>
      <c r="F38" s="6" t="str">
        <f>IF(F8="","",(_xlfn.XLOOKUP(F8,道具表!$B:$B,道具表!$C:$C)&amp;"|"&amp;_xlfn.XLOOKUP(F8,道具表!$B:$B,道具表!$A:$A)&amp;"|"))</f>
        <v>1|1011|</v>
      </c>
      <c r="G38" s="7" t="str">
        <f t="shared" si="2"/>
        <v>1,</v>
      </c>
      <c r="H38" s="6" t="str">
        <f>IF(H8="","",(_xlfn.XLOOKUP(H8,道具表!$B:$B,道具表!$C:$C)&amp;"|"&amp;_xlfn.XLOOKUP(H8,道具表!$B:$B,道具表!$A:$A)&amp;"|"))</f>
        <v>1|1011|</v>
      </c>
      <c r="I38" s="7" t="str">
        <f t="shared" si="1"/>
        <v>15,</v>
      </c>
      <c r="J38" s="6" t="str">
        <f>IF(J8="","",(_xlfn.XLOOKUP(J8,道具表!$B:$B,道具表!$C:$C)&amp;"|"&amp;_xlfn.XLOOKUP(J8,道具表!$B:$B,道具表!$A:$A)&amp;"|"))</f>
        <v/>
      </c>
      <c r="K38" s="7" t="str">
        <f t="shared" si="6"/>
        <v/>
      </c>
      <c r="L38" s="7"/>
      <c r="M38" s="7" t="str">
        <f t="shared" si="7"/>
        <v/>
      </c>
      <c r="N38" s="19" t="str">
        <f t="shared" si="4"/>
        <v>1|1011|1</v>
      </c>
      <c r="O38" s="20" t="str">
        <f t="shared" si="5"/>
        <v>1|1011|15</v>
      </c>
    </row>
    <row r="39" ht="15.6" spans="4:15">
      <c r="D39" s="7"/>
      <c r="E39" s="7">
        <f t="shared" si="3"/>
        <v>810</v>
      </c>
      <c r="F39" s="6" t="str">
        <f>IF(F9="","",(_xlfn.XLOOKUP(F9,道具表!$B:$B,道具表!$C:$C)&amp;"|"&amp;_xlfn.XLOOKUP(F9,道具表!$B:$B,道具表!$A:$A)&amp;"|"))</f>
        <v>1|1011|</v>
      </c>
      <c r="G39" s="7" t="str">
        <f t="shared" si="2"/>
        <v>1,</v>
      </c>
      <c r="H39" s="6" t="str">
        <f>IF(H9="","",(_xlfn.XLOOKUP(H9,道具表!$B:$B,道具表!$C:$C)&amp;"|"&amp;_xlfn.XLOOKUP(H9,道具表!$B:$B,道具表!$A:$A)&amp;"|"))</f>
        <v>1|1011|</v>
      </c>
      <c r="I39" s="7" t="str">
        <f t="shared" si="1"/>
        <v>15,</v>
      </c>
      <c r="J39" s="6" t="str">
        <f>IF(J9="","",(_xlfn.XLOOKUP(J9,道具表!$B:$B,道具表!$C:$C)&amp;"|"&amp;_xlfn.XLOOKUP(J9,道具表!$B:$B,道具表!$A:$A)&amp;"|"))</f>
        <v/>
      </c>
      <c r="K39" s="7" t="str">
        <f t="shared" si="6"/>
        <v/>
      </c>
      <c r="L39" s="7"/>
      <c r="M39" s="7" t="str">
        <f t="shared" si="7"/>
        <v/>
      </c>
      <c r="N39" s="19" t="str">
        <f t="shared" si="4"/>
        <v>1|1011|1</v>
      </c>
      <c r="O39" s="20" t="str">
        <f t="shared" si="5"/>
        <v>1|1011|15</v>
      </c>
    </row>
    <row r="40" ht="15.6" spans="4:15">
      <c r="D40" s="7"/>
      <c r="E40" s="7">
        <f t="shared" si="3"/>
        <v>910</v>
      </c>
      <c r="F40" s="6" t="str">
        <f>IF(F10="","",(_xlfn.XLOOKUP(F10,道具表!$B:$B,道具表!$C:$C)&amp;"|"&amp;_xlfn.XLOOKUP(F10,道具表!$B:$B,道具表!$A:$A)&amp;"|"))</f>
        <v>1|1011|</v>
      </c>
      <c r="G40" s="7" t="str">
        <f t="shared" si="2"/>
        <v>1,</v>
      </c>
      <c r="H40" s="6" t="str">
        <f>IF(H10="","",(_xlfn.XLOOKUP(H10,道具表!$B:$B,道具表!$C:$C)&amp;"|"&amp;_xlfn.XLOOKUP(H10,道具表!$B:$B,道具表!$A:$A)&amp;"|"))</f>
        <v>1|1011|</v>
      </c>
      <c r="I40" s="7" t="str">
        <f t="shared" si="1"/>
        <v>15,</v>
      </c>
      <c r="J40" s="6" t="str">
        <f>IF(J10="","",(_xlfn.XLOOKUP(J10,道具表!$B:$B,道具表!$C:$C)&amp;"|"&amp;_xlfn.XLOOKUP(J10,道具表!$B:$B,道具表!$A:$A)&amp;"|"))</f>
        <v/>
      </c>
      <c r="K40" s="7" t="str">
        <f t="shared" si="6"/>
        <v/>
      </c>
      <c r="L40" s="7"/>
      <c r="M40" s="7" t="str">
        <f t="shared" si="7"/>
        <v/>
      </c>
      <c r="N40" s="19" t="str">
        <f t="shared" si="4"/>
        <v>1|1011|1</v>
      </c>
      <c r="O40" s="20" t="str">
        <f t="shared" si="5"/>
        <v>1|1011|15</v>
      </c>
    </row>
    <row r="41" ht="15.6" spans="4:15">
      <c r="D41" s="7"/>
      <c r="E41" s="7">
        <f t="shared" si="3"/>
        <v>1010</v>
      </c>
      <c r="F41" s="6" t="str">
        <f>IF(F11="","",(_xlfn.XLOOKUP(F11,道具表!$B:$B,道具表!$C:$C)&amp;"|"&amp;_xlfn.XLOOKUP(F11,道具表!$B:$B,道具表!$A:$A)&amp;"|"))</f>
        <v>1|1011|</v>
      </c>
      <c r="G41" s="7" t="str">
        <f t="shared" si="2"/>
        <v>1,</v>
      </c>
      <c r="H41" s="6" t="str">
        <f>IF(H11="","",(_xlfn.XLOOKUP(H11,道具表!$B:$B,道具表!$C:$C)&amp;"|"&amp;_xlfn.XLOOKUP(H11,道具表!$B:$B,道具表!$A:$A)&amp;"|"))</f>
        <v>1|1011|</v>
      </c>
      <c r="I41" s="7" t="str">
        <f t="shared" si="1"/>
        <v>15,</v>
      </c>
      <c r="J41" s="6" t="str">
        <f>IF(J11="","",(_xlfn.XLOOKUP(J11,道具表!$B:$B,道具表!$C:$C)&amp;"|"&amp;_xlfn.XLOOKUP(J11,道具表!$B:$B,道具表!$A:$A)&amp;"|"))</f>
        <v/>
      </c>
      <c r="K41" s="7" t="str">
        <f t="shared" si="6"/>
        <v/>
      </c>
      <c r="L41" s="7"/>
      <c r="M41" s="7" t="str">
        <f t="shared" si="7"/>
        <v/>
      </c>
      <c r="N41" s="19" t="str">
        <f t="shared" si="4"/>
        <v>1|1011|1</v>
      </c>
      <c r="O41" s="20" t="str">
        <f t="shared" si="5"/>
        <v>1|1011|15</v>
      </c>
    </row>
    <row r="42" ht="15.6" spans="4:15">
      <c r="D42" s="7"/>
      <c r="E42" s="7">
        <f t="shared" si="3"/>
        <v>1110</v>
      </c>
      <c r="F42" s="6" t="str">
        <f>IF(F12="","",(_xlfn.XLOOKUP(F12,道具表!$B:$B,道具表!$C:$C)&amp;"|"&amp;_xlfn.XLOOKUP(F12,道具表!$B:$B,道具表!$A:$A)&amp;"|"))</f>
        <v>1|1011|</v>
      </c>
      <c r="G42" s="7" t="str">
        <f t="shared" si="2"/>
        <v>1,</v>
      </c>
      <c r="H42" s="6" t="str">
        <f>IF(H12="","",(_xlfn.XLOOKUP(H12,道具表!$B:$B,道具表!$C:$C)&amp;"|"&amp;_xlfn.XLOOKUP(H12,道具表!$B:$B,道具表!$A:$A)&amp;"|"))</f>
        <v>1|1011|</v>
      </c>
      <c r="I42" s="7" t="str">
        <f t="shared" si="1"/>
        <v>15,</v>
      </c>
      <c r="J42" s="6" t="str">
        <f>IF(J12="","",(_xlfn.XLOOKUP(J12,道具表!$B:$B,道具表!$C:$C)&amp;"|"&amp;_xlfn.XLOOKUP(J12,道具表!$B:$B,道具表!$A:$A)&amp;"|"))</f>
        <v/>
      </c>
      <c r="K42" s="7" t="str">
        <f t="shared" si="6"/>
        <v/>
      </c>
      <c r="L42" s="7"/>
      <c r="M42" s="7" t="str">
        <f t="shared" si="7"/>
        <v/>
      </c>
      <c r="N42" s="19" t="str">
        <f t="shared" si="4"/>
        <v>1|1011|1</v>
      </c>
      <c r="O42" s="20" t="str">
        <f t="shared" si="5"/>
        <v>1|1011|15</v>
      </c>
    </row>
    <row r="43" ht="15.6" spans="4:15">
      <c r="D43" s="7"/>
      <c r="E43" s="7">
        <f t="shared" si="3"/>
        <v>1210</v>
      </c>
      <c r="F43" s="6" t="str">
        <f>IF(F13="","",(_xlfn.XLOOKUP(F13,道具表!$B:$B,道具表!$C:$C)&amp;"|"&amp;_xlfn.XLOOKUP(F13,道具表!$B:$B,道具表!$A:$A)&amp;"|"))</f>
        <v>1|1011|</v>
      </c>
      <c r="G43" s="7" t="str">
        <f t="shared" si="2"/>
        <v>2,</v>
      </c>
      <c r="H43" s="6" t="str">
        <f>IF(H13="","",(_xlfn.XLOOKUP(H13,道具表!$B:$B,道具表!$C:$C)&amp;"|"&amp;_xlfn.XLOOKUP(H13,道具表!$B:$B,道具表!$A:$A)&amp;"|"))</f>
        <v>1|1011|</v>
      </c>
      <c r="I43" s="7" t="str">
        <f t="shared" si="1"/>
        <v>15,</v>
      </c>
      <c r="J43" s="6" t="str">
        <f>IF(J13="","",(_xlfn.XLOOKUP(J13,道具表!$B:$B,道具表!$C:$C)&amp;"|"&amp;_xlfn.XLOOKUP(J13,道具表!$B:$B,道具表!$A:$A)&amp;"|"))</f>
        <v/>
      </c>
      <c r="K43" s="7" t="str">
        <f t="shared" si="6"/>
        <v/>
      </c>
      <c r="L43" s="7"/>
      <c r="M43" s="7" t="str">
        <f t="shared" si="7"/>
        <v/>
      </c>
      <c r="N43" s="19" t="str">
        <f t="shared" si="4"/>
        <v>1|1011|2</v>
      </c>
      <c r="O43" s="20" t="str">
        <f t="shared" si="5"/>
        <v>1|1011|15</v>
      </c>
    </row>
    <row r="44" ht="15.6" spans="4:15">
      <c r="D44" s="7"/>
      <c r="E44" s="7">
        <f t="shared" si="3"/>
        <v>1310</v>
      </c>
      <c r="F44" s="6" t="str">
        <f>IF(F14="","",(_xlfn.XLOOKUP(F14,道具表!$B:$B,道具表!$C:$C)&amp;"|"&amp;_xlfn.XLOOKUP(F14,道具表!$B:$B,道具表!$A:$A)&amp;"|"))</f>
        <v>1|1011|</v>
      </c>
      <c r="G44" s="7" t="str">
        <f t="shared" si="2"/>
        <v>2,</v>
      </c>
      <c r="H44" s="6" t="str">
        <f>IF(H14="","",(_xlfn.XLOOKUP(H14,道具表!$B:$B,道具表!$C:$C)&amp;"|"&amp;_xlfn.XLOOKUP(H14,道具表!$B:$B,道具表!$A:$A)&amp;"|"))</f>
        <v>1|1011|</v>
      </c>
      <c r="I44" s="7" t="str">
        <f t="shared" si="1"/>
        <v>15,</v>
      </c>
      <c r="J44" s="6" t="str">
        <f>IF(J14="","",(_xlfn.XLOOKUP(J14,道具表!$B:$B,道具表!$C:$C)&amp;"|"&amp;_xlfn.XLOOKUP(J14,道具表!$B:$B,道具表!$A:$A)&amp;"|"))</f>
        <v/>
      </c>
      <c r="K44" s="7" t="str">
        <f t="shared" si="6"/>
        <v/>
      </c>
      <c r="L44" s="7"/>
      <c r="M44" s="7" t="str">
        <f t="shared" si="7"/>
        <v/>
      </c>
      <c r="N44" s="19" t="str">
        <f t="shared" si="4"/>
        <v>1|1011|2</v>
      </c>
      <c r="O44" s="20" t="str">
        <f t="shared" si="5"/>
        <v>1|1011|15</v>
      </c>
    </row>
    <row r="45" ht="15.6" spans="4:15">
      <c r="D45" s="7"/>
      <c r="E45" s="7">
        <f t="shared" si="3"/>
        <v>1410</v>
      </c>
      <c r="F45" s="6" t="str">
        <f>IF(F15="","",(_xlfn.XLOOKUP(F15,道具表!$B:$B,道具表!$C:$C)&amp;"|"&amp;_xlfn.XLOOKUP(F15,道具表!$B:$B,道具表!$A:$A)&amp;"|"))</f>
        <v>1|1011|</v>
      </c>
      <c r="G45" s="7" t="str">
        <f t="shared" si="2"/>
        <v>2,</v>
      </c>
      <c r="H45" s="6" t="str">
        <f>IF(H15="","",(_xlfn.XLOOKUP(H15,道具表!$B:$B,道具表!$C:$C)&amp;"|"&amp;_xlfn.XLOOKUP(H15,道具表!$B:$B,道具表!$A:$A)&amp;"|"))</f>
        <v>1|1011|</v>
      </c>
      <c r="I45" s="7" t="str">
        <f t="shared" si="1"/>
        <v>15,</v>
      </c>
      <c r="J45" s="6" t="str">
        <f>IF(J15="","",(_xlfn.XLOOKUP(J15,道具表!$B:$B,道具表!$C:$C)&amp;"|"&amp;_xlfn.XLOOKUP(J15,道具表!$B:$B,道具表!$A:$A)&amp;"|"))</f>
        <v/>
      </c>
      <c r="K45" s="7" t="str">
        <f t="shared" si="6"/>
        <v/>
      </c>
      <c r="L45" s="7"/>
      <c r="M45" s="7" t="str">
        <f t="shared" si="7"/>
        <v/>
      </c>
      <c r="N45" s="19" t="str">
        <f t="shared" si="4"/>
        <v>1|1011|2</v>
      </c>
      <c r="O45" s="20" t="str">
        <f t="shared" si="5"/>
        <v>1|1011|15</v>
      </c>
    </row>
    <row r="46" ht="15.6" spans="4:15">
      <c r="D46" s="7"/>
      <c r="E46" s="7">
        <f t="shared" si="3"/>
        <v>1510</v>
      </c>
      <c r="F46" s="6" t="str">
        <f>IF(F16="","",(_xlfn.XLOOKUP(F16,道具表!$B:$B,道具表!$C:$C)&amp;"|"&amp;_xlfn.XLOOKUP(F16,道具表!$B:$B,道具表!$A:$A)&amp;"|"))</f>
        <v>1|1011|</v>
      </c>
      <c r="G46" s="7" t="str">
        <f t="shared" si="2"/>
        <v>2,</v>
      </c>
      <c r="H46" s="6" t="str">
        <f>IF(H16="","",(_xlfn.XLOOKUP(H16,道具表!$B:$B,道具表!$C:$C)&amp;"|"&amp;_xlfn.XLOOKUP(H16,道具表!$B:$B,道具表!$A:$A)&amp;"|"))</f>
        <v>1|1011|</v>
      </c>
      <c r="I46" s="7" t="str">
        <f t="shared" si="1"/>
        <v>15,</v>
      </c>
      <c r="J46" s="6" t="str">
        <f>IF(J16="","",(_xlfn.XLOOKUP(J16,道具表!$B:$B,道具表!$C:$C)&amp;"|"&amp;_xlfn.XLOOKUP(J16,道具表!$B:$B,道具表!$A:$A)&amp;"|"))</f>
        <v/>
      </c>
      <c r="K46" s="7" t="str">
        <f t="shared" si="6"/>
        <v/>
      </c>
      <c r="L46" s="7"/>
      <c r="M46" s="7" t="str">
        <f t="shared" si="7"/>
        <v/>
      </c>
      <c r="N46" s="19" t="str">
        <f t="shared" si="4"/>
        <v>1|1011|2</v>
      </c>
      <c r="O46" s="20" t="str">
        <f t="shared" si="5"/>
        <v>1|1011|15</v>
      </c>
    </row>
    <row r="47" ht="15.6" spans="4:15">
      <c r="D47" s="17"/>
      <c r="E47" s="7">
        <f t="shared" si="3"/>
        <v>1610</v>
      </c>
      <c r="F47" s="6" t="str">
        <f>IF(F17="","",(_xlfn.XLOOKUP(F17,道具表!$B:$B,道具表!$C:$C)&amp;"|"&amp;_xlfn.XLOOKUP(F17,道具表!$B:$B,道具表!$A:$A)&amp;"|"))</f>
        <v>1|1011|</v>
      </c>
      <c r="G47" s="7" t="str">
        <f t="shared" si="2"/>
        <v>2,</v>
      </c>
      <c r="H47" s="6" t="str">
        <f>IF(H17="","",(_xlfn.XLOOKUP(H17,道具表!$B:$B,道具表!$C:$C)&amp;"|"&amp;_xlfn.XLOOKUP(H17,道具表!$B:$B,道具表!$A:$A)&amp;"|"))</f>
        <v>1|1011|</v>
      </c>
      <c r="I47" s="7" t="str">
        <f t="shared" si="1"/>
        <v>20,</v>
      </c>
      <c r="J47" s="6" t="str">
        <f>IF(J17="","",(_xlfn.XLOOKUP(J17,道具表!$B:$B,道具表!$C:$C)&amp;"|"&amp;_xlfn.XLOOKUP(J17,道具表!$B:$B,道具表!$A:$A)&amp;"|"))</f>
        <v/>
      </c>
      <c r="K47" s="7" t="str">
        <f t="shared" si="6"/>
        <v/>
      </c>
      <c r="L47" s="7"/>
      <c r="M47" s="7" t="str">
        <f t="shared" si="7"/>
        <v/>
      </c>
      <c r="N47" s="19" t="str">
        <f t="shared" si="4"/>
        <v>1|1011|2</v>
      </c>
      <c r="O47" s="20" t="str">
        <f t="shared" si="5"/>
        <v>1|1011|20</v>
      </c>
    </row>
    <row r="48" ht="15.6" spans="4:15">
      <c r="D48" s="17"/>
      <c r="E48" s="7">
        <f t="shared" si="3"/>
        <v>1710</v>
      </c>
      <c r="F48" s="6" t="str">
        <f>IF(F18="","",(_xlfn.XLOOKUP(F18,道具表!$B:$B,道具表!$C:$C)&amp;"|"&amp;_xlfn.XLOOKUP(F18,道具表!$B:$B,道具表!$A:$A)&amp;"|"))</f>
        <v>1|1011|</v>
      </c>
      <c r="G48" s="7" t="str">
        <f t="shared" si="2"/>
        <v>2,</v>
      </c>
      <c r="H48" s="6" t="str">
        <f>IF(H18="","",(_xlfn.XLOOKUP(H18,道具表!$B:$B,道具表!$C:$C)&amp;"|"&amp;_xlfn.XLOOKUP(H18,道具表!$B:$B,道具表!$A:$A)&amp;"|"))</f>
        <v>1|1011|</v>
      </c>
      <c r="I48" s="7" t="str">
        <f t="shared" si="1"/>
        <v>20,</v>
      </c>
      <c r="J48" s="6" t="str">
        <f>IF(J18="","",(_xlfn.XLOOKUP(J18,道具表!$B:$B,道具表!$C:$C)&amp;"|"&amp;_xlfn.XLOOKUP(J18,道具表!$B:$B,道具表!$A:$A)&amp;"|"))</f>
        <v/>
      </c>
      <c r="K48" s="7" t="str">
        <f t="shared" si="6"/>
        <v/>
      </c>
      <c r="L48" s="7"/>
      <c r="M48" s="7" t="str">
        <f t="shared" si="7"/>
        <v/>
      </c>
      <c r="N48" s="19" t="str">
        <f t="shared" si="4"/>
        <v>1|1011|2</v>
      </c>
      <c r="O48" s="20" t="str">
        <f t="shared" si="5"/>
        <v>1|1011|20</v>
      </c>
    </row>
    <row r="49" ht="15.6" spans="4:15">
      <c r="D49" s="17"/>
      <c r="E49" s="7">
        <f t="shared" si="3"/>
        <v>1810</v>
      </c>
      <c r="F49" s="6" t="str">
        <f>IF(F19="","",(_xlfn.XLOOKUP(F19,道具表!$B:$B,道具表!$C:$C)&amp;"|"&amp;_xlfn.XLOOKUP(F19,道具表!$B:$B,道具表!$A:$A)&amp;"|"))</f>
        <v>1|1011|</v>
      </c>
      <c r="G49" s="7" t="str">
        <f t="shared" si="2"/>
        <v>2,</v>
      </c>
      <c r="H49" s="6" t="str">
        <f>IF(H19="","",(_xlfn.XLOOKUP(H19,道具表!$B:$B,道具表!$C:$C)&amp;"|"&amp;_xlfn.XLOOKUP(H19,道具表!$B:$B,道具表!$A:$A)&amp;"|"))</f>
        <v>1|1011|</v>
      </c>
      <c r="I49" s="7" t="str">
        <f t="shared" si="1"/>
        <v>20,</v>
      </c>
      <c r="J49" s="6" t="str">
        <f>IF(J19="","",(_xlfn.XLOOKUP(J19,道具表!$B:$B,道具表!$C:$C)&amp;"|"&amp;_xlfn.XLOOKUP(J19,道具表!$B:$B,道具表!$A:$A)&amp;"|"))</f>
        <v/>
      </c>
      <c r="K49" s="7" t="str">
        <f t="shared" si="6"/>
        <v/>
      </c>
      <c r="L49" s="7"/>
      <c r="M49" s="7" t="str">
        <f t="shared" si="7"/>
        <v/>
      </c>
      <c r="N49" s="19" t="str">
        <f t="shared" si="4"/>
        <v>1|1011|2</v>
      </c>
      <c r="O49" s="20" t="str">
        <f t="shared" si="5"/>
        <v>1|1011|20</v>
      </c>
    </row>
    <row r="50" ht="15.6" spans="4:15">
      <c r="D50" s="17"/>
      <c r="E50" s="7">
        <f t="shared" si="3"/>
        <v>1910</v>
      </c>
      <c r="F50" s="6" t="str">
        <f>IF(F20="","",(_xlfn.XLOOKUP(F20,道具表!$B:$B,道具表!$C:$C)&amp;"|"&amp;_xlfn.XLOOKUP(F20,道具表!$B:$B,道具表!$A:$A)&amp;"|"))</f>
        <v>1|1011|</v>
      </c>
      <c r="G50" s="7" t="str">
        <f t="shared" si="2"/>
        <v>2,</v>
      </c>
      <c r="H50" s="6" t="str">
        <f>IF(H20="","",(_xlfn.XLOOKUP(H20,道具表!$B:$B,道具表!$C:$C)&amp;"|"&amp;_xlfn.XLOOKUP(H20,道具表!$B:$B,道具表!$A:$A)&amp;"|"))</f>
        <v>1|1011|</v>
      </c>
      <c r="I50" s="7" t="str">
        <f t="shared" si="1"/>
        <v>20,</v>
      </c>
      <c r="J50" s="6" t="str">
        <f>IF(J20="","",(_xlfn.XLOOKUP(J20,道具表!$B:$B,道具表!$C:$C)&amp;"|"&amp;_xlfn.XLOOKUP(J20,道具表!$B:$B,道具表!$A:$A)&amp;"|"))</f>
        <v/>
      </c>
      <c r="K50" s="7" t="str">
        <f t="shared" si="6"/>
        <v/>
      </c>
      <c r="L50" s="7"/>
      <c r="M50" s="7" t="str">
        <f t="shared" si="7"/>
        <v/>
      </c>
      <c r="N50" s="19" t="str">
        <f t="shared" si="4"/>
        <v>1|1011|2</v>
      </c>
      <c r="O50" s="20" t="str">
        <f t="shared" si="5"/>
        <v>1|1011|20</v>
      </c>
    </row>
    <row r="51" ht="15.6" spans="4:15">
      <c r="D51" s="17"/>
      <c r="E51" s="7">
        <f t="shared" si="3"/>
        <v>2010</v>
      </c>
      <c r="F51" s="6" t="str">
        <f>IF(F21="","",(_xlfn.XLOOKUP(F21,道具表!$B:$B,道具表!$C:$C)&amp;"|"&amp;_xlfn.XLOOKUP(F21,道具表!$B:$B,道具表!$A:$A)&amp;"|"))</f>
        <v>1|1011|</v>
      </c>
      <c r="G51" s="7" t="str">
        <f t="shared" si="2"/>
        <v>2,</v>
      </c>
      <c r="H51" s="6" t="str">
        <f>IF(H21="","",(_xlfn.XLOOKUP(H21,道具表!$B:$B,道具表!$C:$C)&amp;"|"&amp;_xlfn.XLOOKUP(H21,道具表!$B:$B,道具表!$A:$A)&amp;"|"))</f>
        <v>1|1011|</v>
      </c>
      <c r="I51" s="7" t="str">
        <f t="shared" si="1"/>
        <v>20,</v>
      </c>
      <c r="J51" s="6" t="str">
        <f>IF(J21="","",(_xlfn.XLOOKUP(J21,道具表!$B:$B,道具表!$C:$C)&amp;"|"&amp;_xlfn.XLOOKUP(J21,道具表!$B:$B,道具表!$A:$A)&amp;"|"))</f>
        <v/>
      </c>
      <c r="K51" s="7" t="str">
        <f t="shared" si="6"/>
        <v/>
      </c>
      <c r="L51" s="7"/>
      <c r="M51" s="7" t="str">
        <f t="shared" si="7"/>
        <v/>
      </c>
      <c r="N51" s="19" t="str">
        <f t="shared" si="4"/>
        <v>1|1011|2</v>
      </c>
      <c r="O51" s="20" t="str">
        <f t="shared" si="5"/>
        <v>1|1011|20</v>
      </c>
    </row>
    <row r="52" ht="15.6" spans="4:15">
      <c r="D52" s="17"/>
      <c r="E52" s="7">
        <f t="shared" si="3"/>
        <v>2110</v>
      </c>
      <c r="F52" s="6" t="str">
        <f>IF(F22="","",(_xlfn.XLOOKUP(F22,道具表!$B:$B,道具表!$C:$C)&amp;"|"&amp;_xlfn.XLOOKUP(F22,道具表!$B:$B,道具表!$A:$A)&amp;"|"))</f>
        <v>1|1011|</v>
      </c>
      <c r="G52" s="7" t="str">
        <f t="shared" si="2"/>
        <v>2,</v>
      </c>
      <c r="H52" s="6" t="str">
        <f>IF(H22="","",(_xlfn.XLOOKUP(H22,道具表!$B:$B,道具表!$C:$C)&amp;"|"&amp;_xlfn.XLOOKUP(H22,道具表!$B:$B,道具表!$A:$A)&amp;"|"))</f>
        <v>1|1011|</v>
      </c>
      <c r="I52" s="7" t="str">
        <f t="shared" si="1"/>
        <v>30,</v>
      </c>
      <c r="J52" s="6" t="str">
        <f>IF(J22="","",(_xlfn.XLOOKUP(J22,道具表!$B:$B,道具表!$C:$C)&amp;"|"&amp;_xlfn.XLOOKUP(J22,道具表!$B:$B,道具表!$A:$A)&amp;"|"))</f>
        <v/>
      </c>
      <c r="K52" s="7" t="str">
        <f t="shared" si="6"/>
        <v/>
      </c>
      <c r="L52" s="7"/>
      <c r="M52" s="7" t="str">
        <f t="shared" si="7"/>
        <v/>
      </c>
      <c r="N52" s="19" t="str">
        <f t="shared" si="4"/>
        <v>1|1011|2</v>
      </c>
      <c r="O52" s="20" t="str">
        <f t="shared" si="5"/>
        <v>1|1011|30</v>
      </c>
    </row>
    <row r="53" ht="15.6" spans="4:15">
      <c r="D53" s="17"/>
      <c r="E53" s="7">
        <f>E23</f>
        <v>2210</v>
      </c>
      <c r="F53" s="6" t="str">
        <f>IF(F23="","",(_xlfn.XLOOKUP(F23,道具表!$B:$B,道具表!$C:$C)&amp;"|"&amp;_xlfn.XLOOKUP(F23,道具表!$B:$B,道具表!$A:$A)&amp;"|"))</f>
        <v>1|1011|</v>
      </c>
      <c r="G53" s="7" t="str">
        <f>IF(G23="","",G23&amp;",")</f>
        <v>2,</v>
      </c>
      <c r="H53" s="6" t="str">
        <f>IF(H23="","",(_xlfn.XLOOKUP(H23,道具表!$B:$B,道具表!$C:$C)&amp;"|"&amp;_xlfn.XLOOKUP(H23,道具表!$B:$B,道具表!$A:$A)&amp;"|"))</f>
        <v>1|1011|</v>
      </c>
      <c r="I53" s="7" t="str">
        <f>IF(I23="","",I23&amp;",")</f>
        <v>30,</v>
      </c>
      <c r="J53" s="6" t="str">
        <f>IF(J23="","",(_xlfn.XLOOKUP(J23,道具表!$B:$B,道具表!$C:$C)&amp;"|"&amp;_xlfn.XLOOKUP(J23,道具表!$B:$B,道具表!$A:$A)&amp;"|"))</f>
        <v/>
      </c>
      <c r="K53" s="7" t="str">
        <f>IF(K23="","",K23&amp;",")</f>
        <v/>
      </c>
      <c r="L53" s="7"/>
      <c r="M53" s="7" t="str">
        <f>IF(M23="","",M23&amp;",")</f>
        <v/>
      </c>
      <c r="N53" s="19" t="str">
        <f>LEFT(F53&amp;G53,LEN(F53&amp;G53)-1)</f>
        <v>1|1011|2</v>
      </c>
      <c r="O53" s="20" t="str">
        <f>LEFT(H53&amp;I53&amp;J53&amp;K53,LEN(H53&amp;I53&amp;J53&amp;K53)-1)</f>
        <v>1|1011|30</v>
      </c>
    </row>
    <row r="54" ht="15.6" spans="4:15">
      <c r="D54" s="17"/>
      <c r="E54" s="7">
        <f>E24</f>
        <v>2310</v>
      </c>
      <c r="F54" s="6" t="str">
        <f>IF(F24="","",(_xlfn.XLOOKUP(F24,道具表!$B:$B,道具表!$C:$C)&amp;"|"&amp;_xlfn.XLOOKUP(F24,道具表!$B:$B,道具表!$A:$A)&amp;"|"))</f>
        <v>1|1011|</v>
      </c>
      <c r="G54" s="7" t="str">
        <f>IF(G24="","",G24&amp;",")</f>
        <v>2,</v>
      </c>
      <c r="H54" s="6" t="str">
        <f>IF(H24="","",(_xlfn.XLOOKUP(H24,道具表!$B:$B,道具表!$C:$C)&amp;"|"&amp;_xlfn.XLOOKUP(H24,道具表!$B:$B,道具表!$A:$A)&amp;"|"))</f>
        <v>1|1011|</v>
      </c>
      <c r="I54" s="7" t="str">
        <f>IF(I24="","",I24&amp;",")</f>
        <v>30,</v>
      </c>
      <c r="J54" s="6" t="str">
        <f>IF(J24="","",(_xlfn.XLOOKUP(J24,道具表!$B:$B,道具表!$C:$C)&amp;"|"&amp;_xlfn.XLOOKUP(J24,道具表!$B:$B,道具表!$A:$A)&amp;"|"))</f>
        <v/>
      </c>
      <c r="K54" s="7" t="str">
        <f>IF(K24="","",K24&amp;",")</f>
        <v/>
      </c>
      <c r="L54" s="7"/>
      <c r="M54" s="7" t="str">
        <f>IF(M24="","",M24&amp;",")</f>
        <v/>
      </c>
      <c r="N54" s="19" t="str">
        <f>LEFT(F54&amp;G54,LEN(F54&amp;G54)-1)</f>
        <v>1|1011|2</v>
      </c>
      <c r="O54" s="20" t="str">
        <f>LEFT(H54&amp;I54&amp;J54&amp;K54,LEN(H54&amp;I54&amp;J54&amp;K54)-1)</f>
        <v>1|1011|30</v>
      </c>
    </row>
    <row r="55" ht="15.6" spans="4:15">
      <c r="D55" s="17"/>
      <c r="E55" s="7">
        <f>E25</f>
        <v>2410</v>
      </c>
      <c r="F55" s="6" t="str">
        <f>IF(F25="","",(_xlfn.XLOOKUP(F25,道具表!$B:$B,道具表!$C:$C)&amp;"|"&amp;_xlfn.XLOOKUP(F25,道具表!$B:$B,道具表!$A:$A)&amp;"|"))</f>
        <v>1|1011|</v>
      </c>
      <c r="G55" s="7" t="str">
        <f>IF(G25="","",G25&amp;",")</f>
        <v>2,</v>
      </c>
      <c r="H55" s="6" t="str">
        <f>IF(H25="","",(_xlfn.XLOOKUP(H25,道具表!$B:$B,道具表!$C:$C)&amp;"|"&amp;_xlfn.XLOOKUP(H25,道具表!$B:$B,道具表!$A:$A)&amp;"|"))</f>
        <v>1|1011|</v>
      </c>
      <c r="I55" s="7" t="str">
        <f>IF(I25="","",I25&amp;",")</f>
        <v>40,</v>
      </c>
      <c r="J55" s="6" t="str">
        <f>IF(J25="","",(_xlfn.XLOOKUP(J25,道具表!$B:$B,道具表!$C:$C)&amp;"|"&amp;_xlfn.XLOOKUP(J25,道具表!$B:$B,道具表!$A:$A)&amp;"|"))</f>
        <v/>
      </c>
      <c r="K55" s="7" t="str">
        <f>IF(K25="","",K25&amp;",")</f>
        <v/>
      </c>
      <c r="L55" s="7"/>
      <c r="M55" s="7" t="str">
        <f>IF(M25="","",M25&amp;",")</f>
        <v/>
      </c>
      <c r="N55" s="19" t="str">
        <f>LEFT(F55&amp;G55,LEN(F55&amp;G55)-1)</f>
        <v>1|1011|2</v>
      </c>
      <c r="O55" s="20" t="str">
        <f>LEFT(H55&amp;I55&amp;J55&amp;K55,LEN(H55&amp;I55&amp;J55&amp;K55)-1)</f>
        <v>1|1011|40</v>
      </c>
    </row>
    <row r="56" ht="15.6" spans="4:15">
      <c r="D56" s="17"/>
      <c r="E56" s="7">
        <f>E26</f>
        <v>2510</v>
      </c>
      <c r="F56" s="6" t="str">
        <f>IF(F26="","",(_xlfn.XLOOKUP(F26,道具表!$B:$B,道具表!$C:$C)&amp;"|"&amp;_xlfn.XLOOKUP(F26,道具表!$B:$B,道具表!$A:$A)&amp;"|"))</f>
        <v>1|1011|</v>
      </c>
      <c r="G56" s="7" t="str">
        <f>IF(G26="","",G26&amp;",")</f>
        <v>2,</v>
      </c>
      <c r="H56" s="6" t="str">
        <f>IF(H26="","",(_xlfn.XLOOKUP(H26,道具表!$B:$B,道具表!$C:$C)&amp;"|"&amp;_xlfn.XLOOKUP(H26,道具表!$B:$B,道具表!$A:$A)&amp;"|"))</f>
        <v>1|1011|</v>
      </c>
      <c r="I56" s="7" t="str">
        <f>IF(I26="","",I26&amp;",")</f>
        <v>50,</v>
      </c>
      <c r="J56" s="6" t="str">
        <f>IF(J26="","",(_xlfn.XLOOKUP(J26,道具表!$B:$B,道具表!$C:$C)&amp;"|"&amp;_xlfn.XLOOKUP(J26,道具表!$B:$B,道具表!$A:$A)&amp;"|"))</f>
        <v/>
      </c>
      <c r="K56" s="7" t="str">
        <f>IF(K26="","",K26&amp;",")</f>
        <v/>
      </c>
      <c r="L56" s="7"/>
      <c r="M56" s="7" t="str">
        <f>IF(M26="","",M26&amp;",")</f>
        <v/>
      </c>
      <c r="N56" s="19" t="str">
        <f>LEFT(F56&amp;G56,LEN(F56&amp;G56)-1)</f>
        <v>1|1011|2</v>
      </c>
      <c r="O56" s="20" t="str">
        <f>LEFT(H56&amp;I56&amp;J56&amp;K56,LEN(H56&amp;I56&amp;J56&amp;K56)-1)</f>
        <v>1|1011|50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Q53"/>
  <sheetViews>
    <sheetView workbookViewId="0">
      <selection activeCell="E7" sqref="E7:E26"/>
    </sheetView>
  </sheetViews>
  <sheetFormatPr defaultColWidth="8.88888888888889" defaultRowHeight="14.4"/>
  <cols>
    <col min="9" max="9" width="12.8888888888889"/>
    <col min="14" max="15" width="9.88888888888889"/>
    <col min="16" max="16" width="9.66666666666667"/>
    <col min="17" max="17" width="12.8888888888889"/>
  </cols>
  <sheetData>
    <row r="1" spans="9:9">
      <c r="I1">
        <v>18660</v>
      </c>
    </row>
    <row r="2" ht="15.6" spans="4:16">
      <c r="D2" s="7" t="s">
        <v>338</v>
      </c>
      <c r="E2" s="7" t="s">
        <v>1128</v>
      </c>
      <c r="F2" s="7" t="s">
        <v>953</v>
      </c>
      <c r="G2" s="7" t="s">
        <v>323</v>
      </c>
      <c r="H2" s="7" t="s">
        <v>1124</v>
      </c>
      <c r="I2" s="7" t="s">
        <v>323</v>
      </c>
      <c r="J2" s="7" t="s">
        <v>1125</v>
      </c>
      <c r="K2" s="7" t="s">
        <v>323</v>
      </c>
      <c r="L2" s="7" t="s">
        <v>1126</v>
      </c>
      <c r="M2" s="7" t="s">
        <v>323</v>
      </c>
      <c r="N2" s="6" t="s">
        <v>339</v>
      </c>
      <c r="O2" s="6" t="s">
        <v>340</v>
      </c>
      <c r="P2" s="6" t="s">
        <v>341</v>
      </c>
    </row>
    <row r="3" ht="15.6" spans="4:16">
      <c r="D3" s="7">
        <v>328</v>
      </c>
      <c r="E3" s="9">
        <v>5</v>
      </c>
      <c r="F3" s="7" t="s">
        <v>48</v>
      </c>
      <c r="G3" s="7">
        <v>1</v>
      </c>
      <c r="H3" s="7" t="s">
        <v>48</v>
      </c>
      <c r="I3" s="7">
        <v>10</v>
      </c>
      <c r="J3" s="7"/>
      <c r="K3" s="7"/>
      <c r="L3" s="7" t="s">
        <v>6</v>
      </c>
      <c r="M3" s="7">
        <v>980</v>
      </c>
      <c r="N3" s="6">
        <f>_xlfn.XLOOKUP(H3,道具表!$B:$B,道具表!$E:$E)</f>
        <v>102</v>
      </c>
      <c r="O3" s="6">
        <f>_xlfn.XLOOKUP(J3,道具表!$B:$B,道具表!$E:$E)</f>
        <v>0</v>
      </c>
      <c r="P3" s="6">
        <f>N3*I3+O3*K3</f>
        <v>1020</v>
      </c>
    </row>
    <row r="4" ht="15.6" spans="4:16">
      <c r="D4" s="7"/>
      <c r="E4" s="9">
        <v>10</v>
      </c>
      <c r="F4" s="7" t="s">
        <v>48</v>
      </c>
      <c r="G4" s="7">
        <v>1</v>
      </c>
      <c r="H4" s="7" t="s">
        <v>48</v>
      </c>
      <c r="I4" s="7">
        <v>10</v>
      </c>
      <c r="J4" s="7"/>
      <c r="K4" s="7"/>
      <c r="L4" s="7"/>
      <c r="M4" s="7"/>
      <c r="N4" s="6">
        <f>_xlfn.XLOOKUP(H4,道具表!$B:$B,道具表!$E:$E)</f>
        <v>102</v>
      </c>
      <c r="O4" s="6">
        <f>_xlfn.XLOOKUP(J4,道具表!$B:$B,道具表!$E:$E)</f>
        <v>0</v>
      </c>
      <c r="P4" s="6">
        <f t="shared" ref="P3:P24" si="0">N4*I4+O4*K4</f>
        <v>1020</v>
      </c>
    </row>
    <row r="5" ht="15.6" spans="4:16">
      <c r="D5" s="7"/>
      <c r="E5" s="9">
        <v>15</v>
      </c>
      <c r="F5" s="7" t="s">
        <v>48</v>
      </c>
      <c r="G5" s="7">
        <v>1</v>
      </c>
      <c r="H5" s="7" t="s">
        <v>48</v>
      </c>
      <c r="I5" s="7">
        <v>10</v>
      </c>
      <c r="J5" s="7"/>
      <c r="K5" s="7"/>
      <c r="L5" s="7"/>
      <c r="M5" s="7"/>
      <c r="N5" s="6">
        <f>_xlfn.XLOOKUP(H5,道具表!$B:$B,道具表!$E:$E)</f>
        <v>102</v>
      </c>
      <c r="O5" s="6">
        <f>_xlfn.XLOOKUP(J5,道具表!$B:$B,道具表!$E:$E)</f>
        <v>0</v>
      </c>
      <c r="P5" s="6">
        <f t="shared" si="0"/>
        <v>1020</v>
      </c>
    </row>
    <row r="6" ht="15.6" spans="4:16">
      <c r="D6" s="7"/>
      <c r="E6" s="9">
        <v>20</v>
      </c>
      <c r="F6" s="7" t="s">
        <v>48</v>
      </c>
      <c r="G6" s="7">
        <v>1</v>
      </c>
      <c r="H6" s="7" t="s">
        <v>48</v>
      </c>
      <c r="I6" s="7">
        <v>10</v>
      </c>
      <c r="J6" s="7"/>
      <c r="K6" s="7"/>
      <c r="L6" s="7"/>
      <c r="M6" s="7"/>
      <c r="N6" s="6">
        <f>_xlfn.XLOOKUP(H6,道具表!$B:$B,道具表!$E:$E)</f>
        <v>102</v>
      </c>
      <c r="O6" s="6">
        <f>_xlfn.XLOOKUP(J6,道具表!$B:$B,道具表!$E:$E)</f>
        <v>0</v>
      </c>
      <c r="P6" s="6">
        <f t="shared" si="0"/>
        <v>1020</v>
      </c>
    </row>
    <row r="7" ht="15.6" spans="4:16">
      <c r="D7" s="7"/>
      <c r="E7" s="9">
        <v>30</v>
      </c>
      <c r="F7" s="7" t="s">
        <v>48</v>
      </c>
      <c r="G7" s="7">
        <v>1</v>
      </c>
      <c r="H7" s="7" t="s">
        <v>48</v>
      </c>
      <c r="I7" s="7">
        <v>15</v>
      </c>
      <c r="J7" s="7"/>
      <c r="K7" s="7"/>
      <c r="L7" s="7"/>
      <c r="M7" s="7"/>
      <c r="N7" s="6">
        <f>_xlfn.XLOOKUP(H7,道具表!$B:$B,道具表!$E:$E)</f>
        <v>102</v>
      </c>
      <c r="O7" s="6">
        <f>_xlfn.XLOOKUP(J7,道具表!$B:$B,道具表!$E:$E)</f>
        <v>0</v>
      </c>
      <c r="P7" s="6">
        <f t="shared" si="0"/>
        <v>1530</v>
      </c>
    </row>
    <row r="8" ht="15.6" spans="4:16">
      <c r="D8" s="7"/>
      <c r="E8" s="9">
        <v>40</v>
      </c>
      <c r="F8" s="7" t="s">
        <v>48</v>
      </c>
      <c r="G8" s="7">
        <v>1</v>
      </c>
      <c r="H8" s="7" t="s">
        <v>48</v>
      </c>
      <c r="I8" s="7">
        <v>15</v>
      </c>
      <c r="J8" s="7"/>
      <c r="K8" s="7"/>
      <c r="L8" s="7"/>
      <c r="M8" s="7"/>
      <c r="N8" s="6">
        <f>_xlfn.XLOOKUP(H8,道具表!$B:$B,道具表!$E:$E)</f>
        <v>102</v>
      </c>
      <c r="O8" s="6">
        <f>_xlfn.XLOOKUP(J8,道具表!$B:$B,道具表!$E:$E)</f>
        <v>0</v>
      </c>
      <c r="P8" s="6">
        <f t="shared" si="0"/>
        <v>1530</v>
      </c>
    </row>
    <row r="9" ht="15.6" spans="4:16">
      <c r="D9" s="7"/>
      <c r="E9" s="9">
        <v>50</v>
      </c>
      <c r="F9" s="7" t="s">
        <v>48</v>
      </c>
      <c r="G9" s="7">
        <v>1</v>
      </c>
      <c r="H9" s="7" t="s">
        <v>48</v>
      </c>
      <c r="I9" s="7">
        <v>15</v>
      </c>
      <c r="J9" s="7"/>
      <c r="K9" s="7"/>
      <c r="L9" s="7"/>
      <c r="M9" s="7"/>
      <c r="N9" s="6">
        <f>_xlfn.XLOOKUP(H9,道具表!$B:$B,道具表!$E:$E)</f>
        <v>102</v>
      </c>
      <c r="O9" s="6">
        <f>_xlfn.XLOOKUP(J9,道具表!$B:$B,道具表!$E:$E)</f>
        <v>0</v>
      </c>
      <c r="P9" s="6">
        <f t="shared" si="0"/>
        <v>1530</v>
      </c>
    </row>
    <row r="10" ht="15.6" spans="4:16">
      <c r="D10" s="7"/>
      <c r="E10" s="9">
        <v>60</v>
      </c>
      <c r="F10" s="7" t="s">
        <v>48</v>
      </c>
      <c r="G10" s="7">
        <v>1</v>
      </c>
      <c r="H10" s="7" t="s">
        <v>48</v>
      </c>
      <c r="I10" s="7">
        <v>15</v>
      </c>
      <c r="J10" s="7"/>
      <c r="K10" s="7"/>
      <c r="L10" s="7"/>
      <c r="M10" s="7"/>
      <c r="N10" s="6">
        <f>_xlfn.XLOOKUP(H10,道具表!$B:$B,道具表!$E:$E)</f>
        <v>102</v>
      </c>
      <c r="O10" s="6">
        <f>_xlfn.XLOOKUP(J10,道具表!$B:$B,道具表!$E:$E)</f>
        <v>0</v>
      </c>
      <c r="P10" s="6">
        <f t="shared" si="0"/>
        <v>1530</v>
      </c>
    </row>
    <row r="11" ht="15.6" spans="4:16">
      <c r="D11" s="7"/>
      <c r="E11" s="9">
        <v>70</v>
      </c>
      <c r="F11" s="7" t="s">
        <v>48</v>
      </c>
      <c r="G11" s="7">
        <v>1</v>
      </c>
      <c r="H11" s="7" t="s">
        <v>48</v>
      </c>
      <c r="I11" s="7">
        <v>15</v>
      </c>
      <c r="J11" s="7"/>
      <c r="K11" s="7"/>
      <c r="L11" s="7"/>
      <c r="M11" s="7"/>
      <c r="N11" s="6">
        <f>_xlfn.XLOOKUP(H11,道具表!$B:$B,道具表!$E:$E)</f>
        <v>102</v>
      </c>
      <c r="O11" s="6">
        <f>_xlfn.XLOOKUP(J11,道具表!$B:$B,道具表!$E:$E)</f>
        <v>0</v>
      </c>
      <c r="P11" s="6">
        <f t="shared" si="0"/>
        <v>1530</v>
      </c>
    </row>
    <row r="12" ht="15.6" spans="4:16">
      <c r="D12" s="7"/>
      <c r="E12" s="9">
        <v>80</v>
      </c>
      <c r="F12" s="7" t="s">
        <v>48</v>
      </c>
      <c r="G12" s="7">
        <v>1</v>
      </c>
      <c r="H12" s="7" t="s">
        <v>48</v>
      </c>
      <c r="I12" s="7">
        <v>15</v>
      </c>
      <c r="J12" s="7"/>
      <c r="K12" s="7"/>
      <c r="L12" s="7"/>
      <c r="M12" s="7"/>
      <c r="N12" s="6">
        <f>_xlfn.XLOOKUP(H12,道具表!$B:$B,道具表!$E:$E)</f>
        <v>102</v>
      </c>
      <c r="O12" s="6">
        <f>_xlfn.XLOOKUP(J12,道具表!$B:$B,道具表!$E:$E)</f>
        <v>0</v>
      </c>
      <c r="P12" s="6">
        <f t="shared" si="0"/>
        <v>1530</v>
      </c>
    </row>
    <row r="13" ht="15.6" spans="4:16">
      <c r="D13" s="7"/>
      <c r="E13" s="9">
        <v>90</v>
      </c>
      <c r="F13" s="7" t="s">
        <v>48</v>
      </c>
      <c r="G13" s="7">
        <v>2</v>
      </c>
      <c r="H13" s="7" t="s">
        <v>48</v>
      </c>
      <c r="I13" s="7">
        <v>15</v>
      </c>
      <c r="J13" s="7"/>
      <c r="K13" s="7"/>
      <c r="L13" s="7"/>
      <c r="M13" s="7"/>
      <c r="N13" s="6">
        <f>_xlfn.XLOOKUP(H13,道具表!$B:$B,道具表!$E:$E)</f>
        <v>102</v>
      </c>
      <c r="O13" s="6">
        <f>_xlfn.XLOOKUP(J13,道具表!$B:$B,道具表!$E:$E)</f>
        <v>0</v>
      </c>
      <c r="P13" s="6">
        <f t="shared" si="0"/>
        <v>1530</v>
      </c>
    </row>
    <row r="14" ht="15.6" spans="4:16">
      <c r="D14" s="7"/>
      <c r="E14" s="9">
        <v>100</v>
      </c>
      <c r="F14" s="7" t="s">
        <v>48</v>
      </c>
      <c r="G14" s="7">
        <v>2</v>
      </c>
      <c r="H14" s="7" t="s">
        <v>48</v>
      </c>
      <c r="I14" s="7">
        <v>15</v>
      </c>
      <c r="J14" s="7"/>
      <c r="K14" s="7"/>
      <c r="L14" s="7"/>
      <c r="M14" s="7"/>
      <c r="N14" s="6">
        <f>_xlfn.XLOOKUP(H14,道具表!$B:$B,道具表!$E:$E)</f>
        <v>102</v>
      </c>
      <c r="O14" s="6">
        <f>_xlfn.XLOOKUP(J14,道具表!$B:$B,道具表!$E:$E)</f>
        <v>0</v>
      </c>
      <c r="P14" s="6">
        <f t="shared" si="0"/>
        <v>1530</v>
      </c>
    </row>
    <row r="15" ht="15.6" spans="4:16">
      <c r="D15" s="7"/>
      <c r="E15" s="9">
        <v>110</v>
      </c>
      <c r="F15" s="7" t="s">
        <v>48</v>
      </c>
      <c r="G15" s="7">
        <v>2</v>
      </c>
      <c r="H15" s="7" t="s">
        <v>48</v>
      </c>
      <c r="I15" s="7">
        <v>15</v>
      </c>
      <c r="J15" s="7"/>
      <c r="K15" s="7"/>
      <c r="L15" s="7"/>
      <c r="M15" s="7"/>
      <c r="N15" s="6">
        <f>_xlfn.XLOOKUP(H15,道具表!$B:$B,道具表!$E:$E)</f>
        <v>102</v>
      </c>
      <c r="O15" s="6">
        <f>_xlfn.XLOOKUP(J15,道具表!$B:$B,道具表!$E:$E)</f>
        <v>0</v>
      </c>
      <c r="P15" s="6">
        <f t="shared" si="0"/>
        <v>1530</v>
      </c>
    </row>
    <row r="16" ht="15.6" spans="4:16">
      <c r="D16" s="7"/>
      <c r="E16" s="9">
        <v>120</v>
      </c>
      <c r="F16" s="7" t="s">
        <v>48</v>
      </c>
      <c r="G16" s="7">
        <v>2</v>
      </c>
      <c r="H16" s="7" t="s">
        <v>48</v>
      </c>
      <c r="I16" s="7">
        <v>15</v>
      </c>
      <c r="J16" s="7"/>
      <c r="K16" s="7"/>
      <c r="L16" s="7"/>
      <c r="M16" s="7"/>
      <c r="N16" s="6">
        <f>_xlfn.XLOOKUP(H16,道具表!$B:$B,道具表!$E:$E)</f>
        <v>102</v>
      </c>
      <c r="O16" s="6">
        <f>_xlfn.XLOOKUP(J16,道具表!$B:$B,道具表!$E:$E)</f>
        <v>0</v>
      </c>
      <c r="P16" s="6">
        <f t="shared" si="0"/>
        <v>1530</v>
      </c>
    </row>
    <row r="17" ht="15.6" spans="4:16">
      <c r="D17" s="7"/>
      <c r="E17" s="9">
        <v>130</v>
      </c>
      <c r="F17" s="7" t="s">
        <v>48</v>
      </c>
      <c r="G17" s="7">
        <v>2</v>
      </c>
      <c r="H17" s="7" t="s">
        <v>48</v>
      </c>
      <c r="I17" s="7">
        <v>20</v>
      </c>
      <c r="J17" s="7"/>
      <c r="K17" s="7"/>
      <c r="L17" s="7"/>
      <c r="M17" s="7"/>
      <c r="N17" s="6">
        <f>_xlfn.XLOOKUP(H17,道具表!$B:$B,道具表!$E:$E)</f>
        <v>102</v>
      </c>
      <c r="O17" s="6">
        <f>_xlfn.XLOOKUP(J17,道具表!$B:$B,道具表!$E:$E)</f>
        <v>0</v>
      </c>
      <c r="P17" s="6">
        <f t="shared" si="0"/>
        <v>2040</v>
      </c>
    </row>
    <row r="18" ht="15.6" spans="4:16">
      <c r="D18" s="7"/>
      <c r="E18" s="9">
        <v>140</v>
      </c>
      <c r="F18" s="7" t="s">
        <v>48</v>
      </c>
      <c r="G18" s="7">
        <v>2</v>
      </c>
      <c r="H18" s="7" t="s">
        <v>48</v>
      </c>
      <c r="I18" s="7">
        <v>20</v>
      </c>
      <c r="J18" s="7"/>
      <c r="K18" s="7"/>
      <c r="L18" s="7"/>
      <c r="M18" s="7"/>
      <c r="N18" s="6">
        <f>_xlfn.XLOOKUP(H18,道具表!$B:$B,道具表!$E:$E)</f>
        <v>102</v>
      </c>
      <c r="O18" s="6">
        <f>_xlfn.XLOOKUP(J18,道具表!$B:$B,道具表!$E:$E)</f>
        <v>0</v>
      </c>
      <c r="P18" s="6">
        <f t="shared" si="0"/>
        <v>2040</v>
      </c>
    </row>
    <row r="19" ht="15.6" spans="4:16">
      <c r="D19" s="7"/>
      <c r="E19" s="9">
        <v>150</v>
      </c>
      <c r="F19" s="7" t="s">
        <v>48</v>
      </c>
      <c r="G19" s="7">
        <v>2</v>
      </c>
      <c r="H19" s="7" t="s">
        <v>48</v>
      </c>
      <c r="I19" s="7">
        <v>20</v>
      </c>
      <c r="J19" s="7"/>
      <c r="K19" s="7"/>
      <c r="L19" s="7"/>
      <c r="M19" s="7"/>
      <c r="N19" s="6">
        <f>_xlfn.XLOOKUP(H19,道具表!$B:$B,道具表!$E:$E)</f>
        <v>102</v>
      </c>
      <c r="O19" s="6">
        <f>_xlfn.XLOOKUP(J19,道具表!$B:$B,道具表!$E:$E)</f>
        <v>0</v>
      </c>
      <c r="P19" s="6">
        <f t="shared" si="0"/>
        <v>2040</v>
      </c>
    </row>
    <row r="20" ht="15.6" spans="4:16">
      <c r="D20" s="7"/>
      <c r="E20" s="9">
        <v>160</v>
      </c>
      <c r="F20" s="7" t="s">
        <v>48</v>
      </c>
      <c r="G20" s="7">
        <v>2</v>
      </c>
      <c r="H20" s="7" t="s">
        <v>48</v>
      </c>
      <c r="I20" s="7">
        <v>20</v>
      </c>
      <c r="J20" s="7"/>
      <c r="K20" s="7"/>
      <c r="L20" s="7"/>
      <c r="M20" s="7"/>
      <c r="N20" s="6">
        <f>_xlfn.XLOOKUP(H20,道具表!$B:$B,道具表!$E:$E)</f>
        <v>102</v>
      </c>
      <c r="O20" s="6">
        <f>_xlfn.XLOOKUP(J20,道具表!$B:$B,道具表!$E:$E)</f>
        <v>0</v>
      </c>
      <c r="P20" s="6">
        <f t="shared" si="0"/>
        <v>2040</v>
      </c>
    </row>
    <row r="21" ht="15.6" spans="4:16">
      <c r="D21" s="7"/>
      <c r="E21" s="9">
        <v>170</v>
      </c>
      <c r="F21" s="7" t="s">
        <v>48</v>
      </c>
      <c r="G21" s="7">
        <v>2</v>
      </c>
      <c r="H21" s="7" t="s">
        <v>48</v>
      </c>
      <c r="I21" s="7">
        <v>20</v>
      </c>
      <c r="J21" s="7"/>
      <c r="K21" s="7"/>
      <c r="L21" s="7"/>
      <c r="M21" s="7"/>
      <c r="N21" s="6">
        <f>_xlfn.XLOOKUP(H21,道具表!$B:$B,道具表!$E:$E)</f>
        <v>102</v>
      </c>
      <c r="O21" s="6">
        <f>_xlfn.XLOOKUP(J21,道具表!$B:$B,道具表!$E:$E)</f>
        <v>0</v>
      </c>
      <c r="P21" s="6">
        <f t="shared" si="0"/>
        <v>2040</v>
      </c>
    </row>
    <row r="22" ht="15.6" spans="4:17">
      <c r="D22" s="7"/>
      <c r="E22" s="9">
        <v>180</v>
      </c>
      <c r="F22" s="7" t="s">
        <v>48</v>
      </c>
      <c r="G22" s="7">
        <v>2</v>
      </c>
      <c r="H22" s="7" t="s">
        <v>48</v>
      </c>
      <c r="I22" s="7">
        <v>30</v>
      </c>
      <c r="J22" s="7"/>
      <c r="K22" s="7"/>
      <c r="L22" s="7"/>
      <c r="M22" s="7"/>
      <c r="N22" s="6">
        <f>_xlfn.XLOOKUP(H22,道具表!$B:$B,道具表!$E:$E)</f>
        <v>102</v>
      </c>
      <c r="O22" s="6">
        <f>_xlfn.XLOOKUP(J22,道具表!$B:$B,道具表!$E:$E)</f>
        <v>0</v>
      </c>
      <c r="P22" s="6">
        <f>N22*I22+O22*K22</f>
        <v>3060</v>
      </c>
      <c r="Q22">
        <v>32800</v>
      </c>
    </row>
    <row r="23" ht="15.6" spans="4:16">
      <c r="D23" s="7"/>
      <c r="E23" s="9">
        <v>190</v>
      </c>
      <c r="F23" s="7" t="s">
        <v>48</v>
      </c>
      <c r="G23" s="7">
        <v>2</v>
      </c>
      <c r="H23" s="7" t="s">
        <v>48</v>
      </c>
      <c r="I23" s="7">
        <v>30</v>
      </c>
      <c r="J23" s="7"/>
      <c r="K23" s="7"/>
      <c r="L23" s="7"/>
      <c r="M23" s="7"/>
      <c r="N23" s="6">
        <f>_xlfn.XLOOKUP(H23,道具表!$B:$B,道具表!$E:$E)</f>
        <v>102</v>
      </c>
      <c r="O23" s="6">
        <f>_xlfn.XLOOKUP(J23,道具表!$B:$B,道具表!$E:$E)</f>
        <v>0</v>
      </c>
      <c r="P23" s="6">
        <f>N23*I23+O23*K23</f>
        <v>3060</v>
      </c>
    </row>
    <row r="24" ht="15.6" spans="4:16">
      <c r="D24" s="7"/>
      <c r="E24" s="9">
        <v>200</v>
      </c>
      <c r="F24" s="7" t="s">
        <v>48</v>
      </c>
      <c r="G24" s="7">
        <v>2</v>
      </c>
      <c r="H24" s="7" t="s">
        <v>48</v>
      </c>
      <c r="I24" s="7">
        <v>30</v>
      </c>
      <c r="J24" s="7"/>
      <c r="K24" s="7"/>
      <c r="L24" s="7"/>
      <c r="M24" s="7"/>
      <c r="N24" s="6">
        <f>_xlfn.XLOOKUP(H24,道具表!$B:$B,道具表!$E:$E)</f>
        <v>102</v>
      </c>
      <c r="O24" s="6">
        <f>_xlfn.XLOOKUP(J24,道具表!$B:$B,道具表!$E:$E)</f>
        <v>0</v>
      </c>
      <c r="P24" s="6">
        <f>N24*I24+O24*K24</f>
        <v>3060</v>
      </c>
    </row>
    <row r="25" ht="15.6" spans="4:16">
      <c r="D25" s="7"/>
      <c r="E25" s="9">
        <v>210</v>
      </c>
      <c r="F25" s="7" t="s">
        <v>48</v>
      </c>
      <c r="G25" s="7">
        <v>2</v>
      </c>
      <c r="H25" s="7" t="s">
        <v>48</v>
      </c>
      <c r="I25" s="7">
        <v>40</v>
      </c>
      <c r="J25" s="7"/>
      <c r="K25" s="7"/>
      <c r="L25" s="7"/>
      <c r="M25" s="7"/>
      <c r="N25" s="6">
        <f>_xlfn.XLOOKUP(H25,道具表!$B:$B,道具表!$E:$E)</f>
        <v>102</v>
      </c>
      <c r="O25" s="6">
        <f>_xlfn.XLOOKUP(J25,道具表!$B:$B,道具表!$E:$E)</f>
        <v>0</v>
      </c>
      <c r="P25" s="6">
        <f>N25*I25+O25*K25</f>
        <v>4080</v>
      </c>
    </row>
    <row r="26" ht="15.6" spans="4:16">
      <c r="D26" s="7"/>
      <c r="E26" s="9">
        <v>220</v>
      </c>
      <c r="F26" s="7" t="s">
        <v>48</v>
      </c>
      <c r="G26" s="7">
        <v>2</v>
      </c>
      <c r="H26" s="7" t="s">
        <v>48</v>
      </c>
      <c r="I26" s="7">
        <v>50</v>
      </c>
      <c r="J26" s="7"/>
      <c r="K26" s="7"/>
      <c r="L26" s="7"/>
      <c r="M26" s="7"/>
      <c r="N26" s="6">
        <f>_xlfn.XLOOKUP(H26,道具表!$B:$B,道具表!$E:$E)</f>
        <v>102</v>
      </c>
      <c r="O26" s="6">
        <f>_xlfn.XLOOKUP(J26,道具表!$B:$B,道具表!$E:$E)</f>
        <v>0</v>
      </c>
      <c r="P26" s="6">
        <f>N26*I26+O26*K26</f>
        <v>5100</v>
      </c>
    </row>
    <row r="27" spans="4:16">
      <c r="D27" s="16"/>
      <c r="E27" s="16"/>
      <c r="F27" s="16"/>
      <c r="G27" s="16"/>
      <c r="H27" s="16"/>
      <c r="I27" s="16"/>
      <c r="J27" s="16"/>
      <c r="K27" s="16"/>
      <c r="P27">
        <f>SUM(P3:P26)</f>
        <v>47940</v>
      </c>
    </row>
    <row r="29" ht="15.6" spans="4:15">
      <c r="D29" s="7" t="s">
        <v>338</v>
      </c>
      <c r="E29" s="7" t="str">
        <f>E2</f>
        <v>竞技场挑战</v>
      </c>
      <c r="F29" s="7" t="s">
        <v>953</v>
      </c>
      <c r="G29" s="7" t="str">
        <f>IF(G2="","",G2&amp;",")</f>
        <v>数量,</v>
      </c>
      <c r="H29" s="7" t="s">
        <v>1124</v>
      </c>
      <c r="I29" s="7" t="str">
        <f t="shared" ref="I29:I51" si="1">IF(I2="","",I2&amp;",")</f>
        <v>数量,</v>
      </c>
      <c r="J29" s="7" t="s">
        <v>1125</v>
      </c>
      <c r="K29" s="7" t="s">
        <v>323</v>
      </c>
      <c r="L29" s="7" t="s">
        <v>1126</v>
      </c>
      <c r="M29" s="7" t="s">
        <v>323</v>
      </c>
      <c r="N29" s="19" t="s">
        <v>327</v>
      </c>
      <c r="O29" s="19" t="s">
        <v>327</v>
      </c>
    </row>
    <row r="30" ht="15.6" spans="4:15">
      <c r="D30" s="7">
        <v>30</v>
      </c>
      <c r="E30" s="7">
        <f t="shared" ref="E30:E54" si="2">E3</f>
        <v>5</v>
      </c>
      <c r="F30" s="6" t="str">
        <f>IF(F3="","",(_xlfn.XLOOKUP(F3,道具表!$B:$B,道具表!$C:$C)&amp;"|"&amp;_xlfn.XLOOKUP(F3,道具表!$B:$B,道具表!$A:$A)&amp;"|"))</f>
        <v>1|10009|</v>
      </c>
      <c r="G30" s="7" t="str">
        <f t="shared" ref="G30:G51" si="3">IF(G3="","",G3&amp;",")</f>
        <v>1,</v>
      </c>
      <c r="H30" s="6" t="str">
        <f>IF(H3="","",(_xlfn.XLOOKUP(H3,道具表!$B:$B,道具表!$C:$C)&amp;"|"&amp;_xlfn.XLOOKUP(H3,道具表!$B:$B,道具表!$A:$A)&amp;"|"))</f>
        <v>1|10009|</v>
      </c>
      <c r="I30" s="7" t="str">
        <f t="shared" si="1"/>
        <v>10,</v>
      </c>
      <c r="J30" s="6" t="str">
        <f>IF(J3="","",(_xlfn.XLOOKUP(J3,道具表!$B:$B,道具表!$C:$C)&amp;"|"&amp;_xlfn.XLOOKUP(J3,道具表!$B:$B,道具表!$A:$A)&amp;"|"))</f>
        <v/>
      </c>
      <c r="K30" s="7"/>
      <c r="L30" s="6" t="str">
        <f>_xlfn.XLOOKUP(L3,道具表!$B:$B,道具表!$C:$C)&amp;"|"&amp;_xlfn.XLOOKUP(L3,道具表!$B:$B,道具表!$A:$A)&amp;"|"</f>
        <v>1|2|</v>
      </c>
      <c r="M30" s="7">
        <v>980</v>
      </c>
      <c r="N30" s="19" t="str">
        <f>LEFT(F30&amp;G30,LEN(F30&amp;G30)-1)</f>
        <v>1|10009|1</v>
      </c>
      <c r="O30" s="20" t="str">
        <f>LEFT(H30&amp;I30&amp;J30&amp;K30,LEN(H30&amp;I30&amp;J30&amp;K30)-1)</f>
        <v>1|10009|10</v>
      </c>
    </row>
    <row r="31" ht="15.6" spans="4:15">
      <c r="D31" s="7"/>
      <c r="E31" s="7">
        <f t="shared" si="2"/>
        <v>10</v>
      </c>
      <c r="F31" s="6" t="str">
        <f>IF(F4="","",(_xlfn.XLOOKUP(F4,道具表!$B:$B,道具表!$C:$C)&amp;"|"&amp;_xlfn.XLOOKUP(F4,道具表!$B:$B,道具表!$A:$A)&amp;"|"))</f>
        <v>1|10009|</v>
      </c>
      <c r="G31" s="7" t="str">
        <f t="shared" si="3"/>
        <v>1,</v>
      </c>
      <c r="H31" s="6" t="str">
        <f>IF(H4="","",(_xlfn.XLOOKUP(H4,道具表!$B:$B,道具表!$C:$C)&amp;"|"&amp;_xlfn.XLOOKUP(H4,道具表!$B:$B,道具表!$A:$A)&amp;"|"))</f>
        <v>1|10009|</v>
      </c>
      <c r="I31" s="7" t="str">
        <f t="shared" si="1"/>
        <v>10,</v>
      </c>
      <c r="J31" s="6" t="str">
        <f>IF(J4="","",(_xlfn.XLOOKUP(J4,道具表!$B:$B,道具表!$C:$C)&amp;"|"&amp;_xlfn.XLOOKUP(J4,道具表!$B:$B,道具表!$A:$A)&amp;"|"))</f>
        <v/>
      </c>
      <c r="K31" s="7"/>
      <c r="L31" s="7"/>
      <c r="M31" s="7"/>
      <c r="N31" s="19" t="str">
        <f t="shared" ref="N31:N51" si="4">LEFT(F31&amp;G31,LEN(F31&amp;G31)-1)</f>
        <v>1|10009|1</v>
      </c>
      <c r="O31" s="20" t="str">
        <f t="shared" ref="O31:O51" si="5">LEFT(H31&amp;I31&amp;J31&amp;K31,LEN(H31&amp;I31&amp;J31&amp;K31)-1)</f>
        <v>1|10009|10</v>
      </c>
    </row>
    <row r="32" ht="15.6" spans="4:15">
      <c r="D32" s="7"/>
      <c r="E32" s="7">
        <f t="shared" si="2"/>
        <v>15</v>
      </c>
      <c r="F32" s="6" t="str">
        <f>IF(F5="","",(_xlfn.XLOOKUP(F5,道具表!$B:$B,道具表!$C:$C)&amp;"|"&amp;_xlfn.XLOOKUP(F5,道具表!$B:$B,道具表!$A:$A)&amp;"|"))</f>
        <v>1|10009|</v>
      </c>
      <c r="G32" s="7" t="str">
        <f t="shared" si="3"/>
        <v>1,</v>
      </c>
      <c r="H32" s="6" t="str">
        <f>IF(H5="","",(_xlfn.XLOOKUP(H5,道具表!$B:$B,道具表!$C:$C)&amp;"|"&amp;_xlfn.XLOOKUP(H5,道具表!$B:$B,道具表!$A:$A)&amp;"|"))</f>
        <v>1|10009|</v>
      </c>
      <c r="I32" s="7" t="str">
        <f t="shared" si="1"/>
        <v>10,</v>
      </c>
      <c r="J32" s="6" t="str">
        <f>IF(J5="","",(_xlfn.XLOOKUP(J5,道具表!$B:$B,道具表!$C:$C)&amp;"|"&amp;_xlfn.XLOOKUP(J5,道具表!$B:$B,道具表!$A:$A)&amp;"|"))</f>
        <v/>
      </c>
      <c r="K32" s="7"/>
      <c r="L32" s="7"/>
      <c r="M32" s="7"/>
      <c r="N32" s="19" t="str">
        <f t="shared" si="4"/>
        <v>1|10009|1</v>
      </c>
      <c r="O32" s="20" t="str">
        <f t="shared" si="5"/>
        <v>1|10009|10</v>
      </c>
    </row>
    <row r="33" ht="15.6" spans="4:15">
      <c r="D33" s="7"/>
      <c r="E33" s="7">
        <f t="shared" si="2"/>
        <v>20</v>
      </c>
      <c r="F33" s="6" t="str">
        <f>IF(F6="","",(_xlfn.XLOOKUP(F6,道具表!$B:$B,道具表!$C:$C)&amp;"|"&amp;_xlfn.XLOOKUP(F6,道具表!$B:$B,道具表!$A:$A)&amp;"|"))</f>
        <v>1|10009|</v>
      </c>
      <c r="G33" s="7" t="str">
        <f t="shared" si="3"/>
        <v>1,</v>
      </c>
      <c r="H33" s="6" t="str">
        <f>IF(H6="","",(_xlfn.XLOOKUP(H6,道具表!$B:$B,道具表!$C:$C)&amp;"|"&amp;_xlfn.XLOOKUP(H6,道具表!$B:$B,道具表!$A:$A)&amp;"|"))</f>
        <v>1|10009|</v>
      </c>
      <c r="I33" s="7" t="str">
        <f t="shared" si="1"/>
        <v>10,</v>
      </c>
      <c r="J33" s="6" t="str">
        <f>IF(J6="","",(_xlfn.XLOOKUP(J6,道具表!$B:$B,道具表!$C:$C)&amp;"|"&amp;_xlfn.XLOOKUP(J6,道具表!$B:$B,道具表!$A:$A)&amp;"|"))</f>
        <v/>
      </c>
      <c r="K33" s="7"/>
      <c r="L33" s="7"/>
      <c r="M33" s="7"/>
      <c r="N33" s="19" t="str">
        <f t="shared" si="4"/>
        <v>1|10009|1</v>
      </c>
      <c r="O33" s="20" t="str">
        <f t="shared" si="5"/>
        <v>1|10009|10</v>
      </c>
    </row>
    <row r="34" ht="15.6" spans="4:15">
      <c r="D34" s="7"/>
      <c r="E34" s="7">
        <f t="shared" si="2"/>
        <v>30</v>
      </c>
      <c r="F34" s="6" t="str">
        <f>IF(F7="","",(_xlfn.XLOOKUP(F7,道具表!$B:$B,道具表!$C:$C)&amp;"|"&amp;_xlfn.XLOOKUP(F7,道具表!$B:$B,道具表!$A:$A)&amp;"|"))</f>
        <v>1|10009|</v>
      </c>
      <c r="G34" s="7" t="str">
        <f t="shared" si="3"/>
        <v>1,</v>
      </c>
      <c r="H34" s="6" t="str">
        <f>IF(H7="","",(_xlfn.XLOOKUP(H7,道具表!$B:$B,道具表!$C:$C)&amp;"|"&amp;_xlfn.XLOOKUP(H7,道具表!$B:$B,道具表!$A:$A)&amp;"|"))</f>
        <v>1|10009|</v>
      </c>
      <c r="I34" s="7" t="str">
        <f t="shared" si="1"/>
        <v>15,</v>
      </c>
      <c r="J34" s="6" t="str">
        <f>IF(J7="","",(_xlfn.XLOOKUP(J7,道具表!$B:$B,道具表!$C:$C)&amp;"|"&amp;_xlfn.XLOOKUP(J7,道具表!$B:$B,道具表!$A:$A)&amp;"|"))</f>
        <v/>
      </c>
      <c r="K34" s="7"/>
      <c r="L34" s="7"/>
      <c r="M34" s="7"/>
      <c r="N34" s="19" t="str">
        <f t="shared" si="4"/>
        <v>1|10009|1</v>
      </c>
      <c r="O34" s="20" t="str">
        <f t="shared" si="5"/>
        <v>1|10009|15</v>
      </c>
    </row>
    <row r="35" ht="15.6" spans="4:15">
      <c r="D35" s="7"/>
      <c r="E35" s="7">
        <f t="shared" si="2"/>
        <v>40</v>
      </c>
      <c r="F35" s="6" t="str">
        <f>IF(F8="","",(_xlfn.XLOOKUP(F8,道具表!$B:$B,道具表!$C:$C)&amp;"|"&amp;_xlfn.XLOOKUP(F8,道具表!$B:$B,道具表!$A:$A)&amp;"|"))</f>
        <v>1|10009|</v>
      </c>
      <c r="G35" s="7" t="str">
        <f t="shared" si="3"/>
        <v>1,</v>
      </c>
      <c r="H35" s="6" t="str">
        <f>IF(H8="","",(_xlfn.XLOOKUP(H8,道具表!$B:$B,道具表!$C:$C)&amp;"|"&amp;_xlfn.XLOOKUP(H8,道具表!$B:$B,道具表!$A:$A)&amp;"|"))</f>
        <v>1|10009|</v>
      </c>
      <c r="I35" s="7" t="str">
        <f t="shared" si="1"/>
        <v>15,</v>
      </c>
      <c r="J35" s="6" t="str">
        <f>IF(J8="","",(_xlfn.XLOOKUP(J8,道具表!$B:$B,道具表!$C:$C)&amp;"|"&amp;_xlfn.XLOOKUP(J8,道具表!$B:$B,道具表!$A:$A)&amp;"|"))</f>
        <v/>
      </c>
      <c r="K35" s="7"/>
      <c r="L35" s="7"/>
      <c r="M35" s="7"/>
      <c r="N35" s="19" t="str">
        <f t="shared" si="4"/>
        <v>1|10009|1</v>
      </c>
      <c r="O35" s="20" t="str">
        <f t="shared" si="5"/>
        <v>1|10009|15</v>
      </c>
    </row>
    <row r="36" ht="15.6" spans="4:15">
      <c r="D36" s="7"/>
      <c r="E36" s="7">
        <f t="shared" si="2"/>
        <v>50</v>
      </c>
      <c r="F36" s="6" t="str">
        <f>IF(F9="","",(_xlfn.XLOOKUP(F9,道具表!$B:$B,道具表!$C:$C)&amp;"|"&amp;_xlfn.XLOOKUP(F9,道具表!$B:$B,道具表!$A:$A)&amp;"|"))</f>
        <v>1|10009|</v>
      </c>
      <c r="G36" s="7" t="str">
        <f t="shared" si="3"/>
        <v>1,</v>
      </c>
      <c r="H36" s="6" t="str">
        <f>IF(H9="","",(_xlfn.XLOOKUP(H9,道具表!$B:$B,道具表!$C:$C)&amp;"|"&amp;_xlfn.XLOOKUP(H9,道具表!$B:$B,道具表!$A:$A)&amp;"|"))</f>
        <v>1|10009|</v>
      </c>
      <c r="I36" s="7" t="str">
        <f t="shared" si="1"/>
        <v>15,</v>
      </c>
      <c r="J36" s="6" t="str">
        <f>IF(J9="","",(_xlfn.XLOOKUP(J9,道具表!$B:$B,道具表!$C:$C)&amp;"|"&amp;_xlfn.XLOOKUP(J9,道具表!$B:$B,道具表!$A:$A)&amp;"|"))</f>
        <v/>
      </c>
      <c r="K36" s="7"/>
      <c r="L36" s="7"/>
      <c r="M36" s="7"/>
      <c r="N36" s="19" t="str">
        <f t="shared" si="4"/>
        <v>1|10009|1</v>
      </c>
      <c r="O36" s="20" t="str">
        <f t="shared" si="5"/>
        <v>1|10009|15</v>
      </c>
    </row>
    <row r="37" ht="15.6" spans="4:15">
      <c r="D37" s="7"/>
      <c r="E37" s="7">
        <f t="shared" si="2"/>
        <v>60</v>
      </c>
      <c r="F37" s="6" t="str">
        <f>IF(F10="","",(_xlfn.XLOOKUP(F10,道具表!$B:$B,道具表!$C:$C)&amp;"|"&amp;_xlfn.XLOOKUP(F10,道具表!$B:$B,道具表!$A:$A)&amp;"|"))</f>
        <v>1|10009|</v>
      </c>
      <c r="G37" s="7" t="str">
        <f t="shared" si="3"/>
        <v>1,</v>
      </c>
      <c r="H37" s="6" t="str">
        <f>IF(H10="","",(_xlfn.XLOOKUP(H10,道具表!$B:$B,道具表!$C:$C)&amp;"|"&amp;_xlfn.XLOOKUP(H10,道具表!$B:$B,道具表!$A:$A)&amp;"|"))</f>
        <v>1|10009|</v>
      </c>
      <c r="I37" s="7" t="str">
        <f t="shared" si="1"/>
        <v>15,</v>
      </c>
      <c r="J37" s="6" t="str">
        <f>IF(J10="","",(_xlfn.XLOOKUP(J10,道具表!$B:$B,道具表!$C:$C)&amp;"|"&amp;_xlfn.XLOOKUP(J10,道具表!$B:$B,道具表!$A:$A)&amp;"|"))</f>
        <v/>
      </c>
      <c r="K37" s="7"/>
      <c r="L37" s="7"/>
      <c r="M37" s="7"/>
      <c r="N37" s="19" t="str">
        <f t="shared" si="4"/>
        <v>1|10009|1</v>
      </c>
      <c r="O37" s="20" t="str">
        <f t="shared" si="5"/>
        <v>1|10009|15</v>
      </c>
    </row>
    <row r="38" ht="15.6" spans="4:15">
      <c r="D38" s="7"/>
      <c r="E38" s="7">
        <f t="shared" si="2"/>
        <v>70</v>
      </c>
      <c r="F38" s="6" t="str">
        <f>IF(F11="","",(_xlfn.XLOOKUP(F11,道具表!$B:$B,道具表!$C:$C)&amp;"|"&amp;_xlfn.XLOOKUP(F11,道具表!$B:$B,道具表!$A:$A)&amp;"|"))</f>
        <v>1|10009|</v>
      </c>
      <c r="G38" s="7" t="str">
        <f t="shared" si="3"/>
        <v>1,</v>
      </c>
      <c r="H38" s="6" t="str">
        <f>IF(H11="","",(_xlfn.XLOOKUP(H11,道具表!$B:$B,道具表!$C:$C)&amp;"|"&amp;_xlfn.XLOOKUP(H11,道具表!$B:$B,道具表!$A:$A)&amp;"|"))</f>
        <v>1|10009|</v>
      </c>
      <c r="I38" s="7" t="str">
        <f t="shared" si="1"/>
        <v>15,</v>
      </c>
      <c r="J38" s="6" t="str">
        <f>IF(J11="","",(_xlfn.XLOOKUP(J11,道具表!$B:$B,道具表!$C:$C)&amp;"|"&amp;_xlfn.XLOOKUP(J11,道具表!$B:$B,道具表!$A:$A)&amp;"|"))</f>
        <v/>
      </c>
      <c r="K38" s="7"/>
      <c r="L38" s="7"/>
      <c r="M38" s="7"/>
      <c r="N38" s="19" t="str">
        <f t="shared" si="4"/>
        <v>1|10009|1</v>
      </c>
      <c r="O38" s="20" t="str">
        <f t="shared" si="5"/>
        <v>1|10009|15</v>
      </c>
    </row>
    <row r="39" ht="15.6" spans="4:15">
      <c r="D39" s="7"/>
      <c r="E39" s="7">
        <f t="shared" si="2"/>
        <v>80</v>
      </c>
      <c r="F39" s="6" t="str">
        <f>IF(F12="","",(_xlfn.XLOOKUP(F12,道具表!$B:$B,道具表!$C:$C)&amp;"|"&amp;_xlfn.XLOOKUP(F12,道具表!$B:$B,道具表!$A:$A)&amp;"|"))</f>
        <v>1|10009|</v>
      </c>
      <c r="G39" s="7" t="str">
        <f t="shared" si="3"/>
        <v>1,</v>
      </c>
      <c r="H39" s="6" t="str">
        <f>IF(H12="","",(_xlfn.XLOOKUP(H12,道具表!$B:$B,道具表!$C:$C)&amp;"|"&amp;_xlfn.XLOOKUP(H12,道具表!$B:$B,道具表!$A:$A)&amp;"|"))</f>
        <v>1|10009|</v>
      </c>
      <c r="I39" s="7" t="str">
        <f t="shared" si="1"/>
        <v>15,</v>
      </c>
      <c r="J39" s="6" t="str">
        <f>IF(J12="","",(_xlfn.XLOOKUP(J12,道具表!$B:$B,道具表!$C:$C)&amp;"|"&amp;_xlfn.XLOOKUP(J12,道具表!$B:$B,道具表!$A:$A)&amp;"|"))</f>
        <v/>
      </c>
      <c r="K39" s="7"/>
      <c r="L39" s="7"/>
      <c r="M39" s="7"/>
      <c r="N39" s="19" t="str">
        <f t="shared" si="4"/>
        <v>1|10009|1</v>
      </c>
      <c r="O39" s="20" t="str">
        <f t="shared" si="5"/>
        <v>1|10009|15</v>
      </c>
    </row>
    <row r="40" ht="15.6" spans="4:15">
      <c r="D40" s="7"/>
      <c r="E40" s="7">
        <f t="shared" si="2"/>
        <v>90</v>
      </c>
      <c r="F40" s="6" t="str">
        <f>IF(F13="","",(_xlfn.XLOOKUP(F13,道具表!$B:$B,道具表!$C:$C)&amp;"|"&amp;_xlfn.XLOOKUP(F13,道具表!$B:$B,道具表!$A:$A)&amp;"|"))</f>
        <v>1|10009|</v>
      </c>
      <c r="G40" s="7" t="str">
        <f t="shared" si="3"/>
        <v>2,</v>
      </c>
      <c r="H40" s="6" t="str">
        <f>IF(H13="","",(_xlfn.XLOOKUP(H13,道具表!$B:$B,道具表!$C:$C)&amp;"|"&amp;_xlfn.XLOOKUP(H13,道具表!$B:$B,道具表!$A:$A)&amp;"|"))</f>
        <v>1|10009|</v>
      </c>
      <c r="I40" s="7" t="str">
        <f t="shared" si="1"/>
        <v>15,</v>
      </c>
      <c r="J40" s="6" t="str">
        <f>IF(J13="","",(_xlfn.XLOOKUP(J13,道具表!$B:$B,道具表!$C:$C)&amp;"|"&amp;_xlfn.XLOOKUP(J13,道具表!$B:$B,道具表!$A:$A)&amp;"|"))</f>
        <v/>
      </c>
      <c r="K40" s="7"/>
      <c r="L40" s="7"/>
      <c r="M40" s="7"/>
      <c r="N40" s="19" t="str">
        <f t="shared" si="4"/>
        <v>1|10009|2</v>
      </c>
      <c r="O40" s="20" t="str">
        <f t="shared" si="5"/>
        <v>1|10009|15</v>
      </c>
    </row>
    <row r="41" ht="15.6" spans="4:15">
      <c r="D41" s="7"/>
      <c r="E41" s="7">
        <f t="shared" si="2"/>
        <v>100</v>
      </c>
      <c r="F41" s="6" t="str">
        <f>IF(F14="","",(_xlfn.XLOOKUP(F14,道具表!$B:$B,道具表!$C:$C)&amp;"|"&amp;_xlfn.XLOOKUP(F14,道具表!$B:$B,道具表!$A:$A)&amp;"|"))</f>
        <v>1|10009|</v>
      </c>
      <c r="G41" s="7" t="str">
        <f t="shared" si="3"/>
        <v>2,</v>
      </c>
      <c r="H41" s="6" t="str">
        <f>IF(H14="","",(_xlfn.XLOOKUP(H14,道具表!$B:$B,道具表!$C:$C)&amp;"|"&amp;_xlfn.XLOOKUP(H14,道具表!$B:$B,道具表!$A:$A)&amp;"|"))</f>
        <v>1|10009|</v>
      </c>
      <c r="I41" s="7" t="str">
        <f t="shared" si="1"/>
        <v>15,</v>
      </c>
      <c r="J41" s="6" t="str">
        <f>IF(J14="","",(_xlfn.XLOOKUP(J14,道具表!$B:$B,道具表!$C:$C)&amp;"|"&amp;_xlfn.XLOOKUP(J14,道具表!$B:$B,道具表!$A:$A)&amp;"|"))</f>
        <v/>
      </c>
      <c r="K41" s="7"/>
      <c r="L41" s="7"/>
      <c r="M41" s="7"/>
      <c r="N41" s="19" t="str">
        <f t="shared" si="4"/>
        <v>1|10009|2</v>
      </c>
      <c r="O41" s="20" t="str">
        <f t="shared" si="5"/>
        <v>1|10009|15</v>
      </c>
    </row>
    <row r="42" ht="15.6" spans="4:15">
      <c r="D42" s="7"/>
      <c r="E42" s="7">
        <f t="shared" si="2"/>
        <v>110</v>
      </c>
      <c r="F42" s="6" t="str">
        <f>IF(F15="","",(_xlfn.XLOOKUP(F15,道具表!$B:$B,道具表!$C:$C)&amp;"|"&amp;_xlfn.XLOOKUP(F15,道具表!$B:$B,道具表!$A:$A)&amp;"|"))</f>
        <v>1|10009|</v>
      </c>
      <c r="G42" s="7" t="str">
        <f t="shared" si="3"/>
        <v>2,</v>
      </c>
      <c r="H42" s="6" t="str">
        <f>IF(H15="","",(_xlfn.XLOOKUP(H15,道具表!$B:$B,道具表!$C:$C)&amp;"|"&amp;_xlfn.XLOOKUP(H15,道具表!$B:$B,道具表!$A:$A)&amp;"|"))</f>
        <v>1|10009|</v>
      </c>
      <c r="I42" s="7" t="str">
        <f t="shared" si="1"/>
        <v>15,</v>
      </c>
      <c r="J42" s="6" t="str">
        <f>IF(J15="","",(_xlfn.XLOOKUP(J15,道具表!$B:$B,道具表!$C:$C)&amp;"|"&amp;_xlfn.XLOOKUP(J15,道具表!$B:$B,道具表!$A:$A)&amp;"|"))</f>
        <v/>
      </c>
      <c r="K42" s="7"/>
      <c r="L42" s="7"/>
      <c r="M42" s="7"/>
      <c r="N42" s="19" t="str">
        <f t="shared" si="4"/>
        <v>1|10009|2</v>
      </c>
      <c r="O42" s="20" t="str">
        <f t="shared" si="5"/>
        <v>1|10009|15</v>
      </c>
    </row>
    <row r="43" ht="15.6" spans="4:15">
      <c r="D43" s="7"/>
      <c r="E43" s="7">
        <f t="shared" si="2"/>
        <v>120</v>
      </c>
      <c r="F43" s="6" t="str">
        <f>IF(F16="","",(_xlfn.XLOOKUP(F16,道具表!$B:$B,道具表!$C:$C)&amp;"|"&amp;_xlfn.XLOOKUP(F16,道具表!$B:$B,道具表!$A:$A)&amp;"|"))</f>
        <v>1|10009|</v>
      </c>
      <c r="G43" s="7" t="str">
        <f t="shared" si="3"/>
        <v>2,</v>
      </c>
      <c r="H43" s="6" t="str">
        <f>IF(H16="","",(_xlfn.XLOOKUP(H16,道具表!$B:$B,道具表!$C:$C)&amp;"|"&amp;_xlfn.XLOOKUP(H16,道具表!$B:$B,道具表!$A:$A)&amp;"|"))</f>
        <v>1|10009|</v>
      </c>
      <c r="I43" s="7" t="str">
        <f t="shared" si="1"/>
        <v>15,</v>
      </c>
      <c r="J43" s="6" t="str">
        <f>IF(J16="","",(_xlfn.XLOOKUP(J16,道具表!$B:$B,道具表!$C:$C)&amp;"|"&amp;_xlfn.XLOOKUP(J16,道具表!$B:$B,道具表!$A:$A)&amp;"|"))</f>
        <v/>
      </c>
      <c r="K43" s="7"/>
      <c r="L43" s="7"/>
      <c r="M43" s="7"/>
      <c r="N43" s="19" t="str">
        <f t="shared" si="4"/>
        <v>1|10009|2</v>
      </c>
      <c r="O43" s="20" t="str">
        <f t="shared" si="5"/>
        <v>1|10009|15</v>
      </c>
    </row>
    <row r="44" ht="15.6" spans="4:15">
      <c r="D44" s="21"/>
      <c r="E44" s="7">
        <f t="shared" si="2"/>
        <v>130</v>
      </c>
      <c r="F44" s="6" t="str">
        <f>IF(F17="","",(_xlfn.XLOOKUP(F17,道具表!$B:$B,道具表!$C:$C)&amp;"|"&amp;_xlfn.XLOOKUP(F17,道具表!$B:$B,道具表!$A:$A)&amp;"|"))</f>
        <v>1|10009|</v>
      </c>
      <c r="G44" s="7" t="str">
        <f t="shared" si="3"/>
        <v>2,</v>
      </c>
      <c r="H44" s="6" t="str">
        <f>IF(H17="","",(_xlfn.XLOOKUP(H17,道具表!$B:$B,道具表!$C:$C)&amp;"|"&amp;_xlfn.XLOOKUP(H17,道具表!$B:$B,道具表!$A:$A)&amp;"|"))</f>
        <v>1|10009|</v>
      </c>
      <c r="I44" s="7" t="str">
        <f t="shared" si="1"/>
        <v>20,</v>
      </c>
      <c r="J44" s="6" t="str">
        <f>IF(J17="","",(_xlfn.XLOOKUP(J17,道具表!$B:$B,道具表!$C:$C)&amp;"|"&amp;_xlfn.XLOOKUP(J17,道具表!$B:$B,道具表!$A:$A)&amp;"|"))</f>
        <v/>
      </c>
      <c r="K44" s="7"/>
      <c r="L44" s="7"/>
      <c r="M44" s="7"/>
      <c r="N44" s="19" t="str">
        <f t="shared" si="4"/>
        <v>1|10009|2</v>
      </c>
      <c r="O44" s="20" t="str">
        <f t="shared" si="5"/>
        <v>1|10009|20</v>
      </c>
    </row>
    <row r="45" ht="15.6" spans="4:15">
      <c r="D45" s="21"/>
      <c r="E45" s="7">
        <f t="shared" si="2"/>
        <v>140</v>
      </c>
      <c r="F45" s="6" t="str">
        <f>IF(F18="","",(_xlfn.XLOOKUP(F18,道具表!$B:$B,道具表!$C:$C)&amp;"|"&amp;_xlfn.XLOOKUP(F18,道具表!$B:$B,道具表!$A:$A)&amp;"|"))</f>
        <v>1|10009|</v>
      </c>
      <c r="G45" s="7" t="str">
        <f t="shared" si="3"/>
        <v>2,</v>
      </c>
      <c r="H45" s="6" t="str">
        <f>IF(H18="","",(_xlfn.XLOOKUP(H18,道具表!$B:$B,道具表!$C:$C)&amp;"|"&amp;_xlfn.XLOOKUP(H18,道具表!$B:$B,道具表!$A:$A)&amp;"|"))</f>
        <v>1|10009|</v>
      </c>
      <c r="I45" s="7" t="str">
        <f t="shared" si="1"/>
        <v>20,</v>
      </c>
      <c r="J45" s="6" t="str">
        <f>IF(J18="","",(_xlfn.XLOOKUP(J18,道具表!$B:$B,道具表!$C:$C)&amp;"|"&amp;_xlfn.XLOOKUP(J18,道具表!$B:$B,道具表!$A:$A)&amp;"|"))</f>
        <v/>
      </c>
      <c r="K45" s="7"/>
      <c r="L45" s="7"/>
      <c r="M45" s="7"/>
      <c r="N45" s="19" t="str">
        <f t="shared" si="4"/>
        <v>1|10009|2</v>
      </c>
      <c r="O45" s="20" t="str">
        <f t="shared" si="5"/>
        <v>1|10009|20</v>
      </c>
    </row>
    <row r="46" ht="15.6" spans="4:15">
      <c r="D46" s="21"/>
      <c r="E46" s="7">
        <f t="shared" si="2"/>
        <v>150</v>
      </c>
      <c r="F46" s="6" t="str">
        <f>IF(F19="","",(_xlfn.XLOOKUP(F19,道具表!$B:$B,道具表!$C:$C)&amp;"|"&amp;_xlfn.XLOOKUP(F19,道具表!$B:$B,道具表!$A:$A)&amp;"|"))</f>
        <v>1|10009|</v>
      </c>
      <c r="G46" s="7" t="str">
        <f t="shared" si="3"/>
        <v>2,</v>
      </c>
      <c r="H46" s="6" t="str">
        <f>IF(H19="","",(_xlfn.XLOOKUP(H19,道具表!$B:$B,道具表!$C:$C)&amp;"|"&amp;_xlfn.XLOOKUP(H19,道具表!$B:$B,道具表!$A:$A)&amp;"|"))</f>
        <v>1|10009|</v>
      </c>
      <c r="I46" s="7" t="str">
        <f t="shared" si="1"/>
        <v>20,</v>
      </c>
      <c r="J46" s="6" t="str">
        <f>IF(J19="","",(_xlfn.XLOOKUP(J19,道具表!$B:$B,道具表!$C:$C)&amp;"|"&amp;_xlfn.XLOOKUP(J19,道具表!$B:$B,道具表!$A:$A)&amp;"|"))</f>
        <v/>
      </c>
      <c r="K46" s="7"/>
      <c r="L46" s="7"/>
      <c r="M46" s="7"/>
      <c r="N46" s="19" t="str">
        <f t="shared" si="4"/>
        <v>1|10009|2</v>
      </c>
      <c r="O46" s="20" t="str">
        <f t="shared" si="5"/>
        <v>1|10009|20</v>
      </c>
    </row>
    <row r="47" ht="15.6" spans="4:15">
      <c r="D47" s="21"/>
      <c r="E47" s="7">
        <f t="shared" si="2"/>
        <v>160</v>
      </c>
      <c r="F47" s="6" t="str">
        <f>IF(F20="","",(_xlfn.XLOOKUP(F20,道具表!$B:$B,道具表!$C:$C)&amp;"|"&amp;_xlfn.XLOOKUP(F20,道具表!$B:$B,道具表!$A:$A)&amp;"|"))</f>
        <v>1|10009|</v>
      </c>
      <c r="G47" s="7" t="str">
        <f t="shared" si="3"/>
        <v>2,</v>
      </c>
      <c r="H47" s="6" t="str">
        <f>IF(H20="","",(_xlfn.XLOOKUP(H20,道具表!$B:$B,道具表!$C:$C)&amp;"|"&amp;_xlfn.XLOOKUP(H20,道具表!$B:$B,道具表!$A:$A)&amp;"|"))</f>
        <v>1|10009|</v>
      </c>
      <c r="I47" s="7" t="str">
        <f t="shared" si="1"/>
        <v>20,</v>
      </c>
      <c r="J47" s="6" t="str">
        <f>IF(J20="","",(_xlfn.XLOOKUP(J20,道具表!$B:$B,道具表!$C:$C)&amp;"|"&amp;_xlfn.XLOOKUP(J20,道具表!$B:$B,道具表!$A:$A)&amp;"|"))</f>
        <v/>
      </c>
      <c r="K47" s="7"/>
      <c r="L47" s="7"/>
      <c r="M47" s="7"/>
      <c r="N47" s="19" t="str">
        <f t="shared" si="4"/>
        <v>1|10009|2</v>
      </c>
      <c r="O47" s="20" t="str">
        <f t="shared" si="5"/>
        <v>1|10009|20</v>
      </c>
    </row>
    <row r="48" ht="15.6" spans="4:15">
      <c r="D48" s="21"/>
      <c r="E48" s="7">
        <f t="shared" si="2"/>
        <v>170</v>
      </c>
      <c r="F48" s="6" t="str">
        <f>IF(F21="","",(_xlfn.XLOOKUP(F21,道具表!$B:$B,道具表!$C:$C)&amp;"|"&amp;_xlfn.XLOOKUP(F21,道具表!$B:$B,道具表!$A:$A)&amp;"|"))</f>
        <v>1|10009|</v>
      </c>
      <c r="G48" s="7" t="str">
        <f t="shared" si="3"/>
        <v>2,</v>
      </c>
      <c r="H48" s="6" t="str">
        <f>IF(H21="","",(_xlfn.XLOOKUP(H21,道具表!$B:$B,道具表!$C:$C)&amp;"|"&amp;_xlfn.XLOOKUP(H21,道具表!$B:$B,道具表!$A:$A)&amp;"|"))</f>
        <v>1|10009|</v>
      </c>
      <c r="I48" s="7" t="str">
        <f t="shared" si="1"/>
        <v>20,</v>
      </c>
      <c r="J48" s="6" t="str">
        <f>IF(J21="","",(_xlfn.XLOOKUP(J21,道具表!$B:$B,道具表!$C:$C)&amp;"|"&amp;_xlfn.XLOOKUP(J21,道具表!$B:$B,道具表!$A:$A)&amp;"|"))</f>
        <v/>
      </c>
      <c r="K48" s="7"/>
      <c r="L48" s="7"/>
      <c r="M48" s="7"/>
      <c r="N48" s="19" t="str">
        <f t="shared" si="4"/>
        <v>1|10009|2</v>
      </c>
      <c r="O48" s="20" t="str">
        <f t="shared" si="5"/>
        <v>1|10009|20</v>
      </c>
    </row>
    <row r="49" ht="15.6" spans="4:15">
      <c r="D49" s="21"/>
      <c r="E49" s="7">
        <f t="shared" si="2"/>
        <v>180</v>
      </c>
      <c r="F49" s="6" t="str">
        <f>IF(F22="","",(_xlfn.XLOOKUP(F22,道具表!$B:$B,道具表!$C:$C)&amp;"|"&amp;_xlfn.XLOOKUP(F22,道具表!$B:$B,道具表!$A:$A)&amp;"|"))</f>
        <v>1|10009|</v>
      </c>
      <c r="G49" s="7" t="str">
        <f t="shared" si="3"/>
        <v>2,</v>
      </c>
      <c r="H49" s="6" t="str">
        <f>IF(H22="","",(_xlfn.XLOOKUP(H22,道具表!$B:$B,道具表!$C:$C)&amp;"|"&amp;_xlfn.XLOOKUP(H22,道具表!$B:$B,道具表!$A:$A)&amp;"|"))</f>
        <v>1|10009|</v>
      </c>
      <c r="I49" s="7" t="str">
        <f t="shared" si="1"/>
        <v>30,</v>
      </c>
      <c r="J49" s="6" t="str">
        <f>IF(J22="","",(_xlfn.XLOOKUP(J22,道具表!$B:$B,道具表!$C:$C)&amp;"|"&amp;_xlfn.XLOOKUP(J22,道具表!$B:$B,道具表!$A:$A)&amp;"|"))</f>
        <v/>
      </c>
      <c r="K49" s="7"/>
      <c r="L49" s="7"/>
      <c r="M49" s="7"/>
      <c r="N49" s="19" t="str">
        <f t="shared" si="4"/>
        <v>1|10009|2</v>
      </c>
      <c r="O49" s="20" t="str">
        <f t="shared" si="5"/>
        <v>1|10009|30</v>
      </c>
    </row>
    <row r="50" ht="15.6" spans="4:15">
      <c r="D50" s="21"/>
      <c r="E50" s="7">
        <f t="shared" si="2"/>
        <v>190</v>
      </c>
      <c r="F50" s="6" t="str">
        <f>IF(F23="","",(_xlfn.XLOOKUP(F23,道具表!$B:$B,道具表!$C:$C)&amp;"|"&amp;_xlfn.XLOOKUP(F23,道具表!$B:$B,道具表!$A:$A)&amp;"|"))</f>
        <v>1|10009|</v>
      </c>
      <c r="G50" s="7" t="str">
        <f>IF(G23="","",G23&amp;",")</f>
        <v>2,</v>
      </c>
      <c r="H50" s="6" t="str">
        <f>IF(H23="","",(_xlfn.XLOOKUP(H23,道具表!$B:$B,道具表!$C:$C)&amp;"|"&amp;_xlfn.XLOOKUP(H23,道具表!$B:$B,道具表!$A:$A)&amp;"|"))</f>
        <v>1|10009|</v>
      </c>
      <c r="I50" s="7" t="str">
        <f>IF(I23="","",I23&amp;",")</f>
        <v>30,</v>
      </c>
      <c r="J50" s="6" t="str">
        <f>IF(J23="","",(_xlfn.XLOOKUP(J23,道具表!$B:$B,道具表!$C:$C)&amp;"|"&amp;_xlfn.XLOOKUP(J23,道具表!$B:$B,道具表!$A:$A)&amp;"|"))</f>
        <v/>
      </c>
      <c r="K50" s="7"/>
      <c r="L50" s="7"/>
      <c r="M50" s="7"/>
      <c r="N50" s="19" t="str">
        <f>LEFT(F50&amp;G50,LEN(F50&amp;G50)-1)</f>
        <v>1|10009|2</v>
      </c>
      <c r="O50" s="20" t="str">
        <f>LEFT(H50&amp;I50&amp;J50&amp;K50,LEN(H50&amp;I50&amp;J50&amp;K50)-1)</f>
        <v>1|10009|30</v>
      </c>
    </row>
    <row r="51" ht="15.6" spans="4:15">
      <c r="D51" s="21"/>
      <c r="E51" s="7">
        <f t="shared" si="2"/>
        <v>200</v>
      </c>
      <c r="F51" s="6" t="str">
        <f>IF(F24="","",(_xlfn.XLOOKUP(F24,道具表!$B:$B,道具表!$C:$C)&amp;"|"&amp;_xlfn.XLOOKUP(F24,道具表!$B:$B,道具表!$A:$A)&amp;"|"))</f>
        <v>1|10009|</v>
      </c>
      <c r="G51" s="7" t="str">
        <f>IF(G24="","",G24&amp;",")</f>
        <v>2,</v>
      </c>
      <c r="H51" s="6" t="str">
        <f>IF(H24="","",(_xlfn.XLOOKUP(H24,道具表!$B:$B,道具表!$C:$C)&amp;"|"&amp;_xlfn.XLOOKUP(H24,道具表!$B:$B,道具表!$A:$A)&amp;"|"))</f>
        <v>1|10009|</v>
      </c>
      <c r="I51" s="7" t="str">
        <f>IF(I24="","",I24&amp;",")</f>
        <v>30,</v>
      </c>
      <c r="J51" s="6" t="str">
        <f>IF(J24="","",(_xlfn.XLOOKUP(J24,道具表!$B:$B,道具表!$C:$C)&amp;"|"&amp;_xlfn.XLOOKUP(J24,道具表!$B:$B,道具表!$A:$A)&amp;"|"))</f>
        <v/>
      </c>
      <c r="K51" s="7"/>
      <c r="L51" s="7"/>
      <c r="M51" s="7"/>
      <c r="N51" s="19" t="str">
        <f>LEFT(F51&amp;G51,LEN(F51&amp;G51)-1)</f>
        <v>1|10009|2</v>
      </c>
      <c r="O51" s="20" t="str">
        <f>LEFT(H51&amp;I51&amp;J51&amp;K51,LEN(H51&amp;I51&amp;J51&amp;K51)-1)</f>
        <v>1|10009|30</v>
      </c>
    </row>
    <row r="52" ht="15.6" spans="4:15">
      <c r="D52" s="21"/>
      <c r="E52" s="7">
        <f t="shared" si="2"/>
        <v>210</v>
      </c>
      <c r="F52" s="6" t="str">
        <f>IF(F25="","",(_xlfn.XLOOKUP(F25,道具表!$B:$B,道具表!$C:$C)&amp;"|"&amp;_xlfn.XLOOKUP(F25,道具表!$B:$B,道具表!$A:$A)&amp;"|"))</f>
        <v>1|10009|</v>
      </c>
      <c r="G52" s="7" t="str">
        <f>IF(G25="","",G25&amp;",")</f>
        <v>2,</v>
      </c>
      <c r="H52" s="6" t="str">
        <f>IF(H25="","",(_xlfn.XLOOKUP(H25,道具表!$B:$B,道具表!$C:$C)&amp;"|"&amp;_xlfn.XLOOKUP(H25,道具表!$B:$B,道具表!$A:$A)&amp;"|"))</f>
        <v>1|10009|</v>
      </c>
      <c r="I52" s="7" t="str">
        <f>IF(I25="","",I25&amp;",")</f>
        <v>40,</v>
      </c>
      <c r="J52" s="6" t="str">
        <f>IF(J25="","",(_xlfn.XLOOKUP(J25,道具表!$B:$B,道具表!$C:$C)&amp;"|"&amp;_xlfn.XLOOKUP(J25,道具表!$B:$B,道具表!$A:$A)&amp;"|"))</f>
        <v/>
      </c>
      <c r="K52" s="7"/>
      <c r="L52" s="7"/>
      <c r="M52" s="7"/>
      <c r="N52" s="19" t="str">
        <f>LEFT(F52&amp;G52,LEN(F52&amp;G52)-1)</f>
        <v>1|10009|2</v>
      </c>
      <c r="O52" s="20" t="str">
        <f>LEFT(H52&amp;I52&amp;J52&amp;K52,LEN(H52&amp;I52&amp;J52&amp;K52)-1)</f>
        <v>1|10009|40</v>
      </c>
    </row>
    <row r="53" ht="15.6" spans="4:15">
      <c r="D53" s="21"/>
      <c r="E53" s="7">
        <f t="shared" si="2"/>
        <v>220</v>
      </c>
      <c r="F53" s="6" t="str">
        <f>IF(F26="","",(_xlfn.XLOOKUP(F26,道具表!$B:$B,道具表!$C:$C)&amp;"|"&amp;_xlfn.XLOOKUP(F26,道具表!$B:$B,道具表!$A:$A)&amp;"|"))</f>
        <v>1|10009|</v>
      </c>
      <c r="G53" s="7" t="str">
        <f>IF(G26="","",G26&amp;",")</f>
        <v>2,</v>
      </c>
      <c r="H53" s="6" t="str">
        <f>IF(H26="","",(_xlfn.XLOOKUP(H26,道具表!$B:$B,道具表!$C:$C)&amp;"|"&amp;_xlfn.XLOOKUP(H26,道具表!$B:$B,道具表!$A:$A)&amp;"|"))</f>
        <v>1|10009|</v>
      </c>
      <c r="I53" s="7" t="str">
        <f>IF(I26="","",I26&amp;",")</f>
        <v>50,</v>
      </c>
      <c r="J53" s="6" t="str">
        <f>IF(J26="","",(_xlfn.XLOOKUP(J26,道具表!$B:$B,道具表!$C:$C)&amp;"|"&amp;_xlfn.XLOOKUP(J26,道具表!$B:$B,道具表!$A:$A)&amp;"|"))</f>
        <v/>
      </c>
      <c r="K53" s="7"/>
      <c r="L53" s="7"/>
      <c r="M53" s="7"/>
      <c r="N53" s="19" t="str">
        <f>LEFT(F53&amp;G53,LEN(F53&amp;G53)-1)</f>
        <v>1|10009|2</v>
      </c>
      <c r="O53" s="20" t="str">
        <f>LEFT(H53&amp;I53&amp;J53&amp;K53,LEN(H53&amp;I53&amp;J53&amp;K53)-1)</f>
        <v>1|10009|50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Q40"/>
  <sheetViews>
    <sheetView topLeftCell="B13" workbookViewId="0">
      <selection activeCell="L24" sqref="L24"/>
    </sheetView>
  </sheetViews>
  <sheetFormatPr defaultColWidth="8.88888888888889" defaultRowHeight="14.4"/>
  <cols>
    <col min="4" max="4" width="15.8888888888889" customWidth="1"/>
    <col min="6" max="6" width="10.1111111111111"/>
    <col min="12" max="12" width="34" customWidth="1"/>
    <col min="14" max="14" width="29.7777777777778" customWidth="1"/>
  </cols>
  <sheetData>
    <row r="2" spans="15:15">
      <c r="O2" t="s">
        <v>334</v>
      </c>
    </row>
    <row r="3" spans="15:15">
      <c r="O3" t="s">
        <v>335</v>
      </c>
    </row>
    <row r="4" spans="15:15">
      <c r="O4" t="s">
        <v>336</v>
      </c>
    </row>
    <row r="6" spans="6:6">
      <c r="F6" s="7"/>
    </row>
    <row r="9" ht="15.6" spans="4:17">
      <c r="D9" s="7" t="s">
        <v>337</v>
      </c>
      <c r="E9" s="7" t="s">
        <v>338</v>
      </c>
      <c r="F9" s="7" t="s">
        <v>322</v>
      </c>
      <c r="G9" s="7" t="s">
        <v>323</v>
      </c>
      <c r="H9" s="7" t="s">
        <v>322</v>
      </c>
      <c r="I9" s="7" t="s">
        <v>323</v>
      </c>
      <c r="J9" s="7" t="s">
        <v>322</v>
      </c>
      <c r="K9" s="7" t="s">
        <v>323</v>
      </c>
      <c r="L9" s="6" t="s">
        <v>339</v>
      </c>
      <c r="M9" s="6" t="s">
        <v>340</v>
      </c>
      <c r="N9" s="6" t="s">
        <v>340</v>
      </c>
      <c r="O9" s="6" t="s">
        <v>341</v>
      </c>
      <c r="P9" s="6" t="s">
        <v>342</v>
      </c>
      <c r="Q9" s="10" t="s">
        <v>343</v>
      </c>
    </row>
    <row r="10" ht="15.6" spans="4:17">
      <c r="D10" s="7" t="s">
        <v>344</v>
      </c>
      <c r="E10" s="7">
        <v>6</v>
      </c>
      <c r="F10" s="7" t="s">
        <v>70</v>
      </c>
      <c r="G10" s="7">
        <v>1</v>
      </c>
      <c r="H10" s="7" t="s">
        <v>6</v>
      </c>
      <c r="I10" s="7">
        <v>120</v>
      </c>
      <c r="J10" s="7" t="s">
        <v>5</v>
      </c>
      <c r="K10" s="7">
        <v>30000</v>
      </c>
      <c r="L10" s="6">
        <f>_xlfn.XLOOKUP(F10,道具表!$B:$B,道具表!$E:$E)</f>
        <v>0</v>
      </c>
      <c r="M10" s="6">
        <f>_xlfn.XLOOKUP(H10,道具表!$B:$B,道具表!$E:$E)</f>
        <v>1</v>
      </c>
      <c r="N10" s="6">
        <f>_xlfn.XLOOKUP(J10,道具表!$B:$B,道具表!$E:$E)</f>
        <v>0.004</v>
      </c>
      <c r="O10" s="6">
        <f>L10*G10+M10*I10+N10*K10</f>
        <v>240</v>
      </c>
      <c r="P10" s="11">
        <f>O10/(E10*10)</f>
        <v>4</v>
      </c>
      <c r="Q10" s="12">
        <f t="shared" ref="Q10:Q14" si="0">10/P10</f>
        <v>2.5</v>
      </c>
    </row>
    <row r="11" ht="15.6" spans="4:17">
      <c r="D11" s="7" t="s">
        <v>345</v>
      </c>
      <c r="E11" s="7">
        <v>18</v>
      </c>
      <c r="F11" s="7" t="s">
        <v>74</v>
      </c>
      <c r="G11" s="7">
        <v>1</v>
      </c>
      <c r="H11" s="7" t="s">
        <v>6</v>
      </c>
      <c r="I11" s="7">
        <v>360</v>
      </c>
      <c r="J11" s="7" t="s">
        <v>9</v>
      </c>
      <c r="K11" s="7">
        <v>500</v>
      </c>
      <c r="L11" s="6">
        <f>_xlfn.XLOOKUP(F11,道具表!$B:$B,道具表!$E:$E)</f>
        <v>0</v>
      </c>
      <c r="M11" s="6">
        <f>_xlfn.XLOOKUP(H11,道具表!$B:$B,道具表!$E:$E)</f>
        <v>1</v>
      </c>
      <c r="N11" s="6">
        <f>_xlfn.XLOOKUP(J11,道具表!$B:$B,道具表!$E:$E)</f>
        <v>1</v>
      </c>
      <c r="O11" s="6">
        <f>L11*G11+M11*I11+N11*K11</f>
        <v>860</v>
      </c>
      <c r="P11" s="11">
        <f>O11/(E11*10)</f>
        <v>4.77777777777778</v>
      </c>
      <c r="Q11" s="12">
        <f t="shared" si="0"/>
        <v>2.09302325581395</v>
      </c>
    </row>
    <row r="12" ht="15.6" spans="4:17">
      <c r="D12" s="7" t="s">
        <v>346</v>
      </c>
      <c r="E12" s="7">
        <v>30</v>
      </c>
      <c r="F12" s="7" t="s">
        <v>72</v>
      </c>
      <c r="G12" s="7">
        <v>1</v>
      </c>
      <c r="H12" s="7" t="s">
        <v>6</v>
      </c>
      <c r="I12" s="7">
        <v>600</v>
      </c>
      <c r="J12" s="7" t="s">
        <v>9</v>
      </c>
      <c r="K12" s="7">
        <v>800</v>
      </c>
      <c r="L12" s="6">
        <f>_xlfn.XLOOKUP(F12,道具表!$B:$B,道具表!$E:$E)</f>
        <v>0</v>
      </c>
      <c r="M12" s="6">
        <f>_xlfn.XLOOKUP(H12,道具表!$B:$B,道具表!$E:$E)</f>
        <v>1</v>
      </c>
      <c r="N12" s="6">
        <f>_xlfn.XLOOKUP(J12,道具表!$B:$B,道具表!$E:$E)</f>
        <v>1</v>
      </c>
      <c r="O12" s="6">
        <f>L12*G12+M12*I12+N12*K12</f>
        <v>1400</v>
      </c>
      <c r="P12" s="11">
        <f>O12/(E12*10)</f>
        <v>4.66666666666667</v>
      </c>
      <c r="Q12" s="12">
        <f t="shared" si="0"/>
        <v>2.14285714285714</v>
      </c>
    </row>
    <row r="13" ht="15.6" spans="4:17">
      <c r="D13" s="7" t="s">
        <v>347</v>
      </c>
      <c r="E13" s="7">
        <v>68</v>
      </c>
      <c r="F13" s="7" t="s">
        <v>42</v>
      </c>
      <c r="G13" s="7">
        <v>60</v>
      </c>
      <c r="H13" s="7" t="s">
        <v>6</v>
      </c>
      <c r="I13" s="7">
        <v>1360</v>
      </c>
      <c r="J13" s="7" t="s">
        <v>5</v>
      </c>
      <c r="K13" s="7">
        <v>200000</v>
      </c>
      <c r="L13" s="6">
        <f>_xlfn.XLOOKUP(F13,道具表!$B:$B,道具表!$E:$E)</f>
        <v>40</v>
      </c>
      <c r="M13" s="6">
        <f>_xlfn.XLOOKUP(H13,道具表!$B:$B,道具表!$E:$E)</f>
        <v>1</v>
      </c>
      <c r="N13" s="6">
        <f>_xlfn.XLOOKUP(J13,道具表!$B:$B,道具表!$E:$E)</f>
        <v>0.004</v>
      </c>
      <c r="O13" s="6">
        <f>L13*G13+M13*I13+N13*K13</f>
        <v>4560</v>
      </c>
      <c r="P13" s="11">
        <f>O13/(E13*10)</f>
        <v>6.70588235294118</v>
      </c>
      <c r="Q13" s="12">
        <f t="shared" si="0"/>
        <v>1.49122807017544</v>
      </c>
    </row>
    <row r="14" ht="15.6" spans="4:17">
      <c r="D14" s="7" t="s">
        <v>348</v>
      </c>
      <c r="E14" s="7">
        <v>98</v>
      </c>
      <c r="F14" s="7" t="s">
        <v>48</v>
      </c>
      <c r="G14" s="7">
        <v>40</v>
      </c>
      <c r="H14" s="7" t="s">
        <v>6</v>
      </c>
      <c r="I14" s="7">
        <v>1800</v>
      </c>
      <c r="J14" s="7" t="s">
        <v>41</v>
      </c>
      <c r="K14" s="7">
        <v>12</v>
      </c>
      <c r="L14" s="6">
        <f>_xlfn.XLOOKUP(F14,道具表!$B:$B,道具表!$E:$E)</f>
        <v>102</v>
      </c>
      <c r="M14" s="6">
        <f>_xlfn.XLOOKUP(H14,道具表!$B:$B,道具表!$E:$E)</f>
        <v>1</v>
      </c>
      <c r="N14" s="6">
        <f>_xlfn.XLOOKUP(J14,道具表!$B:$B,道具表!$E:$E)</f>
        <v>100</v>
      </c>
      <c r="O14" s="6">
        <f>L14*G14+M14*I14+N14*K14</f>
        <v>7080</v>
      </c>
      <c r="P14" s="11">
        <f>O14/(E14*10)</f>
        <v>7.22448979591837</v>
      </c>
      <c r="Q14" s="12">
        <f t="shared" si="0"/>
        <v>1.38418079096045</v>
      </c>
    </row>
    <row r="18" spans="4:12">
      <c r="D18" s="7" t="str">
        <f t="shared" ref="D18:D23" si="1">D9</f>
        <v>名称</v>
      </c>
      <c r="E18" s="7" t="str">
        <f t="shared" ref="E18:E23" si="2">E9</f>
        <v>价格</v>
      </c>
      <c r="F18" s="7" t="s">
        <v>322</v>
      </c>
      <c r="G18" s="7" t="s">
        <v>323</v>
      </c>
      <c r="H18" s="7" t="s">
        <v>322</v>
      </c>
      <c r="I18" s="7" t="s">
        <v>323</v>
      </c>
      <c r="J18" s="7" t="s">
        <v>322</v>
      </c>
      <c r="K18" s="7" t="s">
        <v>323</v>
      </c>
      <c r="L18" s="7" t="s">
        <v>327</v>
      </c>
    </row>
    <row r="19" ht="15.6" spans="4:12">
      <c r="D19" s="7" t="str">
        <f t="shared" si="1"/>
        <v>新服头盔礼包</v>
      </c>
      <c r="E19" s="7">
        <f t="shared" si="2"/>
        <v>6</v>
      </c>
      <c r="F19" s="6" t="str">
        <f>_xlfn.XLOOKUP(F10,道具表!$B:$B,道具表!$C:$C)&amp;"|"&amp;_xlfn.XLOOKUP(F10,道具表!$B:$B,道具表!$A:$A)&amp;"|"</f>
        <v>2|90061|</v>
      </c>
      <c r="G19" s="7">
        <f>G10</f>
        <v>1</v>
      </c>
      <c r="H19" s="6" t="str">
        <f>_xlfn.XLOOKUP(H10,道具表!$B:$B,道具表!$C:$C)&amp;"|"&amp;_xlfn.XLOOKUP(H10,道具表!$B:$B,道具表!$A:$A)&amp;"|"</f>
        <v>1|2|</v>
      </c>
      <c r="I19" s="7">
        <f t="shared" ref="I19:I23" si="3">I10</f>
        <v>120</v>
      </c>
      <c r="J19" s="6" t="str">
        <f>_xlfn.XLOOKUP(J10,道具表!$B:$B,道具表!$C:$C)&amp;"|"&amp;_xlfn.XLOOKUP(J10,道具表!$B:$B,道具表!$A:$A)&amp;"|"</f>
        <v>1|1|</v>
      </c>
      <c r="K19" s="7">
        <f t="shared" ref="K19:K23" si="4">K10</f>
        <v>30000</v>
      </c>
      <c r="L19" s="13" t="str">
        <f>F19&amp;G19&amp;","&amp;H19&amp;I19&amp;","&amp;J19&amp;K19</f>
        <v>2|90061|1,1|2|120,1|1|30000</v>
      </c>
    </row>
    <row r="20" ht="15.6" spans="4:12">
      <c r="D20" s="7" t="str">
        <f t="shared" si="1"/>
        <v>新服盾牌礼包</v>
      </c>
      <c r="E20" s="7">
        <f t="shared" si="2"/>
        <v>18</v>
      </c>
      <c r="F20" s="6" t="str">
        <f>_xlfn.XLOOKUP(F11,道具表!$B:$B,道具表!$C:$C)&amp;"|"&amp;_xlfn.XLOOKUP(F11,道具表!$B:$B,道具表!$A:$A)&amp;"|"</f>
        <v>2|90063|</v>
      </c>
      <c r="G20" s="7">
        <f>G11</f>
        <v>1</v>
      </c>
      <c r="H20" s="6" t="str">
        <f>_xlfn.XLOOKUP(H11,道具表!$B:$B,道具表!$C:$C)&amp;"|"&amp;_xlfn.XLOOKUP(H11,道具表!$B:$B,道具表!$A:$A)&amp;"|"</f>
        <v>1|2|</v>
      </c>
      <c r="I20" s="7">
        <f t="shared" si="3"/>
        <v>360</v>
      </c>
      <c r="J20" s="6" t="str">
        <f>_xlfn.XLOOKUP(J11,道具表!$B:$B,道具表!$C:$C)&amp;"|"&amp;_xlfn.XLOOKUP(J11,道具表!$B:$B,道具表!$A:$A)&amp;"|"</f>
        <v>1|5|</v>
      </c>
      <c r="K20" s="7">
        <f t="shared" si="4"/>
        <v>500</v>
      </c>
      <c r="L20" s="13" t="str">
        <f>F20&amp;G20&amp;","&amp;H20&amp;I20&amp;","&amp;J20&amp;K20</f>
        <v>2|90063|1,1|2|360,1|5|500</v>
      </c>
    </row>
    <row r="21" ht="15.6" spans="4:12">
      <c r="D21" s="7" t="str">
        <f t="shared" si="1"/>
        <v>新服武器礼包</v>
      </c>
      <c r="E21" s="7">
        <f t="shared" si="2"/>
        <v>30</v>
      </c>
      <c r="F21" s="6" t="str">
        <f>_xlfn.XLOOKUP(F12,道具表!$B:$B,道具表!$C:$C)&amp;"|"&amp;_xlfn.XLOOKUP(F12,道具表!$B:$B,道具表!$A:$A)&amp;"|"</f>
        <v>2|90062|</v>
      </c>
      <c r="G21" s="7">
        <f>G12</f>
        <v>1</v>
      </c>
      <c r="H21" s="6" t="str">
        <f>_xlfn.XLOOKUP(H12,道具表!$B:$B,道具表!$C:$C)&amp;"|"&amp;_xlfn.XLOOKUP(H12,道具表!$B:$B,道具表!$A:$A)&amp;"|"</f>
        <v>1|2|</v>
      </c>
      <c r="I21" s="7">
        <f t="shared" si="3"/>
        <v>600</v>
      </c>
      <c r="J21" s="6" t="str">
        <f>_xlfn.XLOOKUP(J12,道具表!$B:$B,道具表!$C:$C)&amp;"|"&amp;_xlfn.XLOOKUP(J12,道具表!$B:$B,道具表!$A:$A)&amp;"|"</f>
        <v>1|5|</v>
      </c>
      <c r="K21" s="7">
        <f t="shared" si="4"/>
        <v>800</v>
      </c>
      <c r="L21" s="13" t="str">
        <f>F21&amp;G21&amp;","&amp;H21&amp;I21&amp;","&amp;J21&amp;K21</f>
        <v>2|90062|1,1|2|600,1|5|800</v>
      </c>
    </row>
    <row r="22" ht="15.6" spans="4:12">
      <c r="D22" s="7" t="str">
        <f t="shared" si="1"/>
        <v>新服翅膀礼包</v>
      </c>
      <c r="E22" s="7">
        <f t="shared" si="2"/>
        <v>68</v>
      </c>
      <c r="F22" s="6" t="str">
        <f>_xlfn.XLOOKUP(F13,道具表!$B:$B,道具表!$C:$C)&amp;"|"&amp;_xlfn.XLOOKUP(F13,道具表!$B:$B,道具表!$A:$A)&amp;"|"</f>
        <v>1|10002|</v>
      </c>
      <c r="G22" s="7">
        <f>G13</f>
        <v>60</v>
      </c>
      <c r="H22" s="6" t="str">
        <f>_xlfn.XLOOKUP(H13,道具表!$B:$B,道具表!$C:$C)&amp;"|"&amp;_xlfn.XLOOKUP(H13,道具表!$B:$B,道具表!$A:$A)&amp;"|"</f>
        <v>1|2|</v>
      </c>
      <c r="I22" s="7">
        <f t="shared" si="3"/>
        <v>1360</v>
      </c>
      <c r="J22" s="6" t="str">
        <f>_xlfn.XLOOKUP(J13,道具表!$B:$B,道具表!$C:$C)&amp;"|"&amp;_xlfn.XLOOKUP(J13,道具表!$B:$B,道具表!$A:$A)&amp;"|"</f>
        <v>1|1|</v>
      </c>
      <c r="K22" s="7">
        <f t="shared" si="4"/>
        <v>200000</v>
      </c>
      <c r="L22" s="13" t="str">
        <f>F22&amp;G22&amp;","&amp;H22&amp;I22&amp;","&amp;J22&amp;K22</f>
        <v>1|10002|60,1|2|1360,1|1|200000</v>
      </c>
    </row>
    <row r="23" ht="15.6" spans="4:12">
      <c r="D23" s="7" t="str">
        <f t="shared" si="1"/>
        <v>新服宝石礼包</v>
      </c>
      <c r="E23" s="7">
        <f t="shared" si="2"/>
        <v>98</v>
      </c>
      <c r="F23" s="6" t="str">
        <f>_xlfn.XLOOKUP(F14,道具表!$B:$B,道具表!$C:$C)&amp;"|"&amp;_xlfn.XLOOKUP(F14,道具表!$B:$B,道具表!$A:$A)&amp;"|"</f>
        <v>1|10009|</v>
      </c>
      <c r="G23" s="7">
        <f>G14</f>
        <v>40</v>
      </c>
      <c r="H23" s="6" t="str">
        <f>_xlfn.XLOOKUP(H14,道具表!$B:$B,道具表!$C:$C)&amp;"|"&amp;_xlfn.XLOOKUP(H14,道具表!$B:$B,道具表!$A:$A)&amp;"|"</f>
        <v>1|2|</v>
      </c>
      <c r="I23" s="7">
        <f t="shared" si="3"/>
        <v>1800</v>
      </c>
      <c r="J23" s="6" t="str">
        <f>_xlfn.XLOOKUP(J14,道具表!$B:$B,道具表!$C:$C)&amp;"|"&amp;_xlfn.XLOOKUP(J14,道具表!$B:$B,道具表!$A:$A)&amp;"|"</f>
        <v>1|10001|</v>
      </c>
      <c r="K23" s="7">
        <f t="shared" si="4"/>
        <v>12</v>
      </c>
      <c r="L23" s="13" t="str">
        <f>F23&amp;G23&amp;","&amp;H23&amp;I23&amp;","&amp;J23&amp;K23</f>
        <v>1|10009|40,1|2|1800,1|10001|12</v>
      </c>
    </row>
    <row r="31" ht="15.6" spans="7:13">
      <c r="G31" s="55"/>
      <c r="H31" s="55"/>
      <c r="I31" s="55"/>
      <c r="J31" s="55"/>
      <c r="K31" s="55"/>
      <c r="L31" s="55"/>
      <c r="M31" s="55"/>
    </row>
    <row r="32" ht="15.6" spans="7:13">
      <c r="G32" s="55"/>
      <c r="H32" s="55"/>
      <c r="I32" s="55"/>
      <c r="J32" s="55"/>
      <c r="K32" s="55"/>
      <c r="L32" s="55"/>
      <c r="M32" s="55"/>
    </row>
    <row r="33" ht="15.6" spans="7:13">
      <c r="G33" s="55"/>
      <c r="H33" s="55"/>
      <c r="I33" s="55"/>
      <c r="J33" s="55"/>
      <c r="K33" s="55" t="s">
        <v>349</v>
      </c>
      <c r="L33" s="55"/>
      <c r="M33" s="55"/>
    </row>
    <row r="34" ht="15.6" spans="7:13">
      <c r="G34" s="55"/>
      <c r="H34" s="55"/>
      <c r="I34" s="55"/>
      <c r="J34" s="55"/>
      <c r="K34" s="55" t="s">
        <v>350</v>
      </c>
      <c r="L34" s="55"/>
      <c r="M34" s="55"/>
    </row>
    <row r="35" ht="15.6" spans="7:13">
      <c r="G35" s="55" t="s">
        <v>351</v>
      </c>
      <c r="H35" s="55"/>
      <c r="I35" s="55"/>
      <c r="J35" s="55"/>
      <c r="K35" s="55"/>
      <c r="L35" s="55"/>
      <c r="M35" s="55"/>
    </row>
    <row r="36" ht="15.6" spans="7:13">
      <c r="G36" s="55" t="s">
        <v>352</v>
      </c>
      <c r="H36" s="55"/>
      <c r="I36" s="55"/>
      <c r="J36" s="55"/>
      <c r="K36" s="55"/>
      <c r="L36" s="55"/>
      <c r="M36" s="55"/>
    </row>
    <row r="37" ht="15.6" spans="7:13">
      <c r="G37" s="55" t="s">
        <v>353</v>
      </c>
      <c r="H37" s="55"/>
      <c r="I37" s="55"/>
      <c r="J37" s="55"/>
      <c r="K37" s="55"/>
      <c r="L37" s="55"/>
      <c r="M37" s="55"/>
    </row>
    <row r="38" ht="15.6" spans="7:13">
      <c r="G38" s="55"/>
      <c r="H38" s="55"/>
      <c r="I38" s="55"/>
      <c r="J38" s="55"/>
      <c r="K38" s="55"/>
      <c r="L38" s="55"/>
      <c r="M38" s="55"/>
    </row>
    <row r="39" ht="15.6" spans="7:13">
      <c r="G39" s="55"/>
      <c r="H39" s="55"/>
      <c r="I39" s="55"/>
      <c r="J39" s="55"/>
      <c r="K39" s="55"/>
      <c r="L39" s="55"/>
      <c r="M39" s="55"/>
    </row>
    <row r="40" ht="15.6" spans="7:13">
      <c r="G40" s="55"/>
      <c r="H40" s="55"/>
      <c r="I40" s="55"/>
      <c r="J40" s="55"/>
      <c r="K40" s="55"/>
      <c r="L40" s="55"/>
      <c r="M40" s="55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P56"/>
  <sheetViews>
    <sheetView workbookViewId="0">
      <selection activeCell="E3" sqref="E3:E26"/>
    </sheetView>
  </sheetViews>
  <sheetFormatPr defaultColWidth="8.88888888888889" defaultRowHeight="14.4"/>
  <cols>
    <col min="4" max="6" width="8.88888888888889" style="14"/>
    <col min="7" max="7" width="12.8888888888889" style="14"/>
    <col min="8" max="8" width="8.88888888888889" style="14"/>
    <col min="9" max="9" width="12.8888888888889" style="14"/>
    <col min="10" max="15" width="8.88888888888889" style="14"/>
    <col min="16" max="16" width="15.6666666666667" style="14"/>
    <col min="17" max="18" width="12.8888888888889"/>
  </cols>
  <sheetData>
    <row r="1" spans="9:9">
      <c r="I1" s="14">
        <v>18660</v>
      </c>
    </row>
    <row r="2" ht="15.6" spans="4:16">
      <c r="D2" s="7" t="s">
        <v>338</v>
      </c>
      <c r="E2" s="7" t="s">
        <v>1129</v>
      </c>
      <c r="F2" s="7" t="s">
        <v>953</v>
      </c>
      <c r="G2" s="7" t="s">
        <v>323</v>
      </c>
      <c r="H2" s="7" t="s">
        <v>1124</v>
      </c>
      <c r="I2" s="7" t="s">
        <v>323</v>
      </c>
      <c r="J2" s="7" t="s">
        <v>1125</v>
      </c>
      <c r="K2" s="7" t="s">
        <v>323</v>
      </c>
      <c r="L2" s="7" t="s">
        <v>1126</v>
      </c>
      <c r="M2" s="7" t="s">
        <v>323</v>
      </c>
      <c r="N2" s="6" t="s">
        <v>339</v>
      </c>
      <c r="O2" s="6" t="s">
        <v>340</v>
      </c>
      <c r="P2" s="6" t="s">
        <v>341</v>
      </c>
    </row>
    <row r="3" ht="15.6" spans="4:16">
      <c r="D3" s="7">
        <v>328</v>
      </c>
      <c r="E3" s="15">
        <v>1</v>
      </c>
      <c r="F3" s="7" t="s">
        <v>10</v>
      </c>
      <c r="G3" s="7">
        <v>1</v>
      </c>
      <c r="H3" s="7" t="s">
        <v>10</v>
      </c>
      <c r="I3" s="7">
        <v>10</v>
      </c>
      <c r="J3" s="7"/>
      <c r="K3" s="7"/>
      <c r="L3" s="7" t="s">
        <v>6</v>
      </c>
      <c r="M3" s="7">
        <v>3280</v>
      </c>
      <c r="N3" s="6">
        <f>_xlfn.XLOOKUP(H3,道具表!$B:$B,道具表!$E:$E)</f>
        <v>100</v>
      </c>
      <c r="O3" s="6">
        <f>_xlfn.XLOOKUP(J3,道具表!$B:$B,道具表!$E:$E)</f>
        <v>0</v>
      </c>
      <c r="P3" s="6">
        <f t="shared" ref="P3:P26" si="0">N3*I3+O3*K3</f>
        <v>1000</v>
      </c>
    </row>
    <row r="4" ht="15.6" spans="4:16">
      <c r="D4" s="7"/>
      <c r="E4" s="15">
        <v>2</v>
      </c>
      <c r="F4" s="7" t="s">
        <v>10</v>
      </c>
      <c r="G4" s="7">
        <v>1</v>
      </c>
      <c r="H4" s="7" t="s">
        <v>10</v>
      </c>
      <c r="I4" s="7">
        <v>10</v>
      </c>
      <c r="J4" s="7"/>
      <c r="K4" s="7"/>
      <c r="L4" s="7"/>
      <c r="M4" s="7"/>
      <c r="N4" s="6">
        <f>_xlfn.XLOOKUP(H4,道具表!$B:$B,道具表!$E:$E)</f>
        <v>100</v>
      </c>
      <c r="O4" s="6">
        <f>_xlfn.XLOOKUP(J4,道具表!$B:$B,道具表!$E:$E)</f>
        <v>0</v>
      </c>
      <c r="P4" s="6">
        <f t="shared" si="0"/>
        <v>1000</v>
      </c>
    </row>
    <row r="5" ht="15.6" spans="4:16">
      <c r="D5" s="7"/>
      <c r="E5" s="15">
        <v>3</v>
      </c>
      <c r="F5" s="7" t="s">
        <v>10</v>
      </c>
      <c r="G5" s="7">
        <v>1</v>
      </c>
      <c r="H5" s="7" t="s">
        <v>10</v>
      </c>
      <c r="I5" s="7">
        <v>10</v>
      </c>
      <c r="J5" s="7"/>
      <c r="K5" s="7"/>
      <c r="L5" s="7"/>
      <c r="M5" s="7"/>
      <c r="N5" s="6">
        <f>_xlfn.XLOOKUP(H5,道具表!$B:$B,道具表!$E:$E)</f>
        <v>100</v>
      </c>
      <c r="O5" s="6">
        <f>_xlfn.XLOOKUP(J5,道具表!$B:$B,道具表!$E:$E)</f>
        <v>0</v>
      </c>
      <c r="P5" s="6">
        <f t="shared" si="0"/>
        <v>1000</v>
      </c>
    </row>
    <row r="6" ht="15.6" spans="4:16">
      <c r="D6" s="7"/>
      <c r="E6" s="15">
        <v>4</v>
      </c>
      <c r="F6" s="7" t="s">
        <v>10</v>
      </c>
      <c r="G6" s="7">
        <v>1</v>
      </c>
      <c r="H6" s="7" t="s">
        <v>10</v>
      </c>
      <c r="I6" s="7">
        <v>10</v>
      </c>
      <c r="J6" s="7"/>
      <c r="K6" s="7"/>
      <c r="L6" s="7"/>
      <c r="M6" s="7"/>
      <c r="N6" s="6">
        <f>_xlfn.XLOOKUP(H6,道具表!$B:$B,道具表!$E:$E)</f>
        <v>100</v>
      </c>
      <c r="O6" s="6">
        <f>_xlfn.XLOOKUP(J6,道具表!$B:$B,道具表!$E:$E)</f>
        <v>0</v>
      </c>
      <c r="P6" s="6">
        <f t="shared" si="0"/>
        <v>1000</v>
      </c>
    </row>
    <row r="7" ht="15.6" spans="4:16">
      <c r="D7" s="7"/>
      <c r="E7" s="15">
        <v>5</v>
      </c>
      <c r="F7" s="7" t="s">
        <v>10</v>
      </c>
      <c r="G7" s="7">
        <v>1</v>
      </c>
      <c r="H7" s="7" t="s">
        <v>10</v>
      </c>
      <c r="I7" s="7">
        <v>15</v>
      </c>
      <c r="J7" s="7"/>
      <c r="K7" s="7"/>
      <c r="L7" s="7"/>
      <c r="M7" s="7"/>
      <c r="N7" s="6">
        <f>_xlfn.XLOOKUP(H7,道具表!$B:$B,道具表!$E:$E)</f>
        <v>100</v>
      </c>
      <c r="O7" s="6">
        <f>_xlfn.XLOOKUP(J7,道具表!$B:$B,道具表!$E:$E)</f>
        <v>0</v>
      </c>
      <c r="P7" s="6">
        <f t="shared" si="0"/>
        <v>1500</v>
      </c>
    </row>
    <row r="8" ht="15.6" spans="4:16">
      <c r="D8" s="7"/>
      <c r="E8" s="15">
        <v>6</v>
      </c>
      <c r="F8" s="7" t="s">
        <v>10</v>
      </c>
      <c r="G8" s="7">
        <v>1</v>
      </c>
      <c r="H8" s="7" t="s">
        <v>10</v>
      </c>
      <c r="I8" s="7">
        <v>15</v>
      </c>
      <c r="J8" s="7"/>
      <c r="K8" s="7"/>
      <c r="L8" s="7"/>
      <c r="M8" s="7"/>
      <c r="N8" s="6">
        <f>_xlfn.XLOOKUP(H8,道具表!$B:$B,道具表!$E:$E)</f>
        <v>100</v>
      </c>
      <c r="O8" s="6">
        <f>_xlfn.XLOOKUP(J8,道具表!$B:$B,道具表!$E:$E)</f>
        <v>0</v>
      </c>
      <c r="P8" s="6">
        <f t="shared" si="0"/>
        <v>1500</v>
      </c>
    </row>
    <row r="9" ht="15.6" spans="4:16">
      <c r="D9" s="7"/>
      <c r="E9" s="15">
        <v>8</v>
      </c>
      <c r="F9" s="7" t="s">
        <v>10</v>
      </c>
      <c r="G9" s="7">
        <v>1</v>
      </c>
      <c r="H9" s="7" t="s">
        <v>10</v>
      </c>
      <c r="I9" s="7">
        <v>15</v>
      </c>
      <c r="J9" s="7"/>
      <c r="K9" s="7"/>
      <c r="L9" s="7"/>
      <c r="M9" s="7"/>
      <c r="N9" s="6">
        <f>_xlfn.XLOOKUP(H9,道具表!$B:$B,道具表!$E:$E)</f>
        <v>100</v>
      </c>
      <c r="O9" s="6">
        <f>_xlfn.XLOOKUP(J9,道具表!$B:$B,道具表!$E:$E)</f>
        <v>0</v>
      </c>
      <c r="P9" s="6">
        <f t="shared" si="0"/>
        <v>1500</v>
      </c>
    </row>
    <row r="10" ht="15.6" spans="4:16">
      <c r="D10" s="7"/>
      <c r="E10" s="15">
        <v>10</v>
      </c>
      <c r="F10" s="7" t="s">
        <v>10</v>
      </c>
      <c r="G10" s="7">
        <v>1</v>
      </c>
      <c r="H10" s="7" t="s">
        <v>10</v>
      </c>
      <c r="I10" s="7">
        <v>15</v>
      </c>
      <c r="J10" s="7"/>
      <c r="K10" s="7"/>
      <c r="L10" s="7"/>
      <c r="M10" s="7"/>
      <c r="N10" s="6">
        <f>_xlfn.XLOOKUP(H10,道具表!$B:$B,道具表!$E:$E)</f>
        <v>100</v>
      </c>
      <c r="O10" s="6">
        <f>_xlfn.XLOOKUP(J10,道具表!$B:$B,道具表!$E:$E)</f>
        <v>0</v>
      </c>
      <c r="P10" s="6">
        <f t="shared" si="0"/>
        <v>1500</v>
      </c>
    </row>
    <row r="11" ht="15.6" spans="4:16">
      <c r="D11" s="7"/>
      <c r="E11" s="15">
        <v>12</v>
      </c>
      <c r="F11" s="7" t="s">
        <v>10</v>
      </c>
      <c r="G11" s="7">
        <v>1</v>
      </c>
      <c r="H11" s="7" t="s">
        <v>10</v>
      </c>
      <c r="I11" s="7">
        <v>15</v>
      </c>
      <c r="J11" s="7"/>
      <c r="K11" s="7"/>
      <c r="L11" s="7"/>
      <c r="M11" s="7"/>
      <c r="N11" s="6">
        <f>_xlfn.XLOOKUP(H11,道具表!$B:$B,道具表!$E:$E)</f>
        <v>100</v>
      </c>
      <c r="O11" s="6">
        <f>_xlfn.XLOOKUP(J11,道具表!$B:$B,道具表!$E:$E)</f>
        <v>0</v>
      </c>
      <c r="P11" s="6">
        <f t="shared" si="0"/>
        <v>1500</v>
      </c>
    </row>
    <row r="12" ht="15.6" spans="4:16">
      <c r="D12" s="7"/>
      <c r="E12" s="15">
        <v>14</v>
      </c>
      <c r="F12" s="7" t="s">
        <v>10</v>
      </c>
      <c r="G12" s="7">
        <v>1</v>
      </c>
      <c r="H12" s="7" t="s">
        <v>10</v>
      </c>
      <c r="I12" s="7">
        <v>15</v>
      </c>
      <c r="J12" s="7"/>
      <c r="K12" s="7"/>
      <c r="L12" s="7"/>
      <c r="M12" s="7"/>
      <c r="N12" s="6">
        <f>_xlfn.XLOOKUP(H12,道具表!$B:$B,道具表!$E:$E)</f>
        <v>100</v>
      </c>
      <c r="O12" s="6">
        <f>_xlfn.XLOOKUP(J12,道具表!$B:$B,道具表!$E:$E)</f>
        <v>0</v>
      </c>
      <c r="P12" s="6">
        <f t="shared" si="0"/>
        <v>1500</v>
      </c>
    </row>
    <row r="13" ht="15.6" spans="4:16">
      <c r="D13" s="7"/>
      <c r="E13" s="15">
        <v>16</v>
      </c>
      <c r="F13" s="7" t="s">
        <v>10</v>
      </c>
      <c r="G13" s="7">
        <v>2</v>
      </c>
      <c r="H13" s="7" t="s">
        <v>10</v>
      </c>
      <c r="I13" s="7">
        <v>15</v>
      </c>
      <c r="J13" s="7"/>
      <c r="K13" s="7"/>
      <c r="L13" s="7"/>
      <c r="M13" s="7"/>
      <c r="N13" s="6">
        <f>_xlfn.XLOOKUP(H13,道具表!$B:$B,道具表!$E:$E)</f>
        <v>100</v>
      </c>
      <c r="O13" s="6">
        <f>_xlfn.XLOOKUP(J13,道具表!$B:$B,道具表!$E:$E)</f>
        <v>0</v>
      </c>
      <c r="P13" s="6">
        <f t="shared" si="0"/>
        <v>1500</v>
      </c>
    </row>
    <row r="14" ht="15.6" spans="4:16">
      <c r="D14" s="7"/>
      <c r="E14" s="15">
        <v>18</v>
      </c>
      <c r="F14" s="7" t="s">
        <v>10</v>
      </c>
      <c r="G14" s="7">
        <v>2</v>
      </c>
      <c r="H14" s="7" t="s">
        <v>10</v>
      </c>
      <c r="I14" s="7">
        <v>15</v>
      </c>
      <c r="J14" s="7"/>
      <c r="K14" s="7"/>
      <c r="L14" s="7"/>
      <c r="M14" s="7"/>
      <c r="N14" s="6">
        <f>_xlfn.XLOOKUP(H14,道具表!$B:$B,道具表!$E:$E)</f>
        <v>100</v>
      </c>
      <c r="O14" s="6">
        <f>_xlfn.XLOOKUP(J14,道具表!$B:$B,道具表!$E:$E)</f>
        <v>0</v>
      </c>
      <c r="P14" s="6">
        <f t="shared" si="0"/>
        <v>1500</v>
      </c>
    </row>
    <row r="15" ht="15.6" spans="4:16">
      <c r="D15" s="7"/>
      <c r="E15" s="15">
        <v>20</v>
      </c>
      <c r="F15" s="7" t="s">
        <v>10</v>
      </c>
      <c r="G15" s="7">
        <v>2</v>
      </c>
      <c r="H15" s="7" t="s">
        <v>10</v>
      </c>
      <c r="I15" s="7">
        <v>15</v>
      </c>
      <c r="J15" s="7"/>
      <c r="K15" s="7"/>
      <c r="L15" s="7"/>
      <c r="M15" s="7"/>
      <c r="N15" s="6">
        <f>_xlfn.XLOOKUP(H15,道具表!$B:$B,道具表!$E:$E)</f>
        <v>100</v>
      </c>
      <c r="O15" s="6">
        <f>_xlfn.XLOOKUP(J15,道具表!$B:$B,道具表!$E:$E)</f>
        <v>0</v>
      </c>
      <c r="P15" s="6">
        <f t="shared" si="0"/>
        <v>1500</v>
      </c>
    </row>
    <row r="16" ht="15.6" spans="4:16">
      <c r="D16" s="7"/>
      <c r="E16" s="15">
        <v>22</v>
      </c>
      <c r="F16" s="7" t="s">
        <v>10</v>
      </c>
      <c r="G16" s="7">
        <v>2</v>
      </c>
      <c r="H16" s="7" t="s">
        <v>10</v>
      </c>
      <c r="I16" s="7">
        <v>15</v>
      </c>
      <c r="J16" s="7"/>
      <c r="K16" s="7"/>
      <c r="L16" s="7"/>
      <c r="M16" s="7"/>
      <c r="N16" s="6">
        <f>_xlfn.XLOOKUP(H16,道具表!$B:$B,道具表!$E:$E)</f>
        <v>100</v>
      </c>
      <c r="O16" s="6">
        <f>_xlfn.XLOOKUP(J16,道具表!$B:$B,道具表!$E:$E)</f>
        <v>0</v>
      </c>
      <c r="P16" s="6">
        <f t="shared" si="0"/>
        <v>1500</v>
      </c>
    </row>
    <row r="17" ht="15.6" spans="4:16">
      <c r="D17" s="7"/>
      <c r="E17" s="15">
        <v>24</v>
      </c>
      <c r="F17" s="7" t="s">
        <v>10</v>
      </c>
      <c r="G17" s="7">
        <v>2</v>
      </c>
      <c r="H17" s="7" t="s">
        <v>10</v>
      </c>
      <c r="I17" s="7">
        <v>20</v>
      </c>
      <c r="J17" s="7"/>
      <c r="K17" s="7"/>
      <c r="L17" s="7"/>
      <c r="M17" s="7"/>
      <c r="N17" s="6">
        <f>_xlfn.XLOOKUP(H17,道具表!$B:$B,道具表!$E:$E)</f>
        <v>100</v>
      </c>
      <c r="O17" s="6">
        <f>_xlfn.XLOOKUP(J17,道具表!$B:$B,道具表!$E:$E)</f>
        <v>0</v>
      </c>
      <c r="P17" s="6">
        <f t="shared" si="0"/>
        <v>2000</v>
      </c>
    </row>
    <row r="18" ht="15.6" spans="4:16">
      <c r="D18" s="7"/>
      <c r="E18" s="15">
        <v>26</v>
      </c>
      <c r="F18" s="7" t="s">
        <v>10</v>
      </c>
      <c r="G18" s="7">
        <v>2</v>
      </c>
      <c r="H18" s="7" t="s">
        <v>10</v>
      </c>
      <c r="I18" s="7">
        <v>20</v>
      </c>
      <c r="J18" s="7"/>
      <c r="K18" s="7"/>
      <c r="L18" s="7"/>
      <c r="M18" s="7"/>
      <c r="N18" s="6">
        <f>_xlfn.XLOOKUP(H18,道具表!$B:$B,道具表!$E:$E)</f>
        <v>100</v>
      </c>
      <c r="O18" s="6">
        <f>_xlfn.XLOOKUP(J18,道具表!$B:$B,道具表!$E:$E)</f>
        <v>0</v>
      </c>
      <c r="P18" s="6">
        <f t="shared" si="0"/>
        <v>2000</v>
      </c>
    </row>
    <row r="19" ht="15.6" spans="4:16">
      <c r="D19" s="7"/>
      <c r="E19" s="15">
        <v>28</v>
      </c>
      <c r="F19" s="7" t="s">
        <v>10</v>
      </c>
      <c r="G19" s="7">
        <v>2</v>
      </c>
      <c r="H19" s="7" t="s">
        <v>10</v>
      </c>
      <c r="I19" s="7">
        <v>20</v>
      </c>
      <c r="J19" s="7"/>
      <c r="K19" s="7"/>
      <c r="L19" s="7"/>
      <c r="M19" s="7"/>
      <c r="N19" s="6">
        <f>_xlfn.XLOOKUP(H19,道具表!$B:$B,道具表!$E:$E)</f>
        <v>100</v>
      </c>
      <c r="O19" s="6">
        <f>_xlfn.XLOOKUP(J19,道具表!$B:$B,道具表!$E:$E)</f>
        <v>0</v>
      </c>
      <c r="P19" s="6">
        <f t="shared" si="0"/>
        <v>2000</v>
      </c>
    </row>
    <row r="20" ht="15.6" spans="4:16">
      <c r="D20" s="7"/>
      <c r="E20" s="15">
        <v>30</v>
      </c>
      <c r="F20" s="7" t="s">
        <v>10</v>
      </c>
      <c r="G20" s="7">
        <v>2</v>
      </c>
      <c r="H20" s="7" t="s">
        <v>10</v>
      </c>
      <c r="I20" s="7">
        <v>20</v>
      </c>
      <c r="J20" s="7"/>
      <c r="K20" s="7"/>
      <c r="L20" s="7"/>
      <c r="M20" s="7"/>
      <c r="N20" s="6">
        <f>_xlfn.XLOOKUP(H20,道具表!$B:$B,道具表!$E:$E)</f>
        <v>100</v>
      </c>
      <c r="O20" s="6">
        <f>_xlfn.XLOOKUP(J20,道具表!$B:$B,道具表!$E:$E)</f>
        <v>0</v>
      </c>
      <c r="P20" s="6">
        <f t="shared" si="0"/>
        <v>2000</v>
      </c>
    </row>
    <row r="21" ht="15.6" spans="4:16">
      <c r="D21" s="7"/>
      <c r="E21" s="15">
        <v>32</v>
      </c>
      <c r="F21" s="7" t="s">
        <v>10</v>
      </c>
      <c r="G21" s="7">
        <v>2</v>
      </c>
      <c r="H21" s="7" t="s">
        <v>10</v>
      </c>
      <c r="I21" s="7">
        <v>20</v>
      </c>
      <c r="J21" s="7"/>
      <c r="K21" s="7"/>
      <c r="L21" s="7"/>
      <c r="M21" s="7"/>
      <c r="N21" s="6">
        <f>_xlfn.XLOOKUP(H21,道具表!$B:$B,道具表!$E:$E)</f>
        <v>100</v>
      </c>
      <c r="O21" s="6">
        <f>_xlfn.XLOOKUP(J21,道具表!$B:$B,道具表!$E:$E)</f>
        <v>0</v>
      </c>
      <c r="P21" s="6">
        <f t="shared" si="0"/>
        <v>2000</v>
      </c>
    </row>
    <row r="22" ht="15.6" spans="4:16">
      <c r="D22" s="7"/>
      <c r="E22" s="15">
        <v>34</v>
      </c>
      <c r="F22" s="7" t="s">
        <v>10</v>
      </c>
      <c r="G22" s="7">
        <v>2</v>
      </c>
      <c r="H22" s="7" t="s">
        <v>10</v>
      </c>
      <c r="I22" s="7">
        <v>30</v>
      </c>
      <c r="J22" s="7"/>
      <c r="K22" s="7"/>
      <c r="L22" s="7"/>
      <c r="M22" s="7"/>
      <c r="N22" s="6">
        <f>_xlfn.XLOOKUP(H22,道具表!$B:$B,道具表!$E:$E)</f>
        <v>100</v>
      </c>
      <c r="O22" s="6">
        <f>_xlfn.XLOOKUP(J22,道具表!$B:$B,道具表!$E:$E)</f>
        <v>0</v>
      </c>
      <c r="P22" s="6">
        <f t="shared" si="0"/>
        <v>3000</v>
      </c>
    </row>
    <row r="23" ht="15.6" spans="4:16">
      <c r="D23" s="7"/>
      <c r="E23" s="15">
        <v>36</v>
      </c>
      <c r="F23" s="7" t="s">
        <v>10</v>
      </c>
      <c r="G23" s="7">
        <v>2</v>
      </c>
      <c r="H23" s="7" t="s">
        <v>10</v>
      </c>
      <c r="I23" s="7">
        <v>30</v>
      </c>
      <c r="J23" s="7"/>
      <c r="K23" s="7"/>
      <c r="L23" s="7"/>
      <c r="M23" s="7"/>
      <c r="N23" s="6">
        <f>_xlfn.XLOOKUP(H23,道具表!$B:$B,道具表!$E:$E)</f>
        <v>100</v>
      </c>
      <c r="O23" s="6">
        <f>_xlfn.XLOOKUP(J23,道具表!$B:$B,道具表!$E:$E)</f>
        <v>0</v>
      </c>
      <c r="P23" s="6">
        <f t="shared" si="0"/>
        <v>3000</v>
      </c>
    </row>
    <row r="24" ht="15.6" spans="4:16">
      <c r="D24" s="7"/>
      <c r="E24" s="15">
        <v>38</v>
      </c>
      <c r="F24" s="7" t="s">
        <v>10</v>
      </c>
      <c r="G24" s="7">
        <v>2</v>
      </c>
      <c r="H24" s="7" t="s">
        <v>10</v>
      </c>
      <c r="I24" s="7">
        <v>30</v>
      </c>
      <c r="J24" s="7"/>
      <c r="K24" s="7"/>
      <c r="L24" s="7"/>
      <c r="M24" s="7"/>
      <c r="N24" s="6">
        <f>_xlfn.XLOOKUP(H24,道具表!$B:$B,道具表!$E:$E)</f>
        <v>100</v>
      </c>
      <c r="O24" s="6">
        <f>_xlfn.XLOOKUP(J24,道具表!$B:$B,道具表!$E:$E)</f>
        <v>0</v>
      </c>
      <c r="P24" s="6">
        <f t="shared" si="0"/>
        <v>3000</v>
      </c>
    </row>
    <row r="25" ht="15.6" spans="4:16">
      <c r="D25" s="7"/>
      <c r="E25" s="15">
        <v>40</v>
      </c>
      <c r="F25" s="7" t="s">
        <v>10</v>
      </c>
      <c r="G25" s="7">
        <v>2</v>
      </c>
      <c r="H25" s="7" t="s">
        <v>10</v>
      </c>
      <c r="I25" s="7">
        <v>40</v>
      </c>
      <c r="J25" s="7"/>
      <c r="K25" s="7"/>
      <c r="L25" s="7"/>
      <c r="M25" s="7"/>
      <c r="N25" s="6">
        <f>_xlfn.XLOOKUP(H25,道具表!$B:$B,道具表!$E:$E)</f>
        <v>100</v>
      </c>
      <c r="O25" s="6">
        <f>_xlfn.XLOOKUP(J25,道具表!$B:$B,道具表!$E:$E)</f>
        <v>0</v>
      </c>
      <c r="P25" s="6">
        <f t="shared" si="0"/>
        <v>4000</v>
      </c>
    </row>
    <row r="26" ht="15.6" spans="4:16">
      <c r="D26" s="7"/>
      <c r="E26" s="15">
        <v>42</v>
      </c>
      <c r="F26" s="7" t="s">
        <v>10</v>
      </c>
      <c r="G26" s="7">
        <v>2</v>
      </c>
      <c r="H26" s="7" t="s">
        <v>10</v>
      </c>
      <c r="I26" s="7">
        <v>50</v>
      </c>
      <c r="J26" s="7"/>
      <c r="K26" s="7"/>
      <c r="L26" s="7"/>
      <c r="M26" s="7"/>
      <c r="N26" s="6">
        <f>_xlfn.XLOOKUP(H26,道具表!$B:$B,道具表!$E:$E)</f>
        <v>100</v>
      </c>
      <c r="O26" s="6">
        <f>_xlfn.XLOOKUP(J26,道具表!$B:$B,道具表!$E:$E)</f>
        <v>0</v>
      </c>
      <c r="P26" s="6">
        <f t="shared" si="0"/>
        <v>5000</v>
      </c>
    </row>
    <row r="27" spans="4:16">
      <c r="D27" s="16"/>
      <c r="F27" s="16"/>
      <c r="G27" s="16"/>
      <c r="H27" s="16"/>
      <c r="I27" s="16"/>
      <c r="J27" s="16"/>
      <c r="K27" s="16"/>
      <c r="P27" s="14">
        <f>SUM(P3:P26)</f>
        <v>47000</v>
      </c>
    </row>
    <row r="28" spans="4:11">
      <c r="D28" s="16"/>
      <c r="F28" s="16"/>
      <c r="G28" s="16"/>
      <c r="H28" s="16"/>
      <c r="I28" s="16"/>
      <c r="J28" s="16"/>
      <c r="K28" s="16"/>
    </row>
    <row r="29" spans="4:11">
      <c r="D29" s="16"/>
      <c r="F29" s="16"/>
      <c r="G29" s="16"/>
      <c r="H29" s="16"/>
      <c r="I29" s="16"/>
      <c r="J29" s="16"/>
      <c r="K29" s="16"/>
    </row>
    <row r="30" spans="4:16">
      <c r="D30" s="16"/>
      <c r="F30" s="16"/>
      <c r="G30" s="16"/>
      <c r="H30" s="16"/>
      <c r="I30" s="16"/>
      <c r="J30" s="16"/>
      <c r="K30" s="16"/>
      <c r="P30" s="14">
        <f>SUM(P7:P29)</f>
        <v>90000</v>
      </c>
    </row>
    <row r="32" ht="15.6" spans="4:15">
      <c r="D32" s="7" t="s">
        <v>338</v>
      </c>
      <c r="E32" s="7" t="s">
        <v>1129</v>
      </c>
      <c r="F32" s="7" t="s">
        <v>953</v>
      </c>
      <c r="G32" s="7" t="str">
        <f t="shared" ref="G32:K32" si="1">IF(G2="","",G2&amp;",")</f>
        <v>数量,</v>
      </c>
      <c r="H32" s="7" t="s">
        <v>1124</v>
      </c>
      <c r="I32" s="7" t="str">
        <f t="shared" si="1"/>
        <v>数量,</v>
      </c>
      <c r="J32" s="7" t="s">
        <v>1125</v>
      </c>
      <c r="K32" s="7" t="str">
        <f t="shared" si="1"/>
        <v>数量,</v>
      </c>
      <c r="L32" s="7" t="s">
        <v>1126</v>
      </c>
      <c r="M32" s="7" t="str">
        <f t="shared" ref="M32:M56" si="2">IF(M2="","",M2&amp;",")</f>
        <v>数量,</v>
      </c>
      <c r="N32" s="18" t="s">
        <v>327</v>
      </c>
      <c r="O32" s="18" t="s">
        <v>327</v>
      </c>
    </row>
    <row r="33" ht="15.6" spans="4:15">
      <c r="D33" s="7">
        <v>328</v>
      </c>
      <c r="E33" s="7">
        <f t="shared" ref="E32:E56" si="3">E3</f>
        <v>1</v>
      </c>
      <c r="F33" s="6" t="str">
        <f>IF(F3="","",(_xlfn.XLOOKUP(F3,道具表!$B:$B,道具表!$C:$C)&amp;"|"&amp;_xlfn.XLOOKUP(F3,道具表!$B:$B,道具表!$A:$A)&amp;"|"))</f>
        <v>1|6|</v>
      </c>
      <c r="G33" s="7" t="str">
        <f t="shared" ref="G33:K33" si="4">IF(G3="","",G3&amp;",")</f>
        <v>1,</v>
      </c>
      <c r="H33" s="6" t="str">
        <f>IF(H3="","",(_xlfn.XLOOKUP(H3,道具表!$B:$B,道具表!$C:$C)&amp;"|"&amp;_xlfn.XLOOKUP(H3,道具表!$B:$B,道具表!$A:$A)&amp;"|"))</f>
        <v>1|6|</v>
      </c>
      <c r="I33" s="7" t="str">
        <f t="shared" si="4"/>
        <v>10,</v>
      </c>
      <c r="J33" s="6" t="str">
        <f>IF(J3="","",(_xlfn.XLOOKUP(J3,道具表!$B:$B,道具表!$C:$C)&amp;"|"&amp;_xlfn.XLOOKUP(J3,道具表!$B:$B,道具表!$A:$A)&amp;"|"))</f>
        <v/>
      </c>
      <c r="K33" s="7" t="str">
        <f t="shared" si="4"/>
        <v/>
      </c>
      <c r="L33" s="6" t="str">
        <f>_xlfn.XLOOKUP(L3,道具表!$B:$B,道具表!$C:$C)&amp;"|"&amp;_xlfn.XLOOKUP(L3,道具表!$B:$B,道具表!$A:$A)&amp;"|"</f>
        <v>1|2|</v>
      </c>
      <c r="M33" s="7" t="str">
        <f t="shared" si="2"/>
        <v>3280,</v>
      </c>
      <c r="N33" s="19" t="str">
        <f t="shared" ref="N33:N56" si="5">LEFT(F33&amp;G33,LEN(F33&amp;G33)-1)</f>
        <v>1|6|1</v>
      </c>
      <c r="O33" s="20" t="str">
        <f t="shared" ref="O33:O56" si="6">LEFT(H33&amp;I33&amp;J33&amp;K33,LEN(H33&amp;I33&amp;J33&amp;K33)-1)</f>
        <v>1|6|10</v>
      </c>
    </row>
    <row r="34" ht="15.6" spans="4:15">
      <c r="D34" s="7"/>
      <c r="E34" s="7">
        <f t="shared" si="3"/>
        <v>2</v>
      </c>
      <c r="F34" s="6" t="str">
        <f>IF(F4="","",(_xlfn.XLOOKUP(F4,道具表!$B:$B,道具表!$C:$C)&amp;"|"&amp;_xlfn.XLOOKUP(F4,道具表!$B:$B,道具表!$A:$A)&amp;"|"))</f>
        <v>1|6|</v>
      </c>
      <c r="G34" s="7" t="str">
        <f t="shared" ref="G34:K34" si="7">IF(G4="","",G4&amp;",")</f>
        <v>1,</v>
      </c>
      <c r="H34" s="6" t="str">
        <f>IF(H4="","",(_xlfn.XLOOKUP(H4,道具表!$B:$B,道具表!$C:$C)&amp;"|"&amp;_xlfn.XLOOKUP(H4,道具表!$B:$B,道具表!$A:$A)&amp;"|"))</f>
        <v>1|6|</v>
      </c>
      <c r="I34" s="7" t="str">
        <f t="shared" si="7"/>
        <v>10,</v>
      </c>
      <c r="J34" s="6" t="str">
        <f>IF(J4="","",(_xlfn.XLOOKUP(J4,道具表!$B:$B,道具表!$C:$C)&amp;"|"&amp;_xlfn.XLOOKUP(J4,道具表!$B:$B,道具表!$A:$A)&amp;"|"))</f>
        <v/>
      </c>
      <c r="K34" s="7" t="str">
        <f t="shared" si="7"/>
        <v/>
      </c>
      <c r="L34" s="7"/>
      <c r="M34" s="7" t="str">
        <f t="shared" si="2"/>
        <v/>
      </c>
      <c r="N34" s="19" t="str">
        <f t="shared" si="5"/>
        <v>1|6|1</v>
      </c>
      <c r="O34" s="20" t="str">
        <f t="shared" si="6"/>
        <v>1|6|10</v>
      </c>
    </row>
    <row r="35" ht="15.6" spans="4:15">
      <c r="D35" s="7"/>
      <c r="E35" s="7">
        <f t="shared" si="3"/>
        <v>3</v>
      </c>
      <c r="F35" s="6" t="str">
        <f>IF(F5="","",(_xlfn.XLOOKUP(F5,道具表!$B:$B,道具表!$C:$C)&amp;"|"&amp;_xlfn.XLOOKUP(F5,道具表!$B:$B,道具表!$A:$A)&amp;"|"))</f>
        <v>1|6|</v>
      </c>
      <c r="G35" s="7" t="str">
        <f t="shared" ref="G35:K35" si="8">IF(G5="","",G5&amp;",")</f>
        <v>1,</v>
      </c>
      <c r="H35" s="6" t="str">
        <f>IF(H5="","",(_xlfn.XLOOKUP(H5,道具表!$B:$B,道具表!$C:$C)&amp;"|"&amp;_xlfn.XLOOKUP(H5,道具表!$B:$B,道具表!$A:$A)&amp;"|"))</f>
        <v>1|6|</v>
      </c>
      <c r="I35" s="7" t="str">
        <f t="shared" si="8"/>
        <v>10,</v>
      </c>
      <c r="J35" s="6" t="str">
        <f>IF(J5="","",(_xlfn.XLOOKUP(J5,道具表!$B:$B,道具表!$C:$C)&amp;"|"&amp;_xlfn.XLOOKUP(J5,道具表!$B:$B,道具表!$A:$A)&amp;"|"))</f>
        <v/>
      </c>
      <c r="K35" s="7" t="str">
        <f t="shared" si="8"/>
        <v/>
      </c>
      <c r="L35" s="7"/>
      <c r="M35" s="7" t="str">
        <f t="shared" si="2"/>
        <v/>
      </c>
      <c r="N35" s="19" t="str">
        <f t="shared" si="5"/>
        <v>1|6|1</v>
      </c>
      <c r="O35" s="20" t="str">
        <f t="shared" si="6"/>
        <v>1|6|10</v>
      </c>
    </row>
    <row r="36" ht="15.6" spans="4:15">
      <c r="D36" s="7"/>
      <c r="E36" s="7">
        <f t="shared" si="3"/>
        <v>4</v>
      </c>
      <c r="F36" s="6" t="str">
        <f>IF(F6="","",(_xlfn.XLOOKUP(F6,道具表!$B:$B,道具表!$C:$C)&amp;"|"&amp;_xlfn.XLOOKUP(F6,道具表!$B:$B,道具表!$A:$A)&amp;"|"))</f>
        <v>1|6|</v>
      </c>
      <c r="G36" s="7" t="str">
        <f t="shared" ref="G36:K36" si="9">IF(G6="","",G6&amp;",")</f>
        <v>1,</v>
      </c>
      <c r="H36" s="6" t="str">
        <f>IF(H6="","",(_xlfn.XLOOKUP(H6,道具表!$B:$B,道具表!$C:$C)&amp;"|"&amp;_xlfn.XLOOKUP(H6,道具表!$B:$B,道具表!$A:$A)&amp;"|"))</f>
        <v>1|6|</v>
      </c>
      <c r="I36" s="7" t="str">
        <f t="shared" si="9"/>
        <v>10,</v>
      </c>
      <c r="J36" s="6" t="str">
        <f>IF(J6="","",(_xlfn.XLOOKUP(J6,道具表!$B:$B,道具表!$C:$C)&amp;"|"&amp;_xlfn.XLOOKUP(J6,道具表!$B:$B,道具表!$A:$A)&amp;"|"))</f>
        <v/>
      </c>
      <c r="K36" s="7" t="str">
        <f t="shared" si="9"/>
        <v/>
      </c>
      <c r="L36" s="7"/>
      <c r="M36" s="7" t="str">
        <f t="shared" si="2"/>
        <v/>
      </c>
      <c r="N36" s="19" t="str">
        <f t="shared" si="5"/>
        <v>1|6|1</v>
      </c>
      <c r="O36" s="20" t="str">
        <f t="shared" si="6"/>
        <v>1|6|10</v>
      </c>
    </row>
    <row r="37" ht="15.6" spans="4:15">
      <c r="D37" s="7"/>
      <c r="E37" s="7">
        <f t="shared" si="3"/>
        <v>5</v>
      </c>
      <c r="F37" s="6" t="str">
        <f>IF(F7="","",(_xlfn.XLOOKUP(F7,道具表!$B:$B,道具表!$C:$C)&amp;"|"&amp;_xlfn.XLOOKUP(F7,道具表!$B:$B,道具表!$A:$A)&amp;"|"))</f>
        <v>1|6|</v>
      </c>
      <c r="G37" s="7" t="str">
        <f t="shared" ref="G37:K37" si="10">IF(G7="","",G7&amp;",")</f>
        <v>1,</v>
      </c>
      <c r="H37" s="6" t="str">
        <f>IF(H7="","",(_xlfn.XLOOKUP(H7,道具表!$B:$B,道具表!$C:$C)&amp;"|"&amp;_xlfn.XLOOKUP(H7,道具表!$B:$B,道具表!$A:$A)&amp;"|"))</f>
        <v>1|6|</v>
      </c>
      <c r="I37" s="7" t="str">
        <f t="shared" si="10"/>
        <v>15,</v>
      </c>
      <c r="J37" s="6" t="str">
        <f>IF(J7="","",(_xlfn.XLOOKUP(J7,道具表!$B:$B,道具表!$C:$C)&amp;"|"&amp;_xlfn.XLOOKUP(J7,道具表!$B:$B,道具表!$A:$A)&amp;"|"))</f>
        <v/>
      </c>
      <c r="K37" s="7" t="str">
        <f t="shared" si="10"/>
        <v/>
      </c>
      <c r="L37" s="7"/>
      <c r="M37" s="7" t="str">
        <f t="shared" si="2"/>
        <v/>
      </c>
      <c r="N37" s="19" t="str">
        <f t="shared" si="5"/>
        <v>1|6|1</v>
      </c>
      <c r="O37" s="20" t="str">
        <f t="shared" si="6"/>
        <v>1|6|15</v>
      </c>
    </row>
    <row r="38" ht="15.6" spans="4:15">
      <c r="D38" s="7"/>
      <c r="E38" s="7">
        <f t="shared" si="3"/>
        <v>6</v>
      </c>
      <c r="F38" s="6" t="str">
        <f>IF(F8="","",(_xlfn.XLOOKUP(F8,道具表!$B:$B,道具表!$C:$C)&amp;"|"&amp;_xlfn.XLOOKUP(F8,道具表!$B:$B,道具表!$A:$A)&amp;"|"))</f>
        <v>1|6|</v>
      </c>
      <c r="G38" s="7" t="str">
        <f t="shared" ref="G38:K38" si="11">IF(G8="","",G8&amp;",")</f>
        <v>1,</v>
      </c>
      <c r="H38" s="6" t="str">
        <f>IF(H8="","",(_xlfn.XLOOKUP(H8,道具表!$B:$B,道具表!$C:$C)&amp;"|"&amp;_xlfn.XLOOKUP(H8,道具表!$B:$B,道具表!$A:$A)&amp;"|"))</f>
        <v>1|6|</v>
      </c>
      <c r="I38" s="7" t="str">
        <f t="shared" si="11"/>
        <v>15,</v>
      </c>
      <c r="J38" s="6" t="str">
        <f>IF(J8="","",(_xlfn.XLOOKUP(J8,道具表!$B:$B,道具表!$C:$C)&amp;"|"&amp;_xlfn.XLOOKUP(J8,道具表!$B:$B,道具表!$A:$A)&amp;"|"))</f>
        <v/>
      </c>
      <c r="K38" s="7" t="str">
        <f t="shared" si="11"/>
        <v/>
      </c>
      <c r="L38" s="7"/>
      <c r="M38" s="7" t="str">
        <f t="shared" si="2"/>
        <v/>
      </c>
      <c r="N38" s="19" t="str">
        <f t="shared" si="5"/>
        <v>1|6|1</v>
      </c>
      <c r="O38" s="20" t="str">
        <f t="shared" si="6"/>
        <v>1|6|15</v>
      </c>
    </row>
    <row r="39" ht="15.6" spans="4:15">
      <c r="D39" s="7"/>
      <c r="E39" s="7">
        <f t="shared" si="3"/>
        <v>8</v>
      </c>
      <c r="F39" s="6" t="str">
        <f>IF(F9="","",(_xlfn.XLOOKUP(F9,道具表!$B:$B,道具表!$C:$C)&amp;"|"&amp;_xlfn.XLOOKUP(F9,道具表!$B:$B,道具表!$A:$A)&amp;"|"))</f>
        <v>1|6|</v>
      </c>
      <c r="G39" s="7" t="str">
        <f t="shared" ref="G39:K39" si="12">IF(G9="","",G9&amp;",")</f>
        <v>1,</v>
      </c>
      <c r="H39" s="6" t="str">
        <f>IF(H9="","",(_xlfn.XLOOKUP(H9,道具表!$B:$B,道具表!$C:$C)&amp;"|"&amp;_xlfn.XLOOKUP(H9,道具表!$B:$B,道具表!$A:$A)&amp;"|"))</f>
        <v>1|6|</v>
      </c>
      <c r="I39" s="7" t="str">
        <f t="shared" si="12"/>
        <v>15,</v>
      </c>
      <c r="J39" s="6" t="str">
        <f>IF(J9="","",(_xlfn.XLOOKUP(J9,道具表!$B:$B,道具表!$C:$C)&amp;"|"&amp;_xlfn.XLOOKUP(J9,道具表!$B:$B,道具表!$A:$A)&amp;"|"))</f>
        <v/>
      </c>
      <c r="K39" s="7" t="str">
        <f t="shared" si="12"/>
        <v/>
      </c>
      <c r="L39" s="7"/>
      <c r="M39" s="7" t="str">
        <f t="shared" si="2"/>
        <v/>
      </c>
      <c r="N39" s="19" t="str">
        <f t="shared" si="5"/>
        <v>1|6|1</v>
      </c>
      <c r="O39" s="20" t="str">
        <f t="shared" si="6"/>
        <v>1|6|15</v>
      </c>
    </row>
    <row r="40" ht="15.6" spans="4:15">
      <c r="D40" s="7"/>
      <c r="E40" s="7">
        <f t="shared" si="3"/>
        <v>10</v>
      </c>
      <c r="F40" s="6" t="str">
        <f>IF(F10="","",(_xlfn.XLOOKUP(F10,道具表!$B:$B,道具表!$C:$C)&amp;"|"&amp;_xlfn.XLOOKUP(F10,道具表!$B:$B,道具表!$A:$A)&amp;"|"))</f>
        <v>1|6|</v>
      </c>
      <c r="G40" s="7" t="str">
        <f t="shared" ref="G40:K40" si="13">IF(G10="","",G10&amp;",")</f>
        <v>1,</v>
      </c>
      <c r="H40" s="6" t="str">
        <f>IF(H10="","",(_xlfn.XLOOKUP(H10,道具表!$B:$B,道具表!$C:$C)&amp;"|"&amp;_xlfn.XLOOKUP(H10,道具表!$B:$B,道具表!$A:$A)&amp;"|"))</f>
        <v>1|6|</v>
      </c>
      <c r="I40" s="7" t="str">
        <f t="shared" si="13"/>
        <v>15,</v>
      </c>
      <c r="J40" s="6" t="str">
        <f>IF(J10="","",(_xlfn.XLOOKUP(J10,道具表!$B:$B,道具表!$C:$C)&amp;"|"&amp;_xlfn.XLOOKUP(J10,道具表!$B:$B,道具表!$A:$A)&amp;"|"))</f>
        <v/>
      </c>
      <c r="K40" s="7" t="str">
        <f t="shared" si="13"/>
        <v/>
      </c>
      <c r="L40" s="7"/>
      <c r="M40" s="7" t="str">
        <f t="shared" si="2"/>
        <v/>
      </c>
      <c r="N40" s="19" t="str">
        <f t="shared" si="5"/>
        <v>1|6|1</v>
      </c>
      <c r="O40" s="20" t="str">
        <f t="shared" si="6"/>
        <v>1|6|15</v>
      </c>
    </row>
    <row r="41" ht="15.6" spans="4:15">
      <c r="D41" s="7"/>
      <c r="E41" s="7">
        <f t="shared" si="3"/>
        <v>12</v>
      </c>
      <c r="F41" s="6" t="str">
        <f>IF(F11="","",(_xlfn.XLOOKUP(F11,道具表!$B:$B,道具表!$C:$C)&amp;"|"&amp;_xlfn.XLOOKUP(F11,道具表!$B:$B,道具表!$A:$A)&amp;"|"))</f>
        <v>1|6|</v>
      </c>
      <c r="G41" s="7" t="str">
        <f t="shared" ref="G41:K41" si="14">IF(G11="","",G11&amp;",")</f>
        <v>1,</v>
      </c>
      <c r="H41" s="6" t="str">
        <f>IF(H11="","",(_xlfn.XLOOKUP(H11,道具表!$B:$B,道具表!$C:$C)&amp;"|"&amp;_xlfn.XLOOKUP(H11,道具表!$B:$B,道具表!$A:$A)&amp;"|"))</f>
        <v>1|6|</v>
      </c>
      <c r="I41" s="7" t="str">
        <f t="shared" si="14"/>
        <v>15,</v>
      </c>
      <c r="J41" s="6" t="str">
        <f>IF(J11="","",(_xlfn.XLOOKUP(J11,道具表!$B:$B,道具表!$C:$C)&amp;"|"&amp;_xlfn.XLOOKUP(J11,道具表!$B:$B,道具表!$A:$A)&amp;"|"))</f>
        <v/>
      </c>
      <c r="K41" s="7" t="str">
        <f t="shared" si="14"/>
        <v/>
      </c>
      <c r="L41" s="7"/>
      <c r="M41" s="7" t="str">
        <f t="shared" si="2"/>
        <v/>
      </c>
      <c r="N41" s="19" t="str">
        <f t="shared" si="5"/>
        <v>1|6|1</v>
      </c>
      <c r="O41" s="20" t="str">
        <f t="shared" si="6"/>
        <v>1|6|15</v>
      </c>
    </row>
    <row r="42" ht="15.6" spans="4:15">
      <c r="D42" s="7"/>
      <c r="E42" s="7">
        <f t="shared" si="3"/>
        <v>14</v>
      </c>
      <c r="F42" s="6" t="str">
        <f>IF(F12="","",(_xlfn.XLOOKUP(F12,道具表!$B:$B,道具表!$C:$C)&amp;"|"&amp;_xlfn.XLOOKUP(F12,道具表!$B:$B,道具表!$A:$A)&amp;"|"))</f>
        <v>1|6|</v>
      </c>
      <c r="G42" s="7" t="str">
        <f t="shared" ref="G42:K42" si="15">IF(G12="","",G12&amp;",")</f>
        <v>1,</v>
      </c>
      <c r="H42" s="6" t="str">
        <f>IF(H12="","",(_xlfn.XLOOKUP(H12,道具表!$B:$B,道具表!$C:$C)&amp;"|"&amp;_xlfn.XLOOKUP(H12,道具表!$B:$B,道具表!$A:$A)&amp;"|"))</f>
        <v>1|6|</v>
      </c>
      <c r="I42" s="7" t="str">
        <f t="shared" si="15"/>
        <v>15,</v>
      </c>
      <c r="J42" s="6" t="str">
        <f>IF(J12="","",(_xlfn.XLOOKUP(J12,道具表!$B:$B,道具表!$C:$C)&amp;"|"&amp;_xlfn.XLOOKUP(J12,道具表!$B:$B,道具表!$A:$A)&amp;"|"))</f>
        <v/>
      </c>
      <c r="K42" s="7" t="str">
        <f t="shared" si="15"/>
        <v/>
      </c>
      <c r="L42" s="7"/>
      <c r="M42" s="7" t="str">
        <f t="shared" si="2"/>
        <v/>
      </c>
      <c r="N42" s="19" t="str">
        <f t="shared" si="5"/>
        <v>1|6|1</v>
      </c>
      <c r="O42" s="20" t="str">
        <f t="shared" si="6"/>
        <v>1|6|15</v>
      </c>
    </row>
    <row r="43" ht="15.6" spans="4:15">
      <c r="D43" s="7"/>
      <c r="E43" s="7">
        <f t="shared" si="3"/>
        <v>16</v>
      </c>
      <c r="F43" s="6" t="str">
        <f>IF(F13="","",(_xlfn.XLOOKUP(F13,道具表!$B:$B,道具表!$C:$C)&amp;"|"&amp;_xlfn.XLOOKUP(F13,道具表!$B:$B,道具表!$A:$A)&amp;"|"))</f>
        <v>1|6|</v>
      </c>
      <c r="G43" s="7" t="str">
        <f t="shared" ref="G43:K43" si="16">IF(G13="","",G13&amp;",")</f>
        <v>2,</v>
      </c>
      <c r="H43" s="6" t="str">
        <f>IF(H13="","",(_xlfn.XLOOKUP(H13,道具表!$B:$B,道具表!$C:$C)&amp;"|"&amp;_xlfn.XLOOKUP(H13,道具表!$B:$B,道具表!$A:$A)&amp;"|"))</f>
        <v>1|6|</v>
      </c>
      <c r="I43" s="7" t="str">
        <f t="shared" si="16"/>
        <v>15,</v>
      </c>
      <c r="J43" s="6" t="str">
        <f>IF(J13="","",(_xlfn.XLOOKUP(J13,道具表!$B:$B,道具表!$C:$C)&amp;"|"&amp;_xlfn.XLOOKUP(J13,道具表!$B:$B,道具表!$A:$A)&amp;"|"))</f>
        <v/>
      </c>
      <c r="K43" s="7" t="str">
        <f t="shared" si="16"/>
        <v/>
      </c>
      <c r="L43" s="7"/>
      <c r="M43" s="7" t="str">
        <f t="shared" si="2"/>
        <v/>
      </c>
      <c r="N43" s="19" t="str">
        <f t="shared" si="5"/>
        <v>1|6|2</v>
      </c>
      <c r="O43" s="20" t="str">
        <f t="shared" si="6"/>
        <v>1|6|15</v>
      </c>
    </row>
    <row r="44" ht="15.6" spans="4:15">
      <c r="D44" s="7"/>
      <c r="E44" s="7">
        <f t="shared" si="3"/>
        <v>18</v>
      </c>
      <c r="F44" s="6" t="str">
        <f>IF(F14="","",(_xlfn.XLOOKUP(F14,道具表!$B:$B,道具表!$C:$C)&amp;"|"&amp;_xlfn.XLOOKUP(F14,道具表!$B:$B,道具表!$A:$A)&amp;"|"))</f>
        <v>1|6|</v>
      </c>
      <c r="G44" s="7" t="str">
        <f t="shared" ref="G44:K44" si="17">IF(G14="","",G14&amp;",")</f>
        <v>2,</v>
      </c>
      <c r="H44" s="6" t="str">
        <f>IF(H14="","",(_xlfn.XLOOKUP(H14,道具表!$B:$B,道具表!$C:$C)&amp;"|"&amp;_xlfn.XLOOKUP(H14,道具表!$B:$B,道具表!$A:$A)&amp;"|"))</f>
        <v>1|6|</v>
      </c>
      <c r="I44" s="7" t="str">
        <f t="shared" si="17"/>
        <v>15,</v>
      </c>
      <c r="J44" s="6" t="str">
        <f>IF(J14="","",(_xlfn.XLOOKUP(J14,道具表!$B:$B,道具表!$C:$C)&amp;"|"&amp;_xlfn.XLOOKUP(J14,道具表!$B:$B,道具表!$A:$A)&amp;"|"))</f>
        <v/>
      </c>
      <c r="K44" s="7" t="str">
        <f t="shared" si="17"/>
        <v/>
      </c>
      <c r="L44" s="7"/>
      <c r="M44" s="7" t="str">
        <f t="shared" si="2"/>
        <v/>
      </c>
      <c r="N44" s="19" t="str">
        <f t="shared" si="5"/>
        <v>1|6|2</v>
      </c>
      <c r="O44" s="20" t="str">
        <f t="shared" si="6"/>
        <v>1|6|15</v>
      </c>
    </row>
    <row r="45" ht="15.6" spans="4:15">
      <c r="D45" s="7"/>
      <c r="E45" s="7">
        <f t="shared" si="3"/>
        <v>20</v>
      </c>
      <c r="F45" s="6" t="str">
        <f>IF(F15="","",(_xlfn.XLOOKUP(F15,道具表!$B:$B,道具表!$C:$C)&amp;"|"&amp;_xlfn.XLOOKUP(F15,道具表!$B:$B,道具表!$A:$A)&amp;"|"))</f>
        <v>1|6|</v>
      </c>
      <c r="G45" s="7" t="str">
        <f t="shared" ref="G45:K45" si="18">IF(G15="","",G15&amp;",")</f>
        <v>2,</v>
      </c>
      <c r="H45" s="6" t="str">
        <f>IF(H15="","",(_xlfn.XLOOKUP(H15,道具表!$B:$B,道具表!$C:$C)&amp;"|"&amp;_xlfn.XLOOKUP(H15,道具表!$B:$B,道具表!$A:$A)&amp;"|"))</f>
        <v>1|6|</v>
      </c>
      <c r="I45" s="7" t="str">
        <f t="shared" si="18"/>
        <v>15,</v>
      </c>
      <c r="J45" s="6" t="str">
        <f>IF(J15="","",(_xlfn.XLOOKUP(J15,道具表!$B:$B,道具表!$C:$C)&amp;"|"&amp;_xlfn.XLOOKUP(J15,道具表!$B:$B,道具表!$A:$A)&amp;"|"))</f>
        <v/>
      </c>
      <c r="K45" s="7" t="str">
        <f t="shared" si="18"/>
        <v/>
      </c>
      <c r="L45" s="7"/>
      <c r="M45" s="7" t="str">
        <f t="shared" si="2"/>
        <v/>
      </c>
      <c r="N45" s="19" t="str">
        <f t="shared" si="5"/>
        <v>1|6|2</v>
      </c>
      <c r="O45" s="20" t="str">
        <f t="shared" si="6"/>
        <v>1|6|15</v>
      </c>
    </row>
    <row r="46" ht="15.6" spans="4:15">
      <c r="D46" s="7"/>
      <c r="E46" s="7">
        <f t="shared" si="3"/>
        <v>22</v>
      </c>
      <c r="F46" s="6" t="str">
        <f>IF(F16="","",(_xlfn.XLOOKUP(F16,道具表!$B:$B,道具表!$C:$C)&amp;"|"&amp;_xlfn.XLOOKUP(F16,道具表!$B:$B,道具表!$A:$A)&amp;"|"))</f>
        <v>1|6|</v>
      </c>
      <c r="G46" s="7" t="str">
        <f t="shared" ref="G46:K46" si="19">IF(G16="","",G16&amp;",")</f>
        <v>2,</v>
      </c>
      <c r="H46" s="6" t="str">
        <f>IF(H16="","",(_xlfn.XLOOKUP(H16,道具表!$B:$B,道具表!$C:$C)&amp;"|"&amp;_xlfn.XLOOKUP(H16,道具表!$B:$B,道具表!$A:$A)&amp;"|"))</f>
        <v>1|6|</v>
      </c>
      <c r="I46" s="7" t="str">
        <f t="shared" si="19"/>
        <v>15,</v>
      </c>
      <c r="J46" s="6" t="str">
        <f>IF(J16="","",(_xlfn.XLOOKUP(J16,道具表!$B:$B,道具表!$C:$C)&amp;"|"&amp;_xlfn.XLOOKUP(J16,道具表!$B:$B,道具表!$A:$A)&amp;"|"))</f>
        <v/>
      </c>
      <c r="K46" s="7" t="str">
        <f t="shared" si="19"/>
        <v/>
      </c>
      <c r="L46" s="7"/>
      <c r="M46" s="7" t="str">
        <f t="shared" si="2"/>
        <v/>
      </c>
      <c r="N46" s="19" t="str">
        <f t="shared" si="5"/>
        <v>1|6|2</v>
      </c>
      <c r="O46" s="20" t="str">
        <f t="shared" si="6"/>
        <v>1|6|15</v>
      </c>
    </row>
    <row r="47" ht="15.6" spans="4:15">
      <c r="D47" s="17"/>
      <c r="E47" s="7">
        <f t="shared" si="3"/>
        <v>24</v>
      </c>
      <c r="F47" s="6" t="str">
        <f>IF(F17="","",(_xlfn.XLOOKUP(F17,道具表!$B:$B,道具表!$C:$C)&amp;"|"&amp;_xlfn.XLOOKUP(F17,道具表!$B:$B,道具表!$A:$A)&amp;"|"))</f>
        <v>1|6|</v>
      </c>
      <c r="G47" s="7" t="str">
        <f t="shared" ref="G47:K47" si="20">IF(G17="","",G17&amp;",")</f>
        <v>2,</v>
      </c>
      <c r="H47" s="6" t="str">
        <f>IF(H17="","",(_xlfn.XLOOKUP(H17,道具表!$B:$B,道具表!$C:$C)&amp;"|"&amp;_xlfn.XLOOKUP(H17,道具表!$B:$B,道具表!$A:$A)&amp;"|"))</f>
        <v>1|6|</v>
      </c>
      <c r="I47" s="7" t="str">
        <f t="shared" si="20"/>
        <v>20,</v>
      </c>
      <c r="J47" s="6" t="str">
        <f>IF(J17="","",(_xlfn.XLOOKUP(J17,道具表!$B:$B,道具表!$C:$C)&amp;"|"&amp;_xlfn.XLOOKUP(J17,道具表!$B:$B,道具表!$A:$A)&amp;"|"))</f>
        <v/>
      </c>
      <c r="K47" s="7" t="str">
        <f t="shared" si="20"/>
        <v/>
      </c>
      <c r="L47" s="7"/>
      <c r="M47" s="7" t="str">
        <f t="shared" si="2"/>
        <v/>
      </c>
      <c r="N47" s="19" t="str">
        <f t="shared" si="5"/>
        <v>1|6|2</v>
      </c>
      <c r="O47" s="20" t="str">
        <f t="shared" si="6"/>
        <v>1|6|20</v>
      </c>
    </row>
    <row r="48" ht="15.6" spans="4:15">
      <c r="D48" s="17"/>
      <c r="E48" s="7">
        <f t="shared" si="3"/>
        <v>26</v>
      </c>
      <c r="F48" s="6" t="str">
        <f>IF(F18="","",(_xlfn.XLOOKUP(F18,道具表!$B:$B,道具表!$C:$C)&amp;"|"&amp;_xlfn.XLOOKUP(F18,道具表!$B:$B,道具表!$A:$A)&amp;"|"))</f>
        <v>1|6|</v>
      </c>
      <c r="G48" s="7" t="str">
        <f t="shared" ref="G48:K48" si="21">IF(G18="","",G18&amp;",")</f>
        <v>2,</v>
      </c>
      <c r="H48" s="6" t="str">
        <f>IF(H18="","",(_xlfn.XLOOKUP(H18,道具表!$B:$B,道具表!$C:$C)&amp;"|"&amp;_xlfn.XLOOKUP(H18,道具表!$B:$B,道具表!$A:$A)&amp;"|"))</f>
        <v>1|6|</v>
      </c>
      <c r="I48" s="7" t="str">
        <f t="shared" si="21"/>
        <v>20,</v>
      </c>
      <c r="J48" s="6" t="str">
        <f>IF(J18="","",(_xlfn.XLOOKUP(J18,道具表!$B:$B,道具表!$C:$C)&amp;"|"&amp;_xlfn.XLOOKUP(J18,道具表!$B:$B,道具表!$A:$A)&amp;"|"))</f>
        <v/>
      </c>
      <c r="K48" s="7" t="str">
        <f t="shared" si="21"/>
        <v/>
      </c>
      <c r="L48" s="7"/>
      <c r="M48" s="7" t="str">
        <f t="shared" si="2"/>
        <v/>
      </c>
      <c r="N48" s="19" t="str">
        <f t="shared" si="5"/>
        <v>1|6|2</v>
      </c>
      <c r="O48" s="20" t="str">
        <f t="shared" si="6"/>
        <v>1|6|20</v>
      </c>
    </row>
    <row r="49" ht="15.6" spans="4:15">
      <c r="D49" s="17"/>
      <c r="E49" s="7">
        <f t="shared" si="3"/>
        <v>28</v>
      </c>
      <c r="F49" s="6" t="str">
        <f>IF(F19="","",(_xlfn.XLOOKUP(F19,道具表!$B:$B,道具表!$C:$C)&amp;"|"&amp;_xlfn.XLOOKUP(F19,道具表!$B:$B,道具表!$A:$A)&amp;"|"))</f>
        <v>1|6|</v>
      </c>
      <c r="G49" s="7" t="str">
        <f t="shared" ref="G49:K49" si="22">IF(G19="","",G19&amp;",")</f>
        <v>2,</v>
      </c>
      <c r="H49" s="6" t="str">
        <f>IF(H19="","",(_xlfn.XLOOKUP(H19,道具表!$B:$B,道具表!$C:$C)&amp;"|"&amp;_xlfn.XLOOKUP(H19,道具表!$B:$B,道具表!$A:$A)&amp;"|"))</f>
        <v>1|6|</v>
      </c>
      <c r="I49" s="7" t="str">
        <f t="shared" si="22"/>
        <v>20,</v>
      </c>
      <c r="J49" s="6" t="str">
        <f>IF(J19="","",(_xlfn.XLOOKUP(J19,道具表!$B:$B,道具表!$C:$C)&amp;"|"&amp;_xlfn.XLOOKUP(J19,道具表!$B:$B,道具表!$A:$A)&amp;"|"))</f>
        <v/>
      </c>
      <c r="K49" s="7" t="str">
        <f t="shared" si="22"/>
        <v/>
      </c>
      <c r="L49" s="7"/>
      <c r="M49" s="7" t="str">
        <f t="shared" si="2"/>
        <v/>
      </c>
      <c r="N49" s="19" t="str">
        <f t="shared" si="5"/>
        <v>1|6|2</v>
      </c>
      <c r="O49" s="20" t="str">
        <f t="shared" si="6"/>
        <v>1|6|20</v>
      </c>
    </row>
    <row r="50" ht="15.6" spans="4:15">
      <c r="D50" s="17"/>
      <c r="E50" s="7">
        <f t="shared" si="3"/>
        <v>30</v>
      </c>
      <c r="F50" s="6" t="str">
        <f>IF(F20="","",(_xlfn.XLOOKUP(F20,道具表!$B:$B,道具表!$C:$C)&amp;"|"&amp;_xlfn.XLOOKUP(F20,道具表!$B:$B,道具表!$A:$A)&amp;"|"))</f>
        <v>1|6|</v>
      </c>
      <c r="G50" s="7" t="str">
        <f t="shared" ref="G50:K50" si="23">IF(G20="","",G20&amp;",")</f>
        <v>2,</v>
      </c>
      <c r="H50" s="6" t="str">
        <f>IF(H20="","",(_xlfn.XLOOKUP(H20,道具表!$B:$B,道具表!$C:$C)&amp;"|"&amp;_xlfn.XLOOKUP(H20,道具表!$B:$B,道具表!$A:$A)&amp;"|"))</f>
        <v>1|6|</v>
      </c>
      <c r="I50" s="7" t="str">
        <f t="shared" si="23"/>
        <v>20,</v>
      </c>
      <c r="J50" s="6" t="str">
        <f>IF(J20="","",(_xlfn.XLOOKUP(J20,道具表!$B:$B,道具表!$C:$C)&amp;"|"&amp;_xlfn.XLOOKUP(J20,道具表!$B:$B,道具表!$A:$A)&amp;"|"))</f>
        <v/>
      </c>
      <c r="K50" s="7" t="str">
        <f t="shared" si="23"/>
        <v/>
      </c>
      <c r="L50" s="7"/>
      <c r="M50" s="7" t="str">
        <f t="shared" si="2"/>
        <v/>
      </c>
      <c r="N50" s="19" t="str">
        <f t="shared" si="5"/>
        <v>1|6|2</v>
      </c>
      <c r="O50" s="20" t="str">
        <f t="shared" si="6"/>
        <v>1|6|20</v>
      </c>
    </row>
    <row r="51" ht="15.6" spans="4:15">
      <c r="D51" s="17"/>
      <c r="E51" s="7">
        <f t="shared" si="3"/>
        <v>32</v>
      </c>
      <c r="F51" s="6" t="str">
        <f>IF(F21="","",(_xlfn.XLOOKUP(F21,道具表!$B:$B,道具表!$C:$C)&amp;"|"&amp;_xlfn.XLOOKUP(F21,道具表!$B:$B,道具表!$A:$A)&amp;"|"))</f>
        <v>1|6|</v>
      </c>
      <c r="G51" s="7" t="str">
        <f t="shared" ref="G51:K51" si="24">IF(G21="","",G21&amp;",")</f>
        <v>2,</v>
      </c>
      <c r="H51" s="6" t="str">
        <f>IF(H21="","",(_xlfn.XLOOKUP(H21,道具表!$B:$B,道具表!$C:$C)&amp;"|"&amp;_xlfn.XLOOKUP(H21,道具表!$B:$B,道具表!$A:$A)&amp;"|"))</f>
        <v>1|6|</v>
      </c>
      <c r="I51" s="7" t="str">
        <f t="shared" si="24"/>
        <v>20,</v>
      </c>
      <c r="J51" s="6" t="str">
        <f>IF(J21="","",(_xlfn.XLOOKUP(J21,道具表!$B:$B,道具表!$C:$C)&amp;"|"&amp;_xlfn.XLOOKUP(J21,道具表!$B:$B,道具表!$A:$A)&amp;"|"))</f>
        <v/>
      </c>
      <c r="K51" s="7" t="str">
        <f t="shared" si="24"/>
        <v/>
      </c>
      <c r="L51" s="7"/>
      <c r="M51" s="7" t="str">
        <f t="shared" si="2"/>
        <v/>
      </c>
      <c r="N51" s="19" t="str">
        <f t="shared" si="5"/>
        <v>1|6|2</v>
      </c>
      <c r="O51" s="20" t="str">
        <f t="shared" si="6"/>
        <v>1|6|20</v>
      </c>
    </row>
    <row r="52" ht="15.6" spans="4:15">
      <c r="D52" s="17"/>
      <c r="E52" s="7">
        <f t="shared" si="3"/>
        <v>34</v>
      </c>
      <c r="F52" s="6" t="str">
        <f>IF(F22="","",(_xlfn.XLOOKUP(F22,道具表!$B:$B,道具表!$C:$C)&amp;"|"&amp;_xlfn.XLOOKUP(F22,道具表!$B:$B,道具表!$A:$A)&amp;"|"))</f>
        <v>1|6|</v>
      </c>
      <c r="G52" s="7" t="str">
        <f t="shared" ref="G52:K52" si="25">IF(G22="","",G22&amp;",")</f>
        <v>2,</v>
      </c>
      <c r="H52" s="6" t="str">
        <f>IF(H22="","",(_xlfn.XLOOKUP(H22,道具表!$B:$B,道具表!$C:$C)&amp;"|"&amp;_xlfn.XLOOKUP(H22,道具表!$B:$B,道具表!$A:$A)&amp;"|"))</f>
        <v>1|6|</v>
      </c>
      <c r="I52" s="7" t="str">
        <f t="shared" si="25"/>
        <v>30,</v>
      </c>
      <c r="J52" s="6" t="str">
        <f>IF(J22="","",(_xlfn.XLOOKUP(J22,道具表!$B:$B,道具表!$C:$C)&amp;"|"&amp;_xlfn.XLOOKUP(J22,道具表!$B:$B,道具表!$A:$A)&amp;"|"))</f>
        <v/>
      </c>
      <c r="K52" s="7" t="str">
        <f t="shared" si="25"/>
        <v/>
      </c>
      <c r="L52" s="7"/>
      <c r="M52" s="7" t="str">
        <f t="shared" si="2"/>
        <v/>
      </c>
      <c r="N52" s="19" t="str">
        <f t="shared" si="5"/>
        <v>1|6|2</v>
      </c>
      <c r="O52" s="20" t="str">
        <f t="shared" si="6"/>
        <v>1|6|30</v>
      </c>
    </row>
    <row r="53" ht="15.6" spans="4:15">
      <c r="D53" s="17"/>
      <c r="E53" s="7">
        <f t="shared" si="3"/>
        <v>36</v>
      </c>
      <c r="F53" s="6" t="str">
        <f>IF(F23="","",(_xlfn.XLOOKUP(F23,道具表!$B:$B,道具表!$C:$C)&amp;"|"&amp;_xlfn.XLOOKUP(F23,道具表!$B:$B,道具表!$A:$A)&amp;"|"))</f>
        <v>1|6|</v>
      </c>
      <c r="G53" s="7" t="str">
        <f t="shared" ref="G53:K53" si="26">IF(G23="","",G23&amp;",")</f>
        <v>2,</v>
      </c>
      <c r="H53" s="6" t="str">
        <f>IF(H23="","",(_xlfn.XLOOKUP(H23,道具表!$B:$B,道具表!$C:$C)&amp;"|"&amp;_xlfn.XLOOKUP(H23,道具表!$B:$B,道具表!$A:$A)&amp;"|"))</f>
        <v>1|6|</v>
      </c>
      <c r="I53" s="7" t="str">
        <f t="shared" si="26"/>
        <v>30,</v>
      </c>
      <c r="J53" s="6" t="str">
        <f>IF(J23="","",(_xlfn.XLOOKUP(J23,道具表!$B:$B,道具表!$C:$C)&amp;"|"&amp;_xlfn.XLOOKUP(J23,道具表!$B:$B,道具表!$A:$A)&amp;"|"))</f>
        <v/>
      </c>
      <c r="K53" s="7" t="str">
        <f t="shared" si="26"/>
        <v/>
      </c>
      <c r="L53" s="7"/>
      <c r="M53" s="7" t="str">
        <f t="shared" si="2"/>
        <v/>
      </c>
      <c r="N53" s="19" t="str">
        <f t="shared" si="5"/>
        <v>1|6|2</v>
      </c>
      <c r="O53" s="20" t="str">
        <f t="shared" si="6"/>
        <v>1|6|30</v>
      </c>
    </row>
    <row r="54" ht="15.6" spans="4:15">
      <c r="D54" s="17"/>
      <c r="E54" s="7">
        <f t="shared" si="3"/>
        <v>38</v>
      </c>
      <c r="F54" s="6" t="str">
        <f>IF(F24="","",(_xlfn.XLOOKUP(F24,道具表!$B:$B,道具表!$C:$C)&amp;"|"&amp;_xlfn.XLOOKUP(F24,道具表!$B:$B,道具表!$A:$A)&amp;"|"))</f>
        <v>1|6|</v>
      </c>
      <c r="G54" s="7" t="str">
        <f t="shared" ref="G54:K54" si="27">IF(G24="","",G24&amp;",")</f>
        <v>2,</v>
      </c>
      <c r="H54" s="6" t="str">
        <f>IF(H24="","",(_xlfn.XLOOKUP(H24,道具表!$B:$B,道具表!$C:$C)&amp;"|"&amp;_xlfn.XLOOKUP(H24,道具表!$B:$B,道具表!$A:$A)&amp;"|"))</f>
        <v>1|6|</v>
      </c>
      <c r="I54" s="7" t="str">
        <f t="shared" si="27"/>
        <v>30,</v>
      </c>
      <c r="J54" s="6" t="str">
        <f>IF(J24="","",(_xlfn.XLOOKUP(J24,道具表!$B:$B,道具表!$C:$C)&amp;"|"&amp;_xlfn.XLOOKUP(J24,道具表!$B:$B,道具表!$A:$A)&amp;"|"))</f>
        <v/>
      </c>
      <c r="K54" s="7" t="str">
        <f t="shared" si="27"/>
        <v/>
      </c>
      <c r="L54" s="7"/>
      <c r="M54" s="7" t="str">
        <f t="shared" si="2"/>
        <v/>
      </c>
      <c r="N54" s="19" t="str">
        <f t="shared" si="5"/>
        <v>1|6|2</v>
      </c>
      <c r="O54" s="20" t="str">
        <f t="shared" si="6"/>
        <v>1|6|30</v>
      </c>
    </row>
    <row r="55" ht="15.6" spans="4:15">
      <c r="D55" s="17"/>
      <c r="E55" s="7">
        <f t="shared" si="3"/>
        <v>40</v>
      </c>
      <c r="F55" s="6" t="str">
        <f>IF(F25="","",(_xlfn.XLOOKUP(F25,道具表!$B:$B,道具表!$C:$C)&amp;"|"&amp;_xlfn.XLOOKUP(F25,道具表!$B:$B,道具表!$A:$A)&amp;"|"))</f>
        <v>1|6|</v>
      </c>
      <c r="G55" s="7" t="str">
        <f t="shared" ref="G55:K55" si="28">IF(G25="","",G25&amp;",")</f>
        <v>2,</v>
      </c>
      <c r="H55" s="6" t="str">
        <f>IF(H25="","",(_xlfn.XLOOKUP(H25,道具表!$B:$B,道具表!$C:$C)&amp;"|"&amp;_xlfn.XLOOKUP(H25,道具表!$B:$B,道具表!$A:$A)&amp;"|"))</f>
        <v>1|6|</v>
      </c>
      <c r="I55" s="7" t="str">
        <f t="shared" si="28"/>
        <v>40,</v>
      </c>
      <c r="J55" s="6" t="str">
        <f>IF(J25="","",(_xlfn.XLOOKUP(J25,道具表!$B:$B,道具表!$C:$C)&amp;"|"&amp;_xlfn.XLOOKUP(J25,道具表!$B:$B,道具表!$A:$A)&amp;"|"))</f>
        <v/>
      </c>
      <c r="K55" s="7" t="str">
        <f t="shared" si="28"/>
        <v/>
      </c>
      <c r="L55" s="7"/>
      <c r="M55" s="7" t="str">
        <f t="shared" si="2"/>
        <v/>
      </c>
      <c r="N55" s="19" t="str">
        <f t="shared" si="5"/>
        <v>1|6|2</v>
      </c>
      <c r="O55" s="20" t="str">
        <f t="shared" si="6"/>
        <v>1|6|40</v>
      </c>
    </row>
    <row r="56" ht="15.6" spans="4:15">
      <c r="D56" s="17"/>
      <c r="E56" s="7">
        <f t="shared" si="3"/>
        <v>42</v>
      </c>
      <c r="F56" s="6" t="str">
        <f>IF(F26="","",(_xlfn.XLOOKUP(F26,道具表!$B:$B,道具表!$C:$C)&amp;"|"&amp;_xlfn.XLOOKUP(F26,道具表!$B:$B,道具表!$A:$A)&amp;"|"))</f>
        <v>1|6|</v>
      </c>
      <c r="G56" s="7" t="str">
        <f t="shared" ref="G56:K56" si="29">IF(G26="","",G26&amp;",")</f>
        <v>2,</v>
      </c>
      <c r="H56" s="6" t="str">
        <f>IF(H26="","",(_xlfn.XLOOKUP(H26,道具表!$B:$B,道具表!$C:$C)&amp;"|"&amp;_xlfn.XLOOKUP(H26,道具表!$B:$B,道具表!$A:$A)&amp;"|"))</f>
        <v>1|6|</v>
      </c>
      <c r="I56" s="7" t="str">
        <f t="shared" si="29"/>
        <v>50,</v>
      </c>
      <c r="J56" s="6" t="str">
        <f>IF(J26="","",(_xlfn.XLOOKUP(J26,道具表!$B:$B,道具表!$C:$C)&amp;"|"&amp;_xlfn.XLOOKUP(J26,道具表!$B:$B,道具表!$A:$A)&amp;"|"))</f>
        <v/>
      </c>
      <c r="K56" s="7" t="str">
        <f t="shared" si="29"/>
        <v/>
      </c>
      <c r="L56" s="7"/>
      <c r="M56" s="7" t="str">
        <f t="shared" si="2"/>
        <v/>
      </c>
      <c r="N56" s="19" t="str">
        <f t="shared" si="5"/>
        <v>1|6|2</v>
      </c>
      <c r="O56" s="20" t="str">
        <f t="shared" si="6"/>
        <v>1|6|50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P56"/>
  <sheetViews>
    <sheetView topLeftCell="A4" workbookViewId="0">
      <selection activeCell="I8" sqref="I3:I8"/>
    </sheetView>
  </sheetViews>
  <sheetFormatPr defaultColWidth="8.88888888888889" defaultRowHeight="14.4"/>
  <cols>
    <col min="4" max="6" width="8.88888888888889" style="14"/>
    <col min="7" max="7" width="12.8888888888889" style="14"/>
    <col min="8" max="8" width="8.88888888888889" style="14"/>
    <col min="9" max="9" width="12.8888888888889" style="14"/>
    <col min="10" max="15" width="8.88888888888889" style="14"/>
    <col min="16" max="16" width="15.6666666666667" style="14"/>
    <col min="17" max="18" width="12.8888888888889"/>
  </cols>
  <sheetData>
    <row r="1" spans="9:9">
      <c r="I1" s="14">
        <v>18660</v>
      </c>
    </row>
    <row r="2" ht="15.6" spans="4:16">
      <c r="D2" s="7" t="s">
        <v>338</v>
      </c>
      <c r="E2" s="7" t="s">
        <v>1130</v>
      </c>
      <c r="F2" s="7" t="s">
        <v>953</v>
      </c>
      <c r="G2" s="7" t="s">
        <v>323</v>
      </c>
      <c r="H2" s="7" t="s">
        <v>1124</v>
      </c>
      <c r="I2" s="7" t="s">
        <v>323</v>
      </c>
      <c r="J2" s="7" t="s">
        <v>1125</v>
      </c>
      <c r="K2" s="7" t="s">
        <v>323</v>
      </c>
      <c r="L2" s="7" t="s">
        <v>1126</v>
      </c>
      <c r="M2" s="7" t="s">
        <v>323</v>
      </c>
      <c r="N2" s="6" t="s">
        <v>339</v>
      </c>
      <c r="O2" s="6" t="s">
        <v>340</v>
      </c>
      <c r="P2" s="6" t="s">
        <v>341</v>
      </c>
    </row>
    <row r="3" ht="15.6" spans="4:16">
      <c r="D3" s="7">
        <v>328</v>
      </c>
      <c r="E3" s="15">
        <v>1</v>
      </c>
      <c r="F3" s="7" t="s">
        <v>45</v>
      </c>
      <c r="G3" s="7">
        <v>1</v>
      </c>
      <c r="H3" s="7" t="s">
        <v>45</v>
      </c>
      <c r="I3" s="7">
        <v>10</v>
      </c>
      <c r="J3" s="7"/>
      <c r="K3" s="7"/>
      <c r="L3" s="7" t="s">
        <v>6</v>
      </c>
      <c r="M3" s="7">
        <v>3280</v>
      </c>
      <c r="N3" s="6">
        <f>_xlfn.XLOOKUP(H3,道具表!$B:$B,道具表!$E:$E)</f>
        <v>100</v>
      </c>
      <c r="O3" s="6">
        <f>_xlfn.XLOOKUP(J3,道具表!$B:$B,道具表!$E:$E)</f>
        <v>0</v>
      </c>
      <c r="P3" s="6">
        <f t="shared" ref="P3:P26" si="0">N3*I3+O3*K3</f>
        <v>1000</v>
      </c>
    </row>
    <row r="4" ht="15.6" spans="4:16">
      <c r="D4" s="7"/>
      <c r="E4" s="15">
        <v>2</v>
      </c>
      <c r="F4" s="7" t="s">
        <v>45</v>
      </c>
      <c r="G4" s="7">
        <v>1</v>
      </c>
      <c r="H4" s="7" t="s">
        <v>45</v>
      </c>
      <c r="I4" s="7">
        <v>10</v>
      </c>
      <c r="J4" s="7"/>
      <c r="K4" s="7"/>
      <c r="L4" s="7"/>
      <c r="M4" s="7"/>
      <c r="N4" s="6">
        <f>_xlfn.XLOOKUP(H4,道具表!$B:$B,道具表!$E:$E)</f>
        <v>100</v>
      </c>
      <c r="O4" s="6">
        <f>_xlfn.XLOOKUP(J4,道具表!$B:$B,道具表!$E:$E)</f>
        <v>0</v>
      </c>
      <c r="P4" s="6">
        <f t="shared" si="0"/>
        <v>1000</v>
      </c>
    </row>
    <row r="5" ht="15.6" spans="4:16">
      <c r="D5" s="7"/>
      <c r="E5" s="15">
        <v>3</v>
      </c>
      <c r="F5" s="7" t="s">
        <v>45</v>
      </c>
      <c r="G5" s="7">
        <v>1</v>
      </c>
      <c r="H5" s="7" t="s">
        <v>45</v>
      </c>
      <c r="I5" s="7">
        <v>10</v>
      </c>
      <c r="J5" s="7"/>
      <c r="K5" s="7"/>
      <c r="L5" s="7"/>
      <c r="M5" s="7"/>
      <c r="N5" s="6">
        <f>_xlfn.XLOOKUP(H5,道具表!$B:$B,道具表!$E:$E)</f>
        <v>100</v>
      </c>
      <c r="O5" s="6">
        <f>_xlfn.XLOOKUP(J5,道具表!$B:$B,道具表!$E:$E)</f>
        <v>0</v>
      </c>
      <c r="P5" s="6">
        <f t="shared" si="0"/>
        <v>1000</v>
      </c>
    </row>
    <row r="6" ht="15.6" spans="4:16">
      <c r="D6" s="7"/>
      <c r="E6" s="15">
        <v>4</v>
      </c>
      <c r="F6" s="7" t="s">
        <v>45</v>
      </c>
      <c r="G6" s="7">
        <v>1</v>
      </c>
      <c r="H6" s="7" t="s">
        <v>45</v>
      </c>
      <c r="I6" s="7">
        <v>10</v>
      </c>
      <c r="J6" s="7"/>
      <c r="K6" s="7"/>
      <c r="L6" s="7"/>
      <c r="M6" s="7"/>
      <c r="N6" s="6">
        <f>_xlfn.XLOOKUP(H6,道具表!$B:$B,道具表!$E:$E)</f>
        <v>100</v>
      </c>
      <c r="O6" s="6">
        <f>_xlfn.XLOOKUP(J6,道具表!$B:$B,道具表!$E:$E)</f>
        <v>0</v>
      </c>
      <c r="P6" s="6">
        <f t="shared" si="0"/>
        <v>1000</v>
      </c>
    </row>
    <row r="7" ht="15.6" spans="4:16">
      <c r="D7" s="7"/>
      <c r="E7" s="15">
        <v>5</v>
      </c>
      <c r="F7" s="7" t="s">
        <v>45</v>
      </c>
      <c r="G7" s="7">
        <v>1</v>
      </c>
      <c r="H7" s="7" t="s">
        <v>45</v>
      </c>
      <c r="I7" s="7">
        <v>15</v>
      </c>
      <c r="J7" s="7"/>
      <c r="K7" s="7"/>
      <c r="L7" s="7"/>
      <c r="M7" s="7"/>
      <c r="N7" s="6">
        <f>_xlfn.XLOOKUP(H7,道具表!$B:$B,道具表!$E:$E)</f>
        <v>100</v>
      </c>
      <c r="O7" s="6">
        <f>_xlfn.XLOOKUP(J7,道具表!$B:$B,道具表!$E:$E)</f>
        <v>0</v>
      </c>
      <c r="P7" s="6">
        <f t="shared" si="0"/>
        <v>1500</v>
      </c>
    </row>
    <row r="8" ht="15.6" spans="4:16">
      <c r="D8" s="7"/>
      <c r="E8" s="15">
        <v>6</v>
      </c>
      <c r="F8" s="7" t="s">
        <v>45</v>
      </c>
      <c r="G8" s="7">
        <v>1</v>
      </c>
      <c r="H8" s="7" t="s">
        <v>45</v>
      </c>
      <c r="I8" s="7">
        <v>15</v>
      </c>
      <c r="J8" s="7"/>
      <c r="K8" s="7"/>
      <c r="L8" s="7"/>
      <c r="M8" s="7"/>
      <c r="N8" s="6">
        <f>_xlfn.XLOOKUP(H8,道具表!$B:$B,道具表!$E:$E)</f>
        <v>100</v>
      </c>
      <c r="O8" s="6">
        <f>_xlfn.XLOOKUP(J8,道具表!$B:$B,道具表!$E:$E)</f>
        <v>0</v>
      </c>
      <c r="P8" s="6">
        <f t="shared" si="0"/>
        <v>1500</v>
      </c>
    </row>
    <row r="9" ht="15.6" spans="4:16">
      <c r="D9" s="7"/>
      <c r="E9" s="15">
        <v>8</v>
      </c>
      <c r="F9" s="7" t="s">
        <v>45</v>
      </c>
      <c r="G9" s="7">
        <v>1</v>
      </c>
      <c r="H9" s="7" t="s">
        <v>45</v>
      </c>
      <c r="I9" s="7">
        <v>15</v>
      </c>
      <c r="J9" s="7"/>
      <c r="K9" s="7"/>
      <c r="L9" s="7"/>
      <c r="M9" s="7"/>
      <c r="N9" s="6">
        <f>_xlfn.XLOOKUP(H9,道具表!$B:$B,道具表!$E:$E)</f>
        <v>100</v>
      </c>
      <c r="O9" s="6">
        <f>_xlfn.XLOOKUP(J9,道具表!$B:$B,道具表!$E:$E)</f>
        <v>0</v>
      </c>
      <c r="P9" s="6">
        <f t="shared" si="0"/>
        <v>1500</v>
      </c>
    </row>
    <row r="10" ht="15.6" spans="4:16">
      <c r="D10" s="7"/>
      <c r="E10" s="15">
        <v>10</v>
      </c>
      <c r="F10" s="7" t="s">
        <v>45</v>
      </c>
      <c r="G10" s="7">
        <v>1</v>
      </c>
      <c r="H10" s="7" t="s">
        <v>45</v>
      </c>
      <c r="I10" s="7">
        <v>15</v>
      </c>
      <c r="J10" s="7"/>
      <c r="K10" s="7"/>
      <c r="L10" s="7"/>
      <c r="M10" s="7"/>
      <c r="N10" s="6">
        <f>_xlfn.XLOOKUP(H10,道具表!$B:$B,道具表!$E:$E)</f>
        <v>100</v>
      </c>
      <c r="O10" s="6">
        <f>_xlfn.XLOOKUP(J10,道具表!$B:$B,道具表!$E:$E)</f>
        <v>0</v>
      </c>
      <c r="P10" s="6">
        <f t="shared" si="0"/>
        <v>1500</v>
      </c>
    </row>
    <row r="11" ht="15.6" spans="4:16">
      <c r="D11" s="7"/>
      <c r="E11" s="15">
        <v>12</v>
      </c>
      <c r="F11" s="7" t="s">
        <v>45</v>
      </c>
      <c r="G11" s="7">
        <v>1</v>
      </c>
      <c r="H11" s="7" t="s">
        <v>45</v>
      </c>
      <c r="I11" s="7">
        <v>15</v>
      </c>
      <c r="J11" s="7"/>
      <c r="K11" s="7"/>
      <c r="L11" s="7"/>
      <c r="M11" s="7"/>
      <c r="N11" s="6">
        <f>_xlfn.XLOOKUP(H11,道具表!$B:$B,道具表!$E:$E)</f>
        <v>100</v>
      </c>
      <c r="O11" s="6">
        <f>_xlfn.XLOOKUP(J11,道具表!$B:$B,道具表!$E:$E)</f>
        <v>0</v>
      </c>
      <c r="P11" s="6">
        <f t="shared" si="0"/>
        <v>1500</v>
      </c>
    </row>
    <row r="12" ht="15.6" spans="4:16">
      <c r="D12" s="7"/>
      <c r="E12" s="15">
        <v>14</v>
      </c>
      <c r="F12" s="7" t="s">
        <v>45</v>
      </c>
      <c r="G12" s="7">
        <v>1</v>
      </c>
      <c r="H12" s="7" t="s">
        <v>45</v>
      </c>
      <c r="I12" s="7">
        <v>15</v>
      </c>
      <c r="J12" s="7"/>
      <c r="K12" s="7"/>
      <c r="L12" s="7"/>
      <c r="M12" s="7"/>
      <c r="N12" s="6">
        <f>_xlfn.XLOOKUP(H12,道具表!$B:$B,道具表!$E:$E)</f>
        <v>100</v>
      </c>
      <c r="O12" s="6">
        <f>_xlfn.XLOOKUP(J12,道具表!$B:$B,道具表!$E:$E)</f>
        <v>0</v>
      </c>
      <c r="P12" s="6">
        <f t="shared" si="0"/>
        <v>1500</v>
      </c>
    </row>
    <row r="13" ht="15.6" spans="4:16">
      <c r="D13" s="7"/>
      <c r="E13" s="15">
        <v>16</v>
      </c>
      <c r="F13" s="7" t="s">
        <v>45</v>
      </c>
      <c r="G13" s="7">
        <v>2</v>
      </c>
      <c r="H13" s="7" t="s">
        <v>45</v>
      </c>
      <c r="I13" s="7">
        <v>15</v>
      </c>
      <c r="J13" s="7"/>
      <c r="K13" s="7"/>
      <c r="L13" s="7"/>
      <c r="M13" s="7"/>
      <c r="N13" s="6">
        <f>_xlfn.XLOOKUP(H13,道具表!$B:$B,道具表!$E:$E)</f>
        <v>100</v>
      </c>
      <c r="O13" s="6">
        <f>_xlfn.XLOOKUP(J13,道具表!$B:$B,道具表!$E:$E)</f>
        <v>0</v>
      </c>
      <c r="P13" s="6">
        <f t="shared" si="0"/>
        <v>1500</v>
      </c>
    </row>
    <row r="14" ht="15.6" spans="4:16">
      <c r="D14" s="7"/>
      <c r="E14" s="15">
        <v>18</v>
      </c>
      <c r="F14" s="7" t="s">
        <v>45</v>
      </c>
      <c r="G14" s="7">
        <v>2</v>
      </c>
      <c r="H14" s="7" t="s">
        <v>45</v>
      </c>
      <c r="I14" s="7">
        <v>15</v>
      </c>
      <c r="J14" s="7"/>
      <c r="K14" s="7"/>
      <c r="L14" s="7"/>
      <c r="M14" s="7"/>
      <c r="N14" s="6">
        <f>_xlfn.XLOOKUP(H14,道具表!$B:$B,道具表!$E:$E)</f>
        <v>100</v>
      </c>
      <c r="O14" s="6">
        <f>_xlfn.XLOOKUP(J14,道具表!$B:$B,道具表!$E:$E)</f>
        <v>0</v>
      </c>
      <c r="P14" s="6">
        <f t="shared" si="0"/>
        <v>1500</v>
      </c>
    </row>
    <row r="15" ht="15.6" spans="4:16">
      <c r="D15" s="7"/>
      <c r="E15" s="15">
        <v>20</v>
      </c>
      <c r="F15" s="7" t="s">
        <v>45</v>
      </c>
      <c r="G15" s="7">
        <v>2</v>
      </c>
      <c r="H15" s="7" t="s">
        <v>45</v>
      </c>
      <c r="I15" s="7">
        <v>15</v>
      </c>
      <c r="J15" s="7"/>
      <c r="K15" s="7"/>
      <c r="L15" s="7"/>
      <c r="M15" s="7"/>
      <c r="N15" s="6">
        <f>_xlfn.XLOOKUP(H15,道具表!$B:$B,道具表!$E:$E)</f>
        <v>100</v>
      </c>
      <c r="O15" s="6">
        <f>_xlfn.XLOOKUP(J15,道具表!$B:$B,道具表!$E:$E)</f>
        <v>0</v>
      </c>
      <c r="P15" s="6">
        <f t="shared" si="0"/>
        <v>1500</v>
      </c>
    </row>
    <row r="16" ht="15.6" spans="4:16">
      <c r="D16" s="7"/>
      <c r="E16" s="15">
        <v>22</v>
      </c>
      <c r="F16" s="7" t="s">
        <v>45</v>
      </c>
      <c r="G16" s="7">
        <v>2</v>
      </c>
      <c r="H16" s="7" t="s">
        <v>45</v>
      </c>
      <c r="I16" s="7">
        <v>15</v>
      </c>
      <c r="J16" s="7"/>
      <c r="K16" s="7"/>
      <c r="L16" s="7"/>
      <c r="M16" s="7"/>
      <c r="N16" s="6">
        <f>_xlfn.XLOOKUP(H16,道具表!$B:$B,道具表!$E:$E)</f>
        <v>100</v>
      </c>
      <c r="O16" s="6">
        <f>_xlfn.XLOOKUP(J16,道具表!$B:$B,道具表!$E:$E)</f>
        <v>0</v>
      </c>
      <c r="P16" s="6">
        <f t="shared" si="0"/>
        <v>1500</v>
      </c>
    </row>
    <row r="17" ht="15.6" spans="4:16">
      <c r="D17" s="7"/>
      <c r="E17" s="15">
        <v>24</v>
      </c>
      <c r="F17" s="7" t="s">
        <v>45</v>
      </c>
      <c r="G17" s="7">
        <v>2</v>
      </c>
      <c r="H17" s="7" t="s">
        <v>45</v>
      </c>
      <c r="I17" s="7">
        <v>20</v>
      </c>
      <c r="J17" s="7"/>
      <c r="K17" s="7"/>
      <c r="L17" s="7"/>
      <c r="M17" s="7"/>
      <c r="N17" s="6">
        <f>_xlfn.XLOOKUP(H17,道具表!$B:$B,道具表!$E:$E)</f>
        <v>100</v>
      </c>
      <c r="O17" s="6">
        <f>_xlfn.XLOOKUP(J17,道具表!$B:$B,道具表!$E:$E)</f>
        <v>0</v>
      </c>
      <c r="P17" s="6">
        <f t="shared" si="0"/>
        <v>2000</v>
      </c>
    </row>
    <row r="18" ht="15.6" spans="4:16">
      <c r="D18" s="7"/>
      <c r="E18" s="15">
        <v>26</v>
      </c>
      <c r="F18" s="7" t="s">
        <v>45</v>
      </c>
      <c r="G18" s="7">
        <v>2</v>
      </c>
      <c r="H18" s="7" t="s">
        <v>45</v>
      </c>
      <c r="I18" s="7">
        <v>20</v>
      </c>
      <c r="J18" s="7"/>
      <c r="K18" s="7"/>
      <c r="L18" s="7"/>
      <c r="M18" s="7"/>
      <c r="N18" s="6">
        <f>_xlfn.XLOOKUP(H18,道具表!$B:$B,道具表!$E:$E)</f>
        <v>100</v>
      </c>
      <c r="O18" s="6">
        <f>_xlfn.XLOOKUP(J18,道具表!$B:$B,道具表!$E:$E)</f>
        <v>0</v>
      </c>
      <c r="P18" s="6">
        <f t="shared" si="0"/>
        <v>2000</v>
      </c>
    </row>
    <row r="19" ht="15.6" spans="4:16">
      <c r="D19" s="7"/>
      <c r="E19" s="15">
        <v>28</v>
      </c>
      <c r="F19" s="7" t="s">
        <v>45</v>
      </c>
      <c r="G19" s="7">
        <v>2</v>
      </c>
      <c r="H19" s="7" t="s">
        <v>45</v>
      </c>
      <c r="I19" s="7">
        <v>20</v>
      </c>
      <c r="J19" s="7"/>
      <c r="K19" s="7"/>
      <c r="L19" s="7"/>
      <c r="M19" s="7"/>
      <c r="N19" s="6">
        <f>_xlfn.XLOOKUP(H19,道具表!$B:$B,道具表!$E:$E)</f>
        <v>100</v>
      </c>
      <c r="O19" s="6">
        <f>_xlfn.XLOOKUP(J19,道具表!$B:$B,道具表!$E:$E)</f>
        <v>0</v>
      </c>
      <c r="P19" s="6">
        <f t="shared" si="0"/>
        <v>2000</v>
      </c>
    </row>
    <row r="20" ht="15.6" spans="4:16">
      <c r="D20" s="7"/>
      <c r="E20" s="15">
        <v>30</v>
      </c>
      <c r="F20" s="7" t="s">
        <v>45</v>
      </c>
      <c r="G20" s="7">
        <v>2</v>
      </c>
      <c r="H20" s="7" t="s">
        <v>45</v>
      </c>
      <c r="I20" s="7">
        <v>20</v>
      </c>
      <c r="J20" s="7"/>
      <c r="K20" s="7"/>
      <c r="L20" s="7"/>
      <c r="M20" s="7"/>
      <c r="N20" s="6">
        <f>_xlfn.XLOOKUP(H20,道具表!$B:$B,道具表!$E:$E)</f>
        <v>100</v>
      </c>
      <c r="O20" s="6">
        <f>_xlfn.XLOOKUP(J20,道具表!$B:$B,道具表!$E:$E)</f>
        <v>0</v>
      </c>
      <c r="P20" s="6">
        <f t="shared" si="0"/>
        <v>2000</v>
      </c>
    </row>
    <row r="21" ht="15.6" spans="4:16">
      <c r="D21" s="7"/>
      <c r="E21" s="15">
        <v>32</v>
      </c>
      <c r="F21" s="7" t="s">
        <v>45</v>
      </c>
      <c r="G21" s="7">
        <v>2</v>
      </c>
      <c r="H21" s="7" t="s">
        <v>45</v>
      </c>
      <c r="I21" s="7">
        <v>20</v>
      </c>
      <c r="J21" s="7"/>
      <c r="K21" s="7"/>
      <c r="L21" s="7"/>
      <c r="M21" s="7"/>
      <c r="N21" s="6">
        <f>_xlfn.XLOOKUP(H21,道具表!$B:$B,道具表!$E:$E)</f>
        <v>100</v>
      </c>
      <c r="O21" s="6">
        <f>_xlfn.XLOOKUP(J21,道具表!$B:$B,道具表!$E:$E)</f>
        <v>0</v>
      </c>
      <c r="P21" s="6">
        <f t="shared" si="0"/>
        <v>2000</v>
      </c>
    </row>
    <row r="22" ht="15.6" spans="4:16">
      <c r="D22" s="7"/>
      <c r="E22" s="15">
        <v>34</v>
      </c>
      <c r="F22" s="7" t="s">
        <v>45</v>
      </c>
      <c r="G22" s="7">
        <v>2</v>
      </c>
      <c r="H22" s="7" t="s">
        <v>45</v>
      </c>
      <c r="I22" s="7">
        <v>30</v>
      </c>
      <c r="J22" s="7"/>
      <c r="K22" s="7"/>
      <c r="L22" s="7"/>
      <c r="M22" s="7"/>
      <c r="N22" s="6">
        <f>_xlfn.XLOOKUP(H22,道具表!$B:$B,道具表!$E:$E)</f>
        <v>100</v>
      </c>
      <c r="O22" s="6">
        <f>_xlfn.XLOOKUP(J22,道具表!$B:$B,道具表!$E:$E)</f>
        <v>0</v>
      </c>
      <c r="P22" s="6">
        <f t="shared" si="0"/>
        <v>3000</v>
      </c>
    </row>
    <row r="23" ht="15.6" spans="4:16">
      <c r="D23" s="7"/>
      <c r="E23" s="15">
        <v>36</v>
      </c>
      <c r="F23" s="7" t="s">
        <v>45</v>
      </c>
      <c r="G23" s="7">
        <v>2</v>
      </c>
      <c r="H23" s="7" t="s">
        <v>45</v>
      </c>
      <c r="I23" s="7">
        <v>30</v>
      </c>
      <c r="J23" s="7"/>
      <c r="K23" s="7"/>
      <c r="L23" s="7"/>
      <c r="M23" s="7"/>
      <c r="N23" s="6">
        <f>_xlfn.XLOOKUP(H23,道具表!$B:$B,道具表!$E:$E)</f>
        <v>100</v>
      </c>
      <c r="O23" s="6">
        <f>_xlfn.XLOOKUP(J23,道具表!$B:$B,道具表!$E:$E)</f>
        <v>0</v>
      </c>
      <c r="P23" s="6">
        <f t="shared" si="0"/>
        <v>3000</v>
      </c>
    </row>
    <row r="24" ht="15.6" spans="4:16">
      <c r="D24" s="7"/>
      <c r="E24" s="15">
        <v>38</v>
      </c>
      <c r="F24" s="7" t="s">
        <v>45</v>
      </c>
      <c r="G24" s="7">
        <v>2</v>
      </c>
      <c r="H24" s="7" t="s">
        <v>45</v>
      </c>
      <c r="I24" s="7">
        <v>30</v>
      </c>
      <c r="J24" s="7"/>
      <c r="K24" s="7"/>
      <c r="L24" s="7"/>
      <c r="M24" s="7"/>
      <c r="N24" s="6">
        <f>_xlfn.XLOOKUP(H24,道具表!$B:$B,道具表!$E:$E)</f>
        <v>100</v>
      </c>
      <c r="O24" s="6">
        <f>_xlfn.XLOOKUP(J24,道具表!$B:$B,道具表!$E:$E)</f>
        <v>0</v>
      </c>
      <c r="P24" s="6">
        <f t="shared" si="0"/>
        <v>3000</v>
      </c>
    </row>
    <row r="25" ht="15.6" spans="4:16">
      <c r="D25" s="7"/>
      <c r="E25" s="15">
        <v>40</v>
      </c>
      <c r="F25" s="7" t="s">
        <v>45</v>
      </c>
      <c r="G25" s="7">
        <v>2</v>
      </c>
      <c r="H25" s="7" t="s">
        <v>45</v>
      </c>
      <c r="I25" s="7">
        <v>40</v>
      </c>
      <c r="J25" s="7"/>
      <c r="K25" s="7"/>
      <c r="L25" s="7"/>
      <c r="M25" s="7"/>
      <c r="N25" s="6">
        <f>_xlfn.XLOOKUP(H25,道具表!$B:$B,道具表!$E:$E)</f>
        <v>100</v>
      </c>
      <c r="O25" s="6">
        <f>_xlfn.XLOOKUP(J25,道具表!$B:$B,道具表!$E:$E)</f>
        <v>0</v>
      </c>
      <c r="P25" s="6">
        <f t="shared" si="0"/>
        <v>4000</v>
      </c>
    </row>
    <row r="26" ht="15.6" spans="4:16">
      <c r="D26" s="7"/>
      <c r="E26" s="15">
        <v>42</v>
      </c>
      <c r="F26" s="7" t="s">
        <v>45</v>
      </c>
      <c r="G26" s="7">
        <v>2</v>
      </c>
      <c r="H26" s="7" t="s">
        <v>45</v>
      </c>
      <c r="I26" s="7">
        <v>50</v>
      </c>
      <c r="J26" s="7"/>
      <c r="K26" s="7"/>
      <c r="L26" s="7"/>
      <c r="M26" s="7"/>
      <c r="N26" s="6">
        <f>_xlfn.XLOOKUP(H26,道具表!$B:$B,道具表!$E:$E)</f>
        <v>100</v>
      </c>
      <c r="O26" s="6">
        <f>_xlfn.XLOOKUP(J26,道具表!$B:$B,道具表!$E:$E)</f>
        <v>0</v>
      </c>
      <c r="P26" s="6">
        <f t="shared" si="0"/>
        <v>5000</v>
      </c>
    </row>
    <row r="27" spans="4:16">
      <c r="D27" s="16"/>
      <c r="F27" s="16"/>
      <c r="G27" s="16"/>
      <c r="H27" s="16"/>
      <c r="I27" s="16"/>
      <c r="J27" s="16"/>
      <c r="K27" s="16"/>
      <c r="P27" s="14">
        <f>SUM(P3:P26)</f>
        <v>47000</v>
      </c>
    </row>
    <row r="28" spans="4:11">
      <c r="D28" s="16"/>
      <c r="F28" s="16"/>
      <c r="G28" s="16"/>
      <c r="H28" s="16"/>
      <c r="I28" s="16"/>
      <c r="J28" s="16"/>
      <c r="K28" s="16"/>
    </row>
    <row r="29" spans="4:11">
      <c r="D29" s="16"/>
      <c r="F29" s="16"/>
      <c r="G29" s="16"/>
      <c r="H29" s="16"/>
      <c r="I29" s="16"/>
      <c r="J29" s="16"/>
      <c r="K29" s="16"/>
    </row>
    <row r="30" spans="4:16">
      <c r="D30" s="16"/>
      <c r="F30" s="16"/>
      <c r="G30" s="16"/>
      <c r="H30" s="16"/>
      <c r="I30" s="16"/>
      <c r="J30" s="16"/>
      <c r="K30" s="16"/>
      <c r="P30" s="14">
        <f>SUM(P7:P29)</f>
        <v>90000</v>
      </c>
    </row>
    <row r="32" ht="15.6" spans="4:15">
      <c r="D32" s="7" t="s">
        <v>338</v>
      </c>
      <c r="E32" s="7" t="str">
        <f t="shared" ref="E32:E56" si="1">E2</f>
        <v>坐骑试炼</v>
      </c>
      <c r="F32" s="7" t="s">
        <v>953</v>
      </c>
      <c r="G32" s="7" t="str">
        <f t="shared" ref="G32:K32" si="2">IF(G2="","",G2&amp;",")</f>
        <v>数量,</v>
      </c>
      <c r="H32" s="7" t="s">
        <v>1124</v>
      </c>
      <c r="I32" s="7" t="str">
        <f t="shared" si="2"/>
        <v>数量,</v>
      </c>
      <c r="J32" s="7" t="s">
        <v>1125</v>
      </c>
      <c r="K32" s="7" t="str">
        <f t="shared" si="2"/>
        <v>数量,</v>
      </c>
      <c r="L32" s="7" t="s">
        <v>1126</v>
      </c>
      <c r="M32" s="7" t="str">
        <f t="shared" ref="M32:M56" si="3">IF(M2="","",M2&amp;",")</f>
        <v>数量,</v>
      </c>
      <c r="N32" s="18" t="s">
        <v>327</v>
      </c>
      <c r="O32" s="18" t="s">
        <v>327</v>
      </c>
    </row>
    <row r="33" ht="15.6" spans="4:15">
      <c r="D33" s="7">
        <v>328</v>
      </c>
      <c r="E33" s="7">
        <f t="shared" si="1"/>
        <v>1</v>
      </c>
      <c r="F33" s="6" t="str">
        <f>IF(F3="","",(_xlfn.XLOOKUP(F3,道具表!$B:$B,道具表!$C:$C)&amp;"|"&amp;_xlfn.XLOOKUP(F3,道具表!$B:$B,道具表!$A:$A)&amp;"|"))</f>
        <v>1|10005|</v>
      </c>
      <c r="G33" s="7" t="str">
        <f t="shared" ref="G33:K33" si="4">IF(G3="","",G3&amp;",")</f>
        <v>1,</v>
      </c>
      <c r="H33" s="6" t="str">
        <f>IF(H3="","",(_xlfn.XLOOKUP(H3,道具表!$B:$B,道具表!$C:$C)&amp;"|"&amp;_xlfn.XLOOKUP(H3,道具表!$B:$B,道具表!$A:$A)&amp;"|"))</f>
        <v>1|10005|</v>
      </c>
      <c r="I33" s="7" t="str">
        <f t="shared" si="4"/>
        <v>10,</v>
      </c>
      <c r="J33" s="6" t="str">
        <f>IF(J3="","",(_xlfn.XLOOKUP(J3,道具表!$B:$B,道具表!$C:$C)&amp;"|"&amp;_xlfn.XLOOKUP(J3,道具表!$B:$B,道具表!$A:$A)&amp;"|"))</f>
        <v/>
      </c>
      <c r="K33" s="7" t="str">
        <f t="shared" si="4"/>
        <v/>
      </c>
      <c r="L33" s="6" t="str">
        <f>_xlfn.XLOOKUP(L3,道具表!$B:$B,道具表!$C:$C)&amp;"|"&amp;_xlfn.XLOOKUP(L3,道具表!$B:$B,道具表!$A:$A)&amp;"|"</f>
        <v>1|2|</v>
      </c>
      <c r="M33" s="7" t="str">
        <f t="shared" si="3"/>
        <v>3280,</v>
      </c>
      <c r="N33" s="19" t="str">
        <f t="shared" ref="N33:N56" si="5">LEFT(F33&amp;G33,LEN(F33&amp;G33)-1)</f>
        <v>1|10005|1</v>
      </c>
      <c r="O33" s="20" t="str">
        <f t="shared" ref="O33:O56" si="6">LEFT(H33&amp;I33&amp;J33&amp;K33,LEN(H33&amp;I33&amp;J33&amp;K33)-1)</f>
        <v>1|10005|10</v>
      </c>
    </row>
    <row r="34" ht="15.6" spans="4:15">
      <c r="D34" s="7"/>
      <c r="E34" s="7">
        <f t="shared" si="1"/>
        <v>2</v>
      </c>
      <c r="F34" s="6" t="str">
        <f>IF(F4="","",(_xlfn.XLOOKUP(F4,道具表!$B:$B,道具表!$C:$C)&amp;"|"&amp;_xlfn.XLOOKUP(F4,道具表!$B:$B,道具表!$A:$A)&amp;"|"))</f>
        <v>1|10005|</v>
      </c>
      <c r="G34" s="7" t="str">
        <f t="shared" ref="G34:K34" si="7">IF(G4="","",G4&amp;",")</f>
        <v>1,</v>
      </c>
      <c r="H34" s="6" t="str">
        <f>IF(H4="","",(_xlfn.XLOOKUP(H4,道具表!$B:$B,道具表!$C:$C)&amp;"|"&amp;_xlfn.XLOOKUP(H4,道具表!$B:$B,道具表!$A:$A)&amp;"|"))</f>
        <v>1|10005|</v>
      </c>
      <c r="I34" s="7" t="str">
        <f t="shared" si="7"/>
        <v>10,</v>
      </c>
      <c r="J34" s="6" t="str">
        <f>IF(J4="","",(_xlfn.XLOOKUP(J4,道具表!$B:$B,道具表!$C:$C)&amp;"|"&amp;_xlfn.XLOOKUP(J4,道具表!$B:$B,道具表!$A:$A)&amp;"|"))</f>
        <v/>
      </c>
      <c r="K34" s="7" t="str">
        <f t="shared" si="7"/>
        <v/>
      </c>
      <c r="L34" s="7"/>
      <c r="M34" s="7" t="str">
        <f t="shared" si="3"/>
        <v/>
      </c>
      <c r="N34" s="19" t="str">
        <f t="shared" si="5"/>
        <v>1|10005|1</v>
      </c>
      <c r="O34" s="20" t="str">
        <f t="shared" si="6"/>
        <v>1|10005|10</v>
      </c>
    </row>
    <row r="35" ht="15.6" spans="4:15">
      <c r="D35" s="7"/>
      <c r="E35" s="7">
        <f t="shared" si="1"/>
        <v>3</v>
      </c>
      <c r="F35" s="6" t="str">
        <f>IF(F5="","",(_xlfn.XLOOKUP(F5,道具表!$B:$B,道具表!$C:$C)&amp;"|"&amp;_xlfn.XLOOKUP(F5,道具表!$B:$B,道具表!$A:$A)&amp;"|"))</f>
        <v>1|10005|</v>
      </c>
      <c r="G35" s="7" t="str">
        <f t="shared" ref="G35:K35" si="8">IF(G5="","",G5&amp;",")</f>
        <v>1,</v>
      </c>
      <c r="H35" s="6" t="str">
        <f>IF(H5="","",(_xlfn.XLOOKUP(H5,道具表!$B:$B,道具表!$C:$C)&amp;"|"&amp;_xlfn.XLOOKUP(H5,道具表!$B:$B,道具表!$A:$A)&amp;"|"))</f>
        <v>1|10005|</v>
      </c>
      <c r="I35" s="7" t="str">
        <f t="shared" si="8"/>
        <v>10,</v>
      </c>
      <c r="J35" s="6" t="str">
        <f>IF(J5="","",(_xlfn.XLOOKUP(J5,道具表!$B:$B,道具表!$C:$C)&amp;"|"&amp;_xlfn.XLOOKUP(J5,道具表!$B:$B,道具表!$A:$A)&amp;"|"))</f>
        <v/>
      </c>
      <c r="K35" s="7" t="str">
        <f t="shared" si="8"/>
        <v/>
      </c>
      <c r="L35" s="7"/>
      <c r="M35" s="7" t="str">
        <f t="shared" si="3"/>
        <v/>
      </c>
      <c r="N35" s="19" t="str">
        <f t="shared" si="5"/>
        <v>1|10005|1</v>
      </c>
      <c r="O35" s="20" t="str">
        <f t="shared" si="6"/>
        <v>1|10005|10</v>
      </c>
    </row>
    <row r="36" ht="15.6" spans="4:15">
      <c r="D36" s="7"/>
      <c r="E36" s="7">
        <f t="shared" si="1"/>
        <v>4</v>
      </c>
      <c r="F36" s="6" t="str">
        <f>IF(F6="","",(_xlfn.XLOOKUP(F6,道具表!$B:$B,道具表!$C:$C)&amp;"|"&amp;_xlfn.XLOOKUP(F6,道具表!$B:$B,道具表!$A:$A)&amp;"|"))</f>
        <v>1|10005|</v>
      </c>
      <c r="G36" s="7" t="str">
        <f t="shared" ref="G36:K36" si="9">IF(G6="","",G6&amp;",")</f>
        <v>1,</v>
      </c>
      <c r="H36" s="6" t="str">
        <f>IF(H6="","",(_xlfn.XLOOKUP(H6,道具表!$B:$B,道具表!$C:$C)&amp;"|"&amp;_xlfn.XLOOKUP(H6,道具表!$B:$B,道具表!$A:$A)&amp;"|"))</f>
        <v>1|10005|</v>
      </c>
      <c r="I36" s="7" t="str">
        <f t="shared" si="9"/>
        <v>10,</v>
      </c>
      <c r="J36" s="6" t="str">
        <f>IF(J6="","",(_xlfn.XLOOKUP(J6,道具表!$B:$B,道具表!$C:$C)&amp;"|"&amp;_xlfn.XLOOKUP(J6,道具表!$B:$B,道具表!$A:$A)&amp;"|"))</f>
        <v/>
      </c>
      <c r="K36" s="7" t="str">
        <f t="shared" si="9"/>
        <v/>
      </c>
      <c r="L36" s="7"/>
      <c r="M36" s="7" t="str">
        <f t="shared" si="3"/>
        <v/>
      </c>
      <c r="N36" s="19" t="str">
        <f t="shared" si="5"/>
        <v>1|10005|1</v>
      </c>
      <c r="O36" s="20" t="str">
        <f t="shared" si="6"/>
        <v>1|10005|10</v>
      </c>
    </row>
    <row r="37" ht="15.6" spans="4:15">
      <c r="D37" s="7"/>
      <c r="E37" s="7">
        <f t="shared" si="1"/>
        <v>5</v>
      </c>
      <c r="F37" s="6" t="str">
        <f>IF(F7="","",(_xlfn.XLOOKUP(F7,道具表!$B:$B,道具表!$C:$C)&amp;"|"&amp;_xlfn.XLOOKUP(F7,道具表!$B:$B,道具表!$A:$A)&amp;"|"))</f>
        <v>1|10005|</v>
      </c>
      <c r="G37" s="7" t="str">
        <f t="shared" ref="G37:K37" si="10">IF(G7="","",G7&amp;",")</f>
        <v>1,</v>
      </c>
      <c r="H37" s="6" t="str">
        <f>IF(H7="","",(_xlfn.XLOOKUP(H7,道具表!$B:$B,道具表!$C:$C)&amp;"|"&amp;_xlfn.XLOOKUP(H7,道具表!$B:$B,道具表!$A:$A)&amp;"|"))</f>
        <v>1|10005|</v>
      </c>
      <c r="I37" s="7" t="str">
        <f t="shared" si="10"/>
        <v>15,</v>
      </c>
      <c r="J37" s="6" t="str">
        <f>IF(J7="","",(_xlfn.XLOOKUP(J7,道具表!$B:$B,道具表!$C:$C)&amp;"|"&amp;_xlfn.XLOOKUP(J7,道具表!$B:$B,道具表!$A:$A)&amp;"|"))</f>
        <v/>
      </c>
      <c r="K37" s="7" t="str">
        <f t="shared" si="10"/>
        <v/>
      </c>
      <c r="L37" s="7"/>
      <c r="M37" s="7" t="str">
        <f t="shared" si="3"/>
        <v/>
      </c>
      <c r="N37" s="19" t="str">
        <f t="shared" si="5"/>
        <v>1|10005|1</v>
      </c>
      <c r="O37" s="20" t="str">
        <f t="shared" si="6"/>
        <v>1|10005|15</v>
      </c>
    </row>
    <row r="38" ht="15.6" spans="4:15">
      <c r="D38" s="7"/>
      <c r="E38" s="7">
        <f t="shared" si="1"/>
        <v>6</v>
      </c>
      <c r="F38" s="6" t="str">
        <f>IF(F8="","",(_xlfn.XLOOKUP(F8,道具表!$B:$B,道具表!$C:$C)&amp;"|"&amp;_xlfn.XLOOKUP(F8,道具表!$B:$B,道具表!$A:$A)&amp;"|"))</f>
        <v>1|10005|</v>
      </c>
      <c r="G38" s="7" t="str">
        <f t="shared" ref="G38:K38" si="11">IF(G8="","",G8&amp;",")</f>
        <v>1,</v>
      </c>
      <c r="H38" s="6" t="str">
        <f>IF(H8="","",(_xlfn.XLOOKUP(H8,道具表!$B:$B,道具表!$C:$C)&amp;"|"&amp;_xlfn.XLOOKUP(H8,道具表!$B:$B,道具表!$A:$A)&amp;"|"))</f>
        <v>1|10005|</v>
      </c>
      <c r="I38" s="7" t="str">
        <f t="shared" si="11"/>
        <v>15,</v>
      </c>
      <c r="J38" s="6" t="str">
        <f>IF(J8="","",(_xlfn.XLOOKUP(J8,道具表!$B:$B,道具表!$C:$C)&amp;"|"&amp;_xlfn.XLOOKUP(J8,道具表!$B:$B,道具表!$A:$A)&amp;"|"))</f>
        <v/>
      </c>
      <c r="K38" s="7" t="str">
        <f t="shared" si="11"/>
        <v/>
      </c>
      <c r="L38" s="7"/>
      <c r="M38" s="7" t="str">
        <f t="shared" si="3"/>
        <v/>
      </c>
      <c r="N38" s="19" t="str">
        <f t="shared" si="5"/>
        <v>1|10005|1</v>
      </c>
      <c r="O38" s="20" t="str">
        <f t="shared" si="6"/>
        <v>1|10005|15</v>
      </c>
    </row>
    <row r="39" ht="15.6" spans="4:15">
      <c r="D39" s="7"/>
      <c r="E39" s="7">
        <f t="shared" si="1"/>
        <v>8</v>
      </c>
      <c r="F39" s="6" t="str">
        <f>IF(F9="","",(_xlfn.XLOOKUP(F9,道具表!$B:$B,道具表!$C:$C)&amp;"|"&amp;_xlfn.XLOOKUP(F9,道具表!$B:$B,道具表!$A:$A)&amp;"|"))</f>
        <v>1|10005|</v>
      </c>
      <c r="G39" s="7" t="str">
        <f t="shared" ref="G39:K39" si="12">IF(G9="","",G9&amp;",")</f>
        <v>1,</v>
      </c>
      <c r="H39" s="6" t="str">
        <f>IF(H9="","",(_xlfn.XLOOKUP(H9,道具表!$B:$B,道具表!$C:$C)&amp;"|"&amp;_xlfn.XLOOKUP(H9,道具表!$B:$B,道具表!$A:$A)&amp;"|"))</f>
        <v>1|10005|</v>
      </c>
      <c r="I39" s="7" t="str">
        <f t="shared" si="12"/>
        <v>15,</v>
      </c>
      <c r="J39" s="6" t="str">
        <f>IF(J9="","",(_xlfn.XLOOKUP(J9,道具表!$B:$B,道具表!$C:$C)&amp;"|"&amp;_xlfn.XLOOKUP(J9,道具表!$B:$B,道具表!$A:$A)&amp;"|"))</f>
        <v/>
      </c>
      <c r="K39" s="7" t="str">
        <f t="shared" si="12"/>
        <v/>
      </c>
      <c r="L39" s="7"/>
      <c r="M39" s="7" t="str">
        <f t="shared" si="3"/>
        <v/>
      </c>
      <c r="N39" s="19" t="str">
        <f t="shared" si="5"/>
        <v>1|10005|1</v>
      </c>
      <c r="O39" s="20" t="str">
        <f t="shared" si="6"/>
        <v>1|10005|15</v>
      </c>
    </row>
    <row r="40" ht="15.6" spans="4:15">
      <c r="D40" s="7"/>
      <c r="E40" s="7">
        <f t="shared" si="1"/>
        <v>10</v>
      </c>
      <c r="F40" s="6" t="str">
        <f>IF(F10="","",(_xlfn.XLOOKUP(F10,道具表!$B:$B,道具表!$C:$C)&amp;"|"&amp;_xlfn.XLOOKUP(F10,道具表!$B:$B,道具表!$A:$A)&amp;"|"))</f>
        <v>1|10005|</v>
      </c>
      <c r="G40" s="7" t="str">
        <f t="shared" ref="G40:K40" si="13">IF(G10="","",G10&amp;",")</f>
        <v>1,</v>
      </c>
      <c r="H40" s="6" t="str">
        <f>IF(H10="","",(_xlfn.XLOOKUP(H10,道具表!$B:$B,道具表!$C:$C)&amp;"|"&amp;_xlfn.XLOOKUP(H10,道具表!$B:$B,道具表!$A:$A)&amp;"|"))</f>
        <v>1|10005|</v>
      </c>
      <c r="I40" s="7" t="str">
        <f t="shared" si="13"/>
        <v>15,</v>
      </c>
      <c r="J40" s="6" t="str">
        <f>IF(J10="","",(_xlfn.XLOOKUP(J10,道具表!$B:$B,道具表!$C:$C)&amp;"|"&amp;_xlfn.XLOOKUP(J10,道具表!$B:$B,道具表!$A:$A)&amp;"|"))</f>
        <v/>
      </c>
      <c r="K40" s="7" t="str">
        <f t="shared" si="13"/>
        <v/>
      </c>
      <c r="L40" s="7"/>
      <c r="M40" s="7" t="str">
        <f t="shared" si="3"/>
        <v/>
      </c>
      <c r="N40" s="19" t="str">
        <f t="shared" si="5"/>
        <v>1|10005|1</v>
      </c>
      <c r="O40" s="20" t="str">
        <f t="shared" si="6"/>
        <v>1|10005|15</v>
      </c>
    </row>
    <row r="41" ht="15.6" spans="4:15">
      <c r="D41" s="7"/>
      <c r="E41" s="7">
        <f t="shared" si="1"/>
        <v>12</v>
      </c>
      <c r="F41" s="6" t="str">
        <f>IF(F11="","",(_xlfn.XLOOKUP(F11,道具表!$B:$B,道具表!$C:$C)&amp;"|"&amp;_xlfn.XLOOKUP(F11,道具表!$B:$B,道具表!$A:$A)&amp;"|"))</f>
        <v>1|10005|</v>
      </c>
      <c r="G41" s="7" t="str">
        <f t="shared" ref="G41:K41" si="14">IF(G11="","",G11&amp;",")</f>
        <v>1,</v>
      </c>
      <c r="H41" s="6" t="str">
        <f>IF(H11="","",(_xlfn.XLOOKUP(H11,道具表!$B:$B,道具表!$C:$C)&amp;"|"&amp;_xlfn.XLOOKUP(H11,道具表!$B:$B,道具表!$A:$A)&amp;"|"))</f>
        <v>1|10005|</v>
      </c>
      <c r="I41" s="7" t="str">
        <f t="shared" si="14"/>
        <v>15,</v>
      </c>
      <c r="J41" s="6" t="str">
        <f>IF(J11="","",(_xlfn.XLOOKUP(J11,道具表!$B:$B,道具表!$C:$C)&amp;"|"&amp;_xlfn.XLOOKUP(J11,道具表!$B:$B,道具表!$A:$A)&amp;"|"))</f>
        <v/>
      </c>
      <c r="K41" s="7" t="str">
        <f t="shared" si="14"/>
        <v/>
      </c>
      <c r="L41" s="7"/>
      <c r="M41" s="7" t="str">
        <f t="shared" si="3"/>
        <v/>
      </c>
      <c r="N41" s="19" t="str">
        <f t="shared" si="5"/>
        <v>1|10005|1</v>
      </c>
      <c r="O41" s="20" t="str">
        <f t="shared" si="6"/>
        <v>1|10005|15</v>
      </c>
    </row>
    <row r="42" ht="15.6" spans="4:15">
      <c r="D42" s="7"/>
      <c r="E42" s="7">
        <f t="shared" si="1"/>
        <v>14</v>
      </c>
      <c r="F42" s="6" t="str">
        <f>IF(F12="","",(_xlfn.XLOOKUP(F12,道具表!$B:$B,道具表!$C:$C)&amp;"|"&amp;_xlfn.XLOOKUP(F12,道具表!$B:$B,道具表!$A:$A)&amp;"|"))</f>
        <v>1|10005|</v>
      </c>
      <c r="G42" s="7" t="str">
        <f t="shared" ref="G42:K42" si="15">IF(G12="","",G12&amp;",")</f>
        <v>1,</v>
      </c>
      <c r="H42" s="6" t="str">
        <f>IF(H12="","",(_xlfn.XLOOKUP(H12,道具表!$B:$B,道具表!$C:$C)&amp;"|"&amp;_xlfn.XLOOKUP(H12,道具表!$B:$B,道具表!$A:$A)&amp;"|"))</f>
        <v>1|10005|</v>
      </c>
      <c r="I42" s="7" t="str">
        <f t="shared" si="15"/>
        <v>15,</v>
      </c>
      <c r="J42" s="6" t="str">
        <f>IF(J12="","",(_xlfn.XLOOKUP(J12,道具表!$B:$B,道具表!$C:$C)&amp;"|"&amp;_xlfn.XLOOKUP(J12,道具表!$B:$B,道具表!$A:$A)&amp;"|"))</f>
        <v/>
      </c>
      <c r="K42" s="7" t="str">
        <f t="shared" si="15"/>
        <v/>
      </c>
      <c r="L42" s="7"/>
      <c r="M42" s="7" t="str">
        <f t="shared" si="3"/>
        <v/>
      </c>
      <c r="N42" s="19" t="str">
        <f t="shared" si="5"/>
        <v>1|10005|1</v>
      </c>
      <c r="O42" s="20" t="str">
        <f t="shared" si="6"/>
        <v>1|10005|15</v>
      </c>
    </row>
    <row r="43" ht="15.6" spans="4:15">
      <c r="D43" s="7"/>
      <c r="E43" s="7">
        <f t="shared" si="1"/>
        <v>16</v>
      </c>
      <c r="F43" s="6" t="str">
        <f>IF(F13="","",(_xlfn.XLOOKUP(F13,道具表!$B:$B,道具表!$C:$C)&amp;"|"&amp;_xlfn.XLOOKUP(F13,道具表!$B:$B,道具表!$A:$A)&amp;"|"))</f>
        <v>1|10005|</v>
      </c>
      <c r="G43" s="7" t="str">
        <f t="shared" ref="G43:K43" si="16">IF(G13="","",G13&amp;",")</f>
        <v>2,</v>
      </c>
      <c r="H43" s="6" t="str">
        <f>IF(H13="","",(_xlfn.XLOOKUP(H13,道具表!$B:$B,道具表!$C:$C)&amp;"|"&amp;_xlfn.XLOOKUP(H13,道具表!$B:$B,道具表!$A:$A)&amp;"|"))</f>
        <v>1|10005|</v>
      </c>
      <c r="I43" s="7" t="str">
        <f t="shared" si="16"/>
        <v>15,</v>
      </c>
      <c r="J43" s="6" t="str">
        <f>IF(J13="","",(_xlfn.XLOOKUP(J13,道具表!$B:$B,道具表!$C:$C)&amp;"|"&amp;_xlfn.XLOOKUP(J13,道具表!$B:$B,道具表!$A:$A)&amp;"|"))</f>
        <v/>
      </c>
      <c r="K43" s="7" t="str">
        <f t="shared" si="16"/>
        <v/>
      </c>
      <c r="L43" s="7"/>
      <c r="M43" s="7" t="str">
        <f t="shared" si="3"/>
        <v/>
      </c>
      <c r="N43" s="19" t="str">
        <f t="shared" si="5"/>
        <v>1|10005|2</v>
      </c>
      <c r="O43" s="20" t="str">
        <f t="shared" si="6"/>
        <v>1|10005|15</v>
      </c>
    </row>
    <row r="44" ht="15.6" spans="4:15">
      <c r="D44" s="7"/>
      <c r="E44" s="7">
        <f t="shared" si="1"/>
        <v>18</v>
      </c>
      <c r="F44" s="6" t="str">
        <f>IF(F14="","",(_xlfn.XLOOKUP(F14,道具表!$B:$B,道具表!$C:$C)&amp;"|"&amp;_xlfn.XLOOKUP(F14,道具表!$B:$B,道具表!$A:$A)&amp;"|"))</f>
        <v>1|10005|</v>
      </c>
      <c r="G44" s="7" t="str">
        <f t="shared" ref="G44:K44" si="17">IF(G14="","",G14&amp;",")</f>
        <v>2,</v>
      </c>
      <c r="H44" s="6" t="str">
        <f>IF(H14="","",(_xlfn.XLOOKUP(H14,道具表!$B:$B,道具表!$C:$C)&amp;"|"&amp;_xlfn.XLOOKUP(H14,道具表!$B:$B,道具表!$A:$A)&amp;"|"))</f>
        <v>1|10005|</v>
      </c>
      <c r="I44" s="7" t="str">
        <f t="shared" si="17"/>
        <v>15,</v>
      </c>
      <c r="J44" s="6" t="str">
        <f>IF(J14="","",(_xlfn.XLOOKUP(J14,道具表!$B:$B,道具表!$C:$C)&amp;"|"&amp;_xlfn.XLOOKUP(J14,道具表!$B:$B,道具表!$A:$A)&amp;"|"))</f>
        <v/>
      </c>
      <c r="K44" s="7" t="str">
        <f t="shared" si="17"/>
        <v/>
      </c>
      <c r="L44" s="7"/>
      <c r="M44" s="7" t="str">
        <f t="shared" si="3"/>
        <v/>
      </c>
      <c r="N44" s="19" t="str">
        <f t="shared" si="5"/>
        <v>1|10005|2</v>
      </c>
      <c r="O44" s="20" t="str">
        <f t="shared" si="6"/>
        <v>1|10005|15</v>
      </c>
    </row>
    <row r="45" ht="15.6" spans="4:15">
      <c r="D45" s="7"/>
      <c r="E45" s="7">
        <f t="shared" si="1"/>
        <v>20</v>
      </c>
      <c r="F45" s="6" t="str">
        <f>IF(F15="","",(_xlfn.XLOOKUP(F15,道具表!$B:$B,道具表!$C:$C)&amp;"|"&amp;_xlfn.XLOOKUP(F15,道具表!$B:$B,道具表!$A:$A)&amp;"|"))</f>
        <v>1|10005|</v>
      </c>
      <c r="G45" s="7" t="str">
        <f t="shared" ref="G45:K45" si="18">IF(G15="","",G15&amp;",")</f>
        <v>2,</v>
      </c>
      <c r="H45" s="6" t="str">
        <f>IF(H15="","",(_xlfn.XLOOKUP(H15,道具表!$B:$B,道具表!$C:$C)&amp;"|"&amp;_xlfn.XLOOKUP(H15,道具表!$B:$B,道具表!$A:$A)&amp;"|"))</f>
        <v>1|10005|</v>
      </c>
      <c r="I45" s="7" t="str">
        <f t="shared" si="18"/>
        <v>15,</v>
      </c>
      <c r="J45" s="6" t="str">
        <f>IF(J15="","",(_xlfn.XLOOKUP(J15,道具表!$B:$B,道具表!$C:$C)&amp;"|"&amp;_xlfn.XLOOKUP(J15,道具表!$B:$B,道具表!$A:$A)&amp;"|"))</f>
        <v/>
      </c>
      <c r="K45" s="7" t="str">
        <f t="shared" si="18"/>
        <v/>
      </c>
      <c r="L45" s="7"/>
      <c r="M45" s="7" t="str">
        <f t="shared" si="3"/>
        <v/>
      </c>
      <c r="N45" s="19" t="str">
        <f t="shared" si="5"/>
        <v>1|10005|2</v>
      </c>
      <c r="O45" s="20" t="str">
        <f t="shared" si="6"/>
        <v>1|10005|15</v>
      </c>
    </row>
    <row r="46" ht="15.6" spans="4:15">
      <c r="D46" s="7"/>
      <c r="E46" s="7">
        <f t="shared" si="1"/>
        <v>22</v>
      </c>
      <c r="F46" s="6" t="str">
        <f>IF(F16="","",(_xlfn.XLOOKUP(F16,道具表!$B:$B,道具表!$C:$C)&amp;"|"&amp;_xlfn.XLOOKUP(F16,道具表!$B:$B,道具表!$A:$A)&amp;"|"))</f>
        <v>1|10005|</v>
      </c>
      <c r="G46" s="7" t="str">
        <f t="shared" ref="G46:K46" si="19">IF(G16="","",G16&amp;",")</f>
        <v>2,</v>
      </c>
      <c r="H46" s="6" t="str">
        <f>IF(H16="","",(_xlfn.XLOOKUP(H16,道具表!$B:$B,道具表!$C:$C)&amp;"|"&amp;_xlfn.XLOOKUP(H16,道具表!$B:$B,道具表!$A:$A)&amp;"|"))</f>
        <v>1|10005|</v>
      </c>
      <c r="I46" s="7" t="str">
        <f t="shared" si="19"/>
        <v>15,</v>
      </c>
      <c r="J46" s="6" t="str">
        <f>IF(J16="","",(_xlfn.XLOOKUP(J16,道具表!$B:$B,道具表!$C:$C)&amp;"|"&amp;_xlfn.XLOOKUP(J16,道具表!$B:$B,道具表!$A:$A)&amp;"|"))</f>
        <v/>
      </c>
      <c r="K46" s="7" t="str">
        <f t="shared" si="19"/>
        <v/>
      </c>
      <c r="L46" s="7"/>
      <c r="M46" s="7" t="str">
        <f t="shared" si="3"/>
        <v/>
      </c>
      <c r="N46" s="19" t="str">
        <f t="shared" si="5"/>
        <v>1|10005|2</v>
      </c>
      <c r="O46" s="20" t="str">
        <f t="shared" si="6"/>
        <v>1|10005|15</v>
      </c>
    </row>
    <row r="47" ht="15.6" spans="4:15">
      <c r="D47" s="17"/>
      <c r="E47" s="7">
        <f t="shared" si="1"/>
        <v>24</v>
      </c>
      <c r="F47" s="6" t="str">
        <f>IF(F17="","",(_xlfn.XLOOKUP(F17,道具表!$B:$B,道具表!$C:$C)&amp;"|"&amp;_xlfn.XLOOKUP(F17,道具表!$B:$B,道具表!$A:$A)&amp;"|"))</f>
        <v>1|10005|</v>
      </c>
      <c r="G47" s="7" t="str">
        <f t="shared" ref="G47:K47" si="20">IF(G17="","",G17&amp;",")</f>
        <v>2,</v>
      </c>
      <c r="H47" s="6" t="str">
        <f>IF(H17="","",(_xlfn.XLOOKUP(H17,道具表!$B:$B,道具表!$C:$C)&amp;"|"&amp;_xlfn.XLOOKUP(H17,道具表!$B:$B,道具表!$A:$A)&amp;"|"))</f>
        <v>1|10005|</v>
      </c>
      <c r="I47" s="7" t="str">
        <f t="shared" si="20"/>
        <v>20,</v>
      </c>
      <c r="J47" s="6" t="str">
        <f>IF(J17="","",(_xlfn.XLOOKUP(J17,道具表!$B:$B,道具表!$C:$C)&amp;"|"&amp;_xlfn.XLOOKUP(J17,道具表!$B:$B,道具表!$A:$A)&amp;"|"))</f>
        <v/>
      </c>
      <c r="K47" s="7" t="str">
        <f t="shared" si="20"/>
        <v/>
      </c>
      <c r="L47" s="7"/>
      <c r="M47" s="7" t="str">
        <f t="shared" si="3"/>
        <v/>
      </c>
      <c r="N47" s="19" t="str">
        <f t="shared" si="5"/>
        <v>1|10005|2</v>
      </c>
      <c r="O47" s="20" t="str">
        <f t="shared" si="6"/>
        <v>1|10005|20</v>
      </c>
    </row>
    <row r="48" ht="15.6" spans="4:15">
      <c r="D48" s="17"/>
      <c r="E48" s="7">
        <f t="shared" si="1"/>
        <v>26</v>
      </c>
      <c r="F48" s="6" t="str">
        <f>IF(F18="","",(_xlfn.XLOOKUP(F18,道具表!$B:$B,道具表!$C:$C)&amp;"|"&amp;_xlfn.XLOOKUP(F18,道具表!$B:$B,道具表!$A:$A)&amp;"|"))</f>
        <v>1|10005|</v>
      </c>
      <c r="G48" s="7" t="str">
        <f t="shared" ref="G48:K48" si="21">IF(G18="","",G18&amp;",")</f>
        <v>2,</v>
      </c>
      <c r="H48" s="6" t="str">
        <f>IF(H18="","",(_xlfn.XLOOKUP(H18,道具表!$B:$B,道具表!$C:$C)&amp;"|"&amp;_xlfn.XLOOKUP(H18,道具表!$B:$B,道具表!$A:$A)&amp;"|"))</f>
        <v>1|10005|</v>
      </c>
      <c r="I48" s="7" t="str">
        <f t="shared" si="21"/>
        <v>20,</v>
      </c>
      <c r="J48" s="6" t="str">
        <f>IF(J18="","",(_xlfn.XLOOKUP(J18,道具表!$B:$B,道具表!$C:$C)&amp;"|"&amp;_xlfn.XLOOKUP(J18,道具表!$B:$B,道具表!$A:$A)&amp;"|"))</f>
        <v/>
      </c>
      <c r="K48" s="7" t="str">
        <f t="shared" si="21"/>
        <v/>
      </c>
      <c r="L48" s="7"/>
      <c r="M48" s="7" t="str">
        <f t="shared" si="3"/>
        <v/>
      </c>
      <c r="N48" s="19" t="str">
        <f t="shared" si="5"/>
        <v>1|10005|2</v>
      </c>
      <c r="O48" s="20" t="str">
        <f t="shared" si="6"/>
        <v>1|10005|20</v>
      </c>
    </row>
    <row r="49" ht="15.6" spans="4:15">
      <c r="D49" s="17"/>
      <c r="E49" s="7">
        <f t="shared" si="1"/>
        <v>28</v>
      </c>
      <c r="F49" s="6" t="str">
        <f>IF(F19="","",(_xlfn.XLOOKUP(F19,道具表!$B:$B,道具表!$C:$C)&amp;"|"&amp;_xlfn.XLOOKUP(F19,道具表!$B:$B,道具表!$A:$A)&amp;"|"))</f>
        <v>1|10005|</v>
      </c>
      <c r="G49" s="7" t="str">
        <f t="shared" ref="G49:K49" si="22">IF(G19="","",G19&amp;",")</f>
        <v>2,</v>
      </c>
      <c r="H49" s="6" t="str">
        <f>IF(H19="","",(_xlfn.XLOOKUP(H19,道具表!$B:$B,道具表!$C:$C)&amp;"|"&amp;_xlfn.XLOOKUP(H19,道具表!$B:$B,道具表!$A:$A)&amp;"|"))</f>
        <v>1|10005|</v>
      </c>
      <c r="I49" s="7" t="str">
        <f t="shared" si="22"/>
        <v>20,</v>
      </c>
      <c r="J49" s="6" t="str">
        <f>IF(J19="","",(_xlfn.XLOOKUP(J19,道具表!$B:$B,道具表!$C:$C)&amp;"|"&amp;_xlfn.XLOOKUP(J19,道具表!$B:$B,道具表!$A:$A)&amp;"|"))</f>
        <v/>
      </c>
      <c r="K49" s="7" t="str">
        <f t="shared" si="22"/>
        <v/>
      </c>
      <c r="L49" s="7"/>
      <c r="M49" s="7" t="str">
        <f t="shared" si="3"/>
        <v/>
      </c>
      <c r="N49" s="19" t="str">
        <f t="shared" si="5"/>
        <v>1|10005|2</v>
      </c>
      <c r="O49" s="20" t="str">
        <f t="shared" si="6"/>
        <v>1|10005|20</v>
      </c>
    </row>
    <row r="50" ht="15.6" spans="4:15">
      <c r="D50" s="17"/>
      <c r="E50" s="7">
        <f t="shared" si="1"/>
        <v>30</v>
      </c>
      <c r="F50" s="6" t="str">
        <f>IF(F20="","",(_xlfn.XLOOKUP(F20,道具表!$B:$B,道具表!$C:$C)&amp;"|"&amp;_xlfn.XLOOKUP(F20,道具表!$B:$B,道具表!$A:$A)&amp;"|"))</f>
        <v>1|10005|</v>
      </c>
      <c r="G50" s="7" t="str">
        <f t="shared" ref="G50:K50" si="23">IF(G20="","",G20&amp;",")</f>
        <v>2,</v>
      </c>
      <c r="H50" s="6" t="str">
        <f>IF(H20="","",(_xlfn.XLOOKUP(H20,道具表!$B:$B,道具表!$C:$C)&amp;"|"&amp;_xlfn.XLOOKUP(H20,道具表!$B:$B,道具表!$A:$A)&amp;"|"))</f>
        <v>1|10005|</v>
      </c>
      <c r="I50" s="7" t="str">
        <f t="shared" si="23"/>
        <v>20,</v>
      </c>
      <c r="J50" s="6" t="str">
        <f>IF(J20="","",(_xlfn.XLOOKUP(J20,道具表!$B:$B,道具表!$C:$C)&amp;"|"&amp;_xlfn.XLOOKUP(J20,道具表!$B:$B,道具表!$A:$A)&amp;"|"))</f>
        <v/>
      </c>
      <c r="K50" s="7" t="str">
        <f t="shared" si="23"/>
        <v/>
      </c>
      <c r="L50" s="7"/>
      <c r="M50" s="7" t="str">
        <f t="shared" si="3"/>
        <v/>
      </c>
      <c r="N50" s="19" t="str">
        <f t="shared" si="5"/>
        <v>1|10005|2</v>
      </c>
      <c r="O50" s="20" t="str">
        <f t="shared" si="6"/>
        <v>1|10005|20</v>
      </c>
    </row>
    <row r="51" ht="15.6" spans="4:15">
      <c r="D51" s="17"/>
      <c r="E51" s="7">
        <f t="shared" si="1"/>
        <v>32</v>
      </c>
      <c r="F51" s="6" t="str">
        <f>IF(F21="","",(_xlfn.XLOOKUP(F21,道具表!$B:$B,道具表!$C:$C)&amp;"|"&amp;_xlfn.XLOOKUP(F21,道具表!$B:$B,道具表!$A:$A)&amp;"|"))</f>
        <v>1|10005|</v>
      </c>
      <c r="G51" s="7" t="str">
        <f t="shared" ref="G51:K51" si="24">IF(G21="","",G21&amp;",")</f>
        <v>2,</v>
      </c>
      <c r="H51" s="6" t="str">
        <f>IF(H21="","",(_xlfn.XLOOKUP(H21,道具表!$B:$B,道具表!$C:$C)&amp;"|"&amp;_xlfn.XLOOKUP(H21,道具表!$B:$B,道具表!$A:$A)&amp;"|"))</f>
        <v>1|10005|</v>
      </c>
      <c r="I51" s="7" t="str">
        <f t="shared" si="24"/>
        <v>20,</v>
      </c>
      <c r="J51" s="6" t="str">
        <f>IF(J21="","",(_xlfn.XLOOKUP(J21,道具表!$B:$B,道具表!$C:$C)&amp;"|"&amp;_xlfn.XLOOKUP(J21,道具表!$B:$B,道具表!$A:$A)&amp;"|"))</f>
        <v/>
      </c>
      <c r="K51" s="7" t="str">
        <f t="shared" si="24"/>
        <v/>
      </c>
      <c r="L51" s="7"/>
      <c r="M51" s="7" t="str">
        <f t="shared" si="3"/>
        <v/>
      </c>
      <c r="N51" s="19" t="str">
        <f t="shared" si="5"/>
        <v>1|10005|2</v>
      </c>
      <c r="O51" s="20" t="str">
        <f t="shared" si="6"/>
        <v>1|10005|20</v>
      </c>
    </row>
    <row r="52" ht="15.6" spans="4:15">
      <c r="D52" s="17"/>
      <c r="E52" s="7">
        <f t="shared" si="1"/>
        <v>34</v>
      </c>
      <c r="F52" s="6" t="str">
        <f>IF(F22="","",(_xlfn.XLOOKUP(F22,道具表!$B:$B,道具表!$C:$C)&amp;"|"&amp;_xlfn.XLOOKUP(F22,道具表!$B:$B,道具表!$A:$A)&amp;"|"))</f>
        <v>1|10005|</v>
      </c>
      <c r="G52" s="7" t="str">
        <f t="shared" ref="G52:K52" si="25">IF(G22="","",G22&amp;",")</f>
        <v>2,</v>
      </c>
      <c r="H52" s="6" t="str">
        <f>IF(H22="","",(_xlfn.XLOOKUP(H22,道具表!$B:$B,道具表!$C:$C)&amp;"|"&amp;_xlfn.XLOOKUP(H22,道具表!$B:$B,道具表!$A:$A)&amp;"|"))</f>
        <v>1|10005|</v>
      </c>
      <c r="I52" s="7" t="str">
        <f t="shared" si="25"/>
        <v>30,</v>
      </c>
      <c r="J52" s="6" t="str">
        <f>IF(J22="","",(_xlfn.XLOOKUP(J22,道具表!$B:$B,道具表!$C:$C)&amp;"|"&amp;_xlfn.XLOOKUP(J22,道具表!$B:$B,道具表!$A:$A)&amp;"|"))</f>
        <v/>
      </c>
      <c r="K52" s="7" t="str">
        <f t="shared" si="25"/>
        <v/>
      </c>
      <c r="L52" s="7"/>
      <c r="M52" s="7" t="str">
        <f t="shared" si="3"/>
        <v/>
      </c>
      <c r="N52" s="19" t="str">
        <f t="shared" si="5"/>
        <v>1|10005|2</v>
      </c>
      <c r="O52" s="20" t="str">
        <f t="shared" si="6"/>
        <v>1|10005|30</v>
      </c>
    </row>
    <row r="53" ht="15.6" spans="4:15">
      <c r="D53" s="17"/>
      <c r="E53" s="7">
        <f t="shared" si="1"/>
        <v>36</v>
      </c>
      <c r="F53" s="6" t="str">
        <f>IF(F23="","",(_xlfn.XLOOKUP(F23,道具表!$B:$B,道具表!$C:$C)&amp;"|"&amp;_xlfn.XLOOKUP(F23,道具表!$B:$B,道具表!$A:$A)&amp;"|"))</f>
        <v>1|10005|</v>
      </c>
      <c r="G53" s="7" t="str">
        <f t="shared" ref="G53:K53" si="26">IF(G23="","",G23&amp;",")</f>
        <v>2,</v>
      </c>
      <c r="H53" s="6" t="str">
        <f>IF(H23="","",(_xlfn.XLOOKUP(H23,道具表!$B:$B,道具表!$C:$C)&amp;"|"&amp;_xlfn.XLOOKUP(H23,道具表!$B:$B,道具表!$A:$A)&amp;"|"))</f>
        <v>1|10005|</v>
      </c>
      <c r="I53" s="7" t="str">
        <f t="shared" si="26"/>
        <v>30,</v>
      </c>
      <c r="J53" s="6" t="str">
        <f>IF(J23="","",(_xlfn.XLOOKUP(J23,道具表!$B:$B,道具表!$C:$C)&amp;"|"&amp;_xlfn.XLOOKUP(J23,道具表!$B:$B,道具表!$A:$A)&amp;"|"))</f>
        <v/>
      </c>
      <c r="K53" s="7" t="str">
        <f t="shared" si="26"/>
        <v/>
      </c>
      <c r="L53" s="7"/>
      <c r="M53" s="7" t="str">
        <f t="shared" si="3"/>
        <v/>
      </c>
      <c r="N53" s="19" t="str">
        <f t="shared" si="5"/>
        <v>1|10005|2</v>
      </c>
      <c r="O53" s="20" t="str">
        <f t="shared" si="6"/>
        <v>1|10005|30</v>
      </c>
    </row>
    <row r="54" ht="15.6" spans="4:15">
      <c r="D54" s="17"/>
      <c r="E54" s="7">
        <f t="shared" si="1"/>
        <v>38</v>
      </c>
      <c r="F54" s="6" t="str">
        <f>IF(F24="","",(_xlfn.XLOOKUP(F24,道具表!$B:$B,道具表!$C:$C)&amp;"|"&amp;_xlfn.XLOOKUP(F24,道具表!$B:$B,道具表!$A:$A)&amp;"|"))</f>
        <v>1|10005|</v>
      </c>
      <c r="G54" s="7" t="str">
        <f t="shared" ref="G54:K54" si="27">IF(G24="","",G24&amp;",")</f>
        <v>2,</v>
      </c>
      <c r="H54" s="6" t="str">
        <f>IF(H24="","",(_xlfn.XLOOKUP(H24,道具表!$B:$B,道具表!$C:$C)&amp;"|"&amp;_xlfn.XLOOKUP(H24,道具表!$B:$B,道具表!$A:$A)&amp;"|"))</f>
        <v>1|10005|</v>
      </c>
      <c r="I54" s="7" t="str">
        <f t="shared" si="27"/>
        <v>30,</v>
      </c>
      <c r="J54" s="6" t="str">
        <f>IF(J24="","",(_xlfn.XLOOKUP(J24,道具表!$B:$B,道具表!$C:$C)&amp;"|"&amp;_xlfn.XLOOKUP(J24,道具表!$B:$B,道具表!$A:$A)&amp;"|"))</f>
        <v/>
      </c>
      <c r="K54" s="7" t="str">
        <f t="shared" si="27"/>
        <v/>
      </c>
      <c r="L54" s="7"/>
      <c r="M54" s="7" t="str">
        <f t="shared" si="3"/>
        <v/>
      </c>
      <c r="N54" s="19" t="str">
        <f t="shared" si="5"/>
        <v>1|10005|2</v>
      </c>
      <c r="O54" s="20" t="str">
        <f t="shared" si="6"/>
        <v>1|10005|30</v>
      </c>
    </row>
    <row r="55" ht="15.6" spans="4:15">
      <c r="D55" s="17"/>
      <c r="E55" s="7">
        <f t="shared" si="1"/>
        <v>40</v>
      </c>
      <c r="F55" s="6" t="str">
        <f>IF(F25="","",(_xlfn.XLOOKUP(F25,道具表!$B:$B,道具表!$C:$C)&amp;"|"&amp;_xlfn.XLOOKUP(F25,道具表!$B:$B,道具表!$A:$A)&amp;"|"))</f>
        <v>1|10005|</v>
      </c>
      <c r="G55" s="7" t="str">
        <f t="shared" ref="G55:K55" si="28">IF(G25="","",G25&amp;",")</f>
        <v>2,</v>
      </c>
      <c r="H55" s="6" t="str">
        <f>IF(H25="","",(_xlfn.XLOOKUP(H25,道具表!$B:$B,道具表!$C:$C)&amp;"|"&amp;_xlfn.XLOOKUP(H25,道具表!$B:$B,道具表!$A:$A)&amp;"|"))</f>
        <v>1|10005|</v>
      </c>
      <c r="I55" s="7" t="str">
        <f t="shared" si="28"/>
        <v>40,</v>
      </c>
      <c r="J55" s="6" t="str">
        <f>IF(J25="","",(_xlfn.XLOOKUP(J25,道具表!$B:$B,道具表!$C:$C)&amp;"|"&amp;_xlfn.XLOOKUP(J25,道具表!$B:$B,道具表!$A:$A)&amp;"|"))</f>
        <v/>
      </c>
      <c r="K55" s="7" t="str">
        <f t="shared" si="28"/>
        <v/>
      </c>
      <c r="L55" s="7"/>
      <c r="M55" s="7" t="str">
        <f t="shared" si="3"/>
        <v/>
      </c>
      <c r="N55" s="19" t="str">
        <f t="shared" si="5"/>
        <v>1|10005|2</v>
      </c>
      <c r="O55" s="20" t="str">
        <f t="shared" si="6"/>
        <v>1|10005|40</v>
      </c>
    </row>
    <row r="56" ht="15.6" spans="4:15">
      <c r="D56" s="17"/>
      <c r="E56" s="7">
        <f t="shared" si="1"/>
        <v>42</v>
      </c>
      <c r="F56" s="6" t="str">
        <f>IF(F26="","",(_xlfn.XLOOKUP(F26,道具表!$B:$B,道具表!$C:$C)&amp;"|"&amp;_xlfn.XLOOKUP(F26,道具表!$B:$B,道具表!$A:$A)&amp;"|"))</f>
        <v>1|10005|</v>
      </c>
      <c r="G56" s="7" t="str">
        <f t="shared" ref="G56:K56" si="29">IF(G26="","",G26&amp;",")</f>
        <v>2,</v>
      </c>
      <c r="H56" s="6" t="str">
        <f>IF(H26="","",(_xlfn.XLOOKUP(H26,道具表!$B:$B,道具表!$C:$C)&amp;"|"&amp;_xlfn.XLOOKUP(H26,道具表!$B:$B,道具表!$A:$A)&amp;"|"))</f>
        <v>1|10005|</v>
      </c>
      <c r="I56" s="7" t="str">
        <f t="shared" si="29"/>
        <v>50,</v>
      </c>
      <c r="J56" s="6" t="str">
        <f>IF(J26="","",(_xlfn.XLOOKUP(J26,道具表!$B:$B,道具表!$C:$C)&amp;"|"&amp;_xlfn.XLOOKUP(J26,道具表!$B:$B,道具表!$A:$A)&amp;"|"))</f>
        <v/>
      </c>
      <c r="K56" s="7" t="str">
        <f t="shared" si="29"/>
        <v/>
      </c>
      <c r="L56" s="7"/>
      <c r="M56" s="7" t="str">
        <f t="shared" si="3"/>
        <v/>
      </c>
      <c r="N56" s="19" t="str">
        <f t="shared" si="5"/>
        <v>1|10005|2</v>
      </c>
      <c r="O56" s="20" t="str">
        <f t="shared" si="6"/>
        <v>1|10005|50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3:O13"/>
  <sheetViews>
    <sheetView workbookViewId="0">
      <selection activeCell="H34" sqref="H34"/>
    </sheetView>
  </sheetViews>
  <sheetFormatPr defaultColWidth="8.88888888888889" defaultRowHeight="14.4"/>
  <cols>
    <col min="13" max="13" width="9.88888888888889"/>
  </cols>
  <sheetData>
    <row r="3" ht="15.6" spans="5:15">
      <c r="E3" t="s">
        <v>338</v>
      </c>
      <c r="F3" s="7" t="s">
        <v>828</v>
      </c>
      <c r="G3" s="7" t="s">
        <v>322</v>
      </c>
      <c r="H3" s="7" t="s">
        <v>323</v>
      </c>
      <c r="I3" s="7" t="s">
        <v>322</v>
      </c>
      <c r="J3" s="7" t="s">
        <v>323</v>
      </c>
      <c r="K3" s="6" t="s">
        <v>340</v>
      </c>
      <c r="L3" s="6" t="s">
        <v>818</v>
      </c>
      <c r="M3" s="6" t="s">
        <v>341</v>
      </c>
      <c r="N3" s="6" t="s">
        <v>342</v>
      </c>
      <c r="O3" s="10" t="s">
        <v>343</v>
      </c>
    </row>
    <row r="4" ht="15.6" spans="5:15">
      <c r="E4">
        <v>30</v>
      </c>
      <c r="F4" s="7" t="s">
        <v>1131</v>
      </c>
      <c r="G4" s="7" t="s">
        <v>6</v>
      </c>
      <c r="H4" s="7">
        <v>300</v>
      </c>
      <c r="I4" s="7" t="s">
        <v>56</v>
      </c>
      <c r="J4" s="7">
        <v>600</v>
      </c>
      <c r="K4" s="6">
        <f>_xlfn.XLOOKUP(G4,道具表!$B:$B,道具表!$E:$E)</f>
        <v>1</v>
      </c>
      <c r="L4" s="6">
        <f>_xlfn.XLOOKUP(I4,道具表!$B:$B,道具表!$E:$E)</f>
        <v>1</v>
      </c>
      <c r="M4" s="6">
        <f>K4*H4+L4*J4</f>
        <v>900</v>
      </c>
      <c r="N4" s="11">
        <f>M4/(E4*10)</f>
        <v>3</v>
      </c>
      <c r="O4" s="12">
        <f>10/N4</f>
        <v>3.33333333333333</v>
      </c>
    </row>
    <row r="5" ht="15.6" spans="5:15">
      <c r="E5">
        <v>68</v>
      </c>
      <c r="F5" s="7" t="s">
        <v>1132</v>
      </c>
      <c r="G5" s="7" t="s">
        <v>6</v>
      </c>
      <c r="H5" s="7">
        <v>680</v>
      </c>
      <c r="I5" s="7" t="s">
        <v>56</v>
      </c>
      <c r="J5" s="7">
        <v>1400</v>
      </c>
      <c r="K5" s="6">
        <f>_xlfn.XLOOKUP(G5,道具表!$B:$B,道具表!$E:$E)</f>
        <v>1</v>
      </c>
      <c r="L5" s="6">
        <f>_xlfn.XLOOKUP(I5,道具表!$B:$B,道具表!$E:$E)</f>
        <v>1</v>
      </c>
      <c r="M5" s="6">
        <f>K5*H5+L5*J5</f>
        <v>2080</v>
      </c>
      <c r="N5" s="11">
        <f>M5/(E5*10)</f>
        <v>3.05882352941176</v>
      </c>
      <c r="O5" s="12">
        <f>10/N5</f>
        <v>3.26923076923077</v>
      </c>
    </row>
    <row r="6" ht="15.6" spans="5:15">
      <c r="E6">
        <v>98</v>
      </c>
      <c r="F6" s="7" t="s">
        <v>1133</v>
      </c>
      <c r="G6" s="7" t="s">
        <v>6</v>
      </c>
      <c r="H6" s="7">
        <v>980</v>
      </c>
      <c r="I6" s="7" t="s">
        <v>56</v>
      </c>
      <c r="J6" s="7">
        <v>2000</v>
      </c>
      <c r="K6" s="6">
        <f>_xlfn.XLOOKUP(G6,道具表!$B:$B,道具表!$E:$E)</f>
        <v>1</v>
      </c>
      <c r="L6" s="6">
        <f>_xlfn.XLOOKUP(I6,道具表!$B:$B,道具表!$E:$E)</f>
        <v>1</v>
      </c>
      <c r="M6" s="6">
        <f>K6*H6+L6*J6</f>
        <v>2980</v>
      </c>
      <c r="N6" s="11">
        <f>M6/(E6*10)</f>
        <v>3.04081632653061</v>
      </c>
      <c r="O6" s="12">
        <f>10/N6</f>
        <v>3.28859060402685</v>
      </c>
    </row>
    <row r="10" spans="6:11">
      <c r="F10" s="7" t="s">
        <v>828</v>
      </c>
      <c r="G10" s="7" t="s">
        <v>322</v>
      </c>
      <c r="H10" s="7" t="s">
        <v>323</v>
      </c>
      <c r="I10" s="7" t="s">
        <v>322</v>
      </c>
      <c r="J10" s="7" t="s">
        <v>323</v>
      </c>
      <c r="K10" s="7" t="s">
        <v>327</v>
      </c>
    </row>
    <row r="11" ht="15.6" spans="6:11">
      <c r="F11" s="7" t="s">
        <v>1131</v>
      </c>
      <c r="G11" s="6" t="str">
        <f>_xlfn.XLOOKUP(G4,道具表!$B:$B,道具表!$C:$C)&amp;"|"&amp;_xlfn.XLOOKUP(G4,道具表!$B:$B,道具表!$A:$A)&amp;"|"</f>
        <v>1|2|</v>
      </c>
      <c r="H11" s="7">
        <v>300</v>
      </c>
      <c r="I11" s="6" t="str">
        <f>_xlfn.XLOOKUP(I4,道具表!$B:$B,道具表!$C:$C)&amp;"|"&amp;_xlfn.XLOOKUP(I4,道具表!$B:$B,道具表!$A:$A)&amp;"|"</f>
        <v>1|10019|</v>
      </c>
      <c r="J11" s="7">
        <v>600</v>
      </c>
      <c r="K11" s="13" t="str">
        <f>G11&amp;H11&amp;","&amp;I11&amp;J11</f>
        <v>1|2|300,1|10019|600</v>
      </c>
    </row>
    <row r="12" ht="15.6" spans="6:11">
      <c r="F12" s="7" t="s">
        <v>1132</v>
      </c>
      <c r="G12" s="6" t="str">
        <f>_xlfn.XLOOKUP(G5,道具表!$B:$B,道具表!$C:$C)&amp;"|"&amp;_xlfn.XLOOKUP(G5,道具表!$B:$B,道具表!$A:$A)&amp;"|"</f>
        <v>1|2|</v>
      </c>
      <c r="H12" s="7">
        <v>680</v>
      </c>
      <c r="I12" s="6" t="str">
        <f>_xlfn.XLOOKUP(I5,道具表!$B:$B,道具表!$C:$C)&amp;"|"&amp;_xlfn.XLOOKUP(I5,道具表!$B:$B,道具表!$A:$A)&amp;"|"</f>
        <v>1|10019|</v>
      </c>
      <c r="J12" s="7">
        <v>1400</v>
      </c>
      <c r="K12" s="13" t="str">
        <f>G12&amp;H12&amp;","&amp;I12&amp;J12</f>
        <v>1|2|680,1|10019|1400</v>
      </c>
    </row>
    <row r="13" ht="15.6" spans="6:11">
      <c r="F13" s="7" t="s">
        <v>1133</v>
      </c>
      <c r="G13" s="6" t="str">
        <f>_xlfn.XLOOKUP(G6,道具表!$B:$B,道具表!$C:$C)&amp;"|"&amp;_xlfn.XLOOKUP(G6,道具表!$B:$B,道具表!$A:$A)&amp;"|"</f>
        <v>1|2|</v>
      </c>
      <c r="H13" s="7">
        <v>980</v>
      </c>
      <c r="I13" s="6" t="str">
        <f>_xlfn.XLOOKUP(I6,道具表!$B:$B,道具表!$C:$C)&amp;"|"&amp;_xlfn.XLOOKUP(I6,道具表!$B:$B,道具表!$A:$A)&amp;"|"</f>
        <v>1|10019|</v>
      </c>
      <c r="J13" s="7">
        <v>2000</v>
      </c>
      <c r="K13" s="13" t="str">
        <f>G13&amp;H13&amp;","&amp;I13&amp;J13</f>
        <v>1|2|980,1|10019|2000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X47"/>
  <sheetViews>
    <sheetView topLeftCell="B1" workbookViewId="0">
      <selection activeCell="N20" sqref="N20"/>
    </sheetView>
  </sheetViews>
  <sheetFormatPr defaultColWidth="8.88888888888889" defaultRowHeight="14.4"/>
  <cols>
    <col min="8" max="8" width="17.8888888888889" customWidth="1"/>
    <col min="10" max="10" width="18.5555555555556" customWidth="1"/>
    <col min="11" max="11" width="12.8888888888889"/>
    <col min="19" max="20" width="12.8888888888889"/>
  </cols>
  <sheetData>
    <row r="1" spans="15:15">
      <c r="O1" t="s">
        <v>1134</v>
      </c>
    </row>
    <row r="2" spans="15:15">
      <c r="O2" t="s">
        <v>1135</v>
      </c>
    </row>
    <row r="4" ht="15.6" spans="7:24">
      <c r="G4" s="6" t="s">
        <v>1136</v>
      </c>
      <c r="H4" s="6" t="s">
        <v>322</v>
      </c>
      <c r="I4" s="6" t="s">
        <v>323</v>
      </c>
      <c r="J4" s="6" t="s">
        <v>377</v>
      </c>
      <c r="K4" s="6" t="s">
        <v>375</v>
      </c>
      <c r="N4" s="7" t="s">
        <v>322</v>
      </c>
      <c r="O4" s="7" t="s">
        <v>1137</v>
      </c>
      <c r="P4" s="7" t="s">
        <v>1138</v>
      </c>
      <c r="Q4" s="7" t="s">
        <v>1014</v>
      </c>
      <c r="R4" s="9" t="s">
        <v>377</v>
      </c>
      <c r="S4" s="9" t="s">
        <v>1139</v>
      </c>
      <c r="T4" s="9" t="s">
        <v>1140</v>
      </c>
      <c r="U4" s="9" t="s">
        <v>322</v>
      </c>
      <c r="V4" s="9" t="s">
        <v>327</v>
      </c>
      <c r="W4" s="9" t="s">
        <v>327</v>
      </c>
      <c r="X4" s="9"/>
    </row>
    <row r="5" ht="15.6" spans="7:24">
      <c r="G5" s="6">
        <v>1</v>
      </c>
      <c r="H5" s="6" t="s">
        <v>6</v>
      </c>
      <c r="I5" s="6">
        <v>50</v>
      </c>
      <c r="J5" s="6">
        <f>_xlfn.XLOOKUP(H5,道具表!B:B,道具表!E:E,"")</f>
        <v>1</v>
      </c>
      <c r="K5" s="6">
        <v>50</v>
      </c>
      <c r="N5" s="7" t="s">
        <v>9</v>
      </c>
      <c r="O5" s="7">
        <v>5</v>
      </c>
      <c r="P5" s="7">
        <v>10</v>
      </c>
      <c r="Q5" s="7">
        <v>10</v>
      </c>
      <c r="R5" s="9">
        <f>_xlfn.XLOOKUP(N5,道具表!B:B,道具表!E:E,"")</f>
        <v>1</v>
      </c>
      <c r="S5" s="9">
        <f>Q5/30</f>
        <v>0.333333333333333</v>
      </c>
      <c r="T5" s="9">
        <f>R5*S5</f>
        <v>0.333333333333333</v>
      </c>
      <c r="U5" s="6" t="str">
        <f>_xlfn.XLOOKUP(N5,道具表!$B:$B,道具表!$C:$C)&amp;"|"&amp;_xlfn.XLOOKUP(N5,道具表!$B:$B,道具表!$A:$A)&amp;"|"</f>
        <v>1|5|</v>
      </c>
      <c r="V5" s="9" t="str">
        <f>U5&amp;O5&amp;","</f>
        <v>1|5|5,</v>
      </c>
      <c r="W5" s="9" t="str">
        <f>U5&amp;P5&amp;","</f>
        <v>1|5|10,</v>
      </c>
      <c r="X5" s="9" t="str">
        <f>Q5&amp;","</f>
        <v>10,</v>
      </c>
    </row>
    <row r="6" ht="15.6" spans="7:24">
      <c r="G6" s="6">
        <v>2</v>
      </c>
      <c r="H6" s="6" t="s">
        <v>246</v>
      </c>
      <c r="I6" s="6">
        <v>1</v>
      </c>
      <c r="J6" s="6">
        <v>4</v>
      </c>
      <c r="K6" s="6">
        <f>I6*J6</f>
        <v>4</v>
      </c>
      <c r="N6" s="7" t="s">
        <v>5</v>
      </c>
      <c r="O6" s="7">
        <v>1000</v>
      </c>
      <c r="P6" s="7">
        <v>2000</v>
      </c>
      <c r="Q6" s="7">
        <v>10</v>
      </c>
      <c r="R6" s="9">
        <f>_xlfn.XLOOKUP(N6,道具表!B:B,道具表!E:E,"")</f>
        <v>0.004</v>
      </c>
      <c r="S6" s="9">
        <f t="shared" ref="S6:S14" si="0">Q6/30</f>
        <v>0.333333333333333</v>
      </c>
      <c r="T6" s="9">
        <f t="shared" ref="T6:T14" si="1">R6*S6</f>
        <v>0.00133333333333333</v>
      </c>
      <c r="U6" s="6" t="str">
        <f>_xlfn.XLOOKUP(N6,道具表!$B:$B,道具表!$C:$C)&amp;"|"&amp;_xlfn.XLOOKUP(N6,道具表!$B:$B,道具表!$A:$A)&amp;"|"</f>
        <v>1|1|</v>
      </c>
      <c r="V6" s="9" t="str">
        <f t="shared" ref="V6:V14" si="2">U6&amp;O6&amp;","</f>
        <v>1|1|1000,</v>
      </c>
      <c r="W6" s="9" t="str">
        <f t="shared" ref="W6:W14" si="3">U6&amp;P6&amp;","</f>
        <v>1|1|2000,</v>
      </c>
      <c r="X6" s="9" t="str">
        <f t="shared" ref="X6:X14" si="4">Q6&amp;","</f>
        <v>10,</v>
      </c>
    </row>
    <row r="7" ht="15.6" spans="7:24">
      <c r="G7" s="6">
        <v>3</v>
      </c>
      <c r="H7" s="6" t="s">
        <v>47</v>
      </c>
      <c r="I7" s="6">
        <v>4</v>
      </c>
      <c r="J7" s="6">
        <f>_xlfn.XLOOKUP(H7,道具表!B:B,道具表!E:E,"")</f>
        <v>15</v>
      </c>
      <c r="K7" s="6">
        <f>I7*J7</f>
        <v>60</v>
      </c>
      <c r="N7" s="7" t="s">
        <v>6</v>
      </c>
      <c r="O7" s="7">
        <v>5</v>
      </c>
      <c r="P7" s="7">
        <v>10</v>
      </c>
      <c r="Q7" s="7">
        <v>10</v>
      </c>
      <c r="R7" s="9">
        <f>_xlfn.XLOOKUP(N7,道具表!B:B,道具表!E:E,"")</f>
        <v>1</v>
      </c>
      <c r="S7" s="9">
        <f t="shared" si="0"/>
        <v>0.333333333333333</v>
      </c>
      <c r="T7" s="9">
        <f t="shared" si="1"/>
        <v>0.333333333333333</v>
      </c>
      <c r="U7" s="6" t="str">
        <f>_xlfn.XLOOKUP(N7,道具表!$B:$B,道具表!$C:$C)&amp;"|"&amp;_xlfn.XLOOKUP(N7,道具表!$B:$B,道具表!$A:$A)&amp;"|"</f>
        <v>1|2|</v>
      </c>
      <c r="V7" s="9" t="str">
        <f t="shared" si="2"/>
        <v>1|2|5,</v>
      </c>
      <c r="W7" s="9" t="str">
        <f t="shared" si="3"/>
        <v>1|2|10,</v>
      </c>
      <c r="X7" s="9" t="str">
        <f t="shared" si="4"/>
        <v>10,</v>
      </c>
    </row>
    <row r="8" ht="15.6" spans="7:24">
      <c r="G8" s="6">
        <v>4</v>
      </c>
      <c r="H8" s="6" t="s">
        <v>9</v>
      </c>
      <c r="I8" s="6">
        <v>10</v>
      </c>
      <c r="J8" s="6">
        <f>_xlfn.XLOOKUP(H8,道具表!B:B,道具表!E:E,"")</f>
        <v>1</v>
      </c>
      <c r="K8" s="6">
        <f>I8*J8</f>
        <v>10</v>
      </c>
      <c r="N8" s="7" t="s">
        <v>56</v>
      </c>
      <c r="O8" s="7">
        <v>5</v>
      </c>
      <c r="P8" s="7">
        <v>10</v>
      </c>
      <c r="Q8" s="7">
        <v>10</v>
      </c>
      <c r="R8" s="9">
        <f>_xlfn.XLOOKUP(N8,道具表!B:B,道具表!E:E,"")</f>
        <v>1</v>
      </c>
      <c r="S8" s="9">
        <f t="shared" si="0"/>
        <v>0.333333333333333</v>
      </c>
      <c r="T8" s="9">
        <f t="shared" si="1"/>
        <v>0.333333333333333</v>
      </c>
      <c r="U8" s="6" t="str">
        <f>_xlfn.XLOOKUP(N8,道具表!$B:$B,道具表!$C:$C)&amp;"|"&amp;_xlfn.XLOOKUP(N8,道具表!$B:$B,道具表!$A:$A)&amp;"|"</f>
        <v>1|10019|</v>
      </c>
      <c r="V8" s="9" t="str">
        <f t="shared" si="2"/>
        <v>1|10019|5,</v>
      </c>
      <c r="W8" s="9" t="str">
        <f t="shared" si="3"/>
        <v>1|10019|10,</v>
      </c>
      <c r="X8" s="9" t="str">
        <f t="shared" si="4"/>
        <v>10,</v>
      </c>
    </row>
    <row r="9" ht="15.6" spans="7:24">
      <c r="G9" s="6">
        <v>5</v>
      </c>
      <c r="H9" s="6" t="s">
        <v>48</v>
      </c>
      <c r="I9" s="6">
        <v>1</v>
      </c>
      <c r="J9" s="6">
        <f>_xlfn.XLOOKUP(H9,道具表!B:B,道具表!E:E,"")</f>
        <v>102</v>
      </c>
      <c r="K9" s="6">
        <f>I9*J9</f>
        <v>102</v>
      </c>
      <c r="N9" s="7" t="s">
        <v>56</v>
      </c>
      <c r="O9" s="7">
        <v>1</v>
      </c>
      <c r="P9" s="7">
        <v>2</v>
      </c>
      <c r="Q9" s="7">
        <v>10</v>
      </c>
      <c r="R9" s="9">
        <f>_xlfn.XLOOKUP(N9,道具表!B:B,道具表!E:E,"")</f>
        <v>1</v>
      </c>
      <c r="S9" s="9">
        <f t="shared" si="0"/>
        <v>0.333333333333333</v>
      </c>
      <c r="T9" s="9">
        <f t="shared" si="1"/>
        <v>0.333333333333333</v>
      </c>
      <c r="U9" s="6" t="str">
        <f>_xlfn.XLOOKUP(N9,道具表!$B:$B,道具表!$C:$C)&amp;"|"&amp;_xlfn.XLOOKUP(N9,道具表!$B:$B,道具表!$A:$A)&amp;"|"</f>
        <v>1|10019|</v>
      </c>
      <c r="V9" s="9" t="str">
        <f t="shared" si="2"/>
        <v>1|10019|1,</v>
      </c>
      <c r="W9" s="9" t="str">
        <f t="shared" si="3"/>
        <v>1|10019|2,</v>
      </c>
      <c r="X9" s="9" t="str">
        <f t="shared" si="4"/>
        <v>10,</v>
      </c>
    </row>
    <row r="10" ht="15.6" spans="7:24">
      <c r="G10" s="6">
        <v>6</v>
      </c>
      <c r="H10" s="6" t="s">
        <v>57</v>
      </c>
      <c r="I10" s="6">
        <v>1</v>
      </c>
      <c r="J10" s="6">
        <f>_xlfn.XLOOKUP(H10,道具表!B:B,道具表!E:E,"")</f>
        <v>25</v>
      </c>
      <c r="K10" s="6">
        <f t="shared" ref="K10:K26" si="5">I10*J10</f>
        <v>25</v>
      </c>
      <c r="N10" s="7" t="s">
        <v>42</v>
      </c>
      <c r="O10" s="7">
        <v>1</v>
      </c>
      <c r="P10" s="7">
        <v>2</v>
      </c>
      <c r="Q10" s="7">
        <v>10</v>
      </c>
      <c r="R10" s="9">
        <f>_xlfn.XLOOKUP(N10,道具表!B:B,道具表!E:E,"")</f>
        <v>40</v>
      </c>
      <c r="S10" s="9">
        <f t="shared" si="0"/>
        <v>0.333333333333333</v>
      </c>
      <c r="T10" s="9">
        <f t="shared" si="1"/>
        <v>13.3333333333333</v>
      </c>
      <c r="U10" s="6" t="str">
        <f>_xlfn.XLOOKUP(N10,道具表!$B:$B,道具表!$C:$C)&amp;"|"&amp;_xlfn.XLOOKUP(N10,道具表!$B:$B,道具表!$A:$A)&amp;"|"</f>
        <v>1|10002|</v>
      </c>
      <c r="V10" s="9" t="str">
        <f t="shared" si="2"/>
        <v>1|10002|1,</v>
      </c>
      <c r="W10" s="9" t="str">
        <f t="shared" si="3"/>
        <v>1|10002|2,</v>
      </c>
      <c r="X10" s="9" t="str">
        <f t="shared" si="4"/>
        <v>10,</v>
      </c>
    </row>
    <row r="11" ht="15.6" spans="7:24">
      <c r="G11" s="6">
        <v>7</v>
      </c>
      <c r="H11" s="6" t="s">
        <v>9</v>
      </c>
      <c r="I11" s="6">
        <v>10</v>
      </c>
      <c r="J11" s="6">
        <f>_xlfn.XLOOKUP(H11,道具表!B:B,道具表!E:E,"")</f>
        <v>1</v>
      </c>
      <c r="K11" s="6">
        <f t="shared" si="5"/>
        <v>10</v>
      </c>
      <c r="N11" s="7" t="s">
        <v>5</v>
      </c>
      <c r="O11" s="7">
        <v>500</v>
      </c>
      <c r="P11" s="7">
        <v>1000</v>
      </c>
      <c r="Q11" s="7">
        <v>10</v>
      </c>
      <c r="R11" s="9">
        <f>_xlfn.XLOOKUP(N11,道具表!B:B,道具表!E:E,"")</f>
        <v>0.004</v>
      </c>
      <c r="S11" s="9">
        <f t="shared" si="0"/>
        <v>0.333333333333333</v>
      </c>
      <c r="T11" s="9">
        <f t="shared" si="1"/>
        <v>0.00133333333333333</v>
      </c>
      <c r="U11" s="6" t="str">
        <f>_xlfn.XLOOKUP(N11,道具表!$B:$B,道具表!$C:$C)&amp;"|"&amp;_xlfn.XLOOKUP(N11,道具表!$B:$B,道具表!$A:$A)&amp;"|"</f>
        <v>1|1|</v>
      </c>
      <c r="V11" s="9" t="str">
        <f t="shared" si="2"/>
        <v>1|1|500,</v>
      </c>
      <c r="W11" s="9" t="str">
        <f t="shared" si="3"/>
        <v>1|1|1000,</v>
      </c>
      <c r="X11" s="9" t="str">
        <f t="shared" si="4"/>
        <v>10,</v>
      </c>
    </row>
    <row r="12" ht="15.6" spans="7:24">
      <c r="G12" s="6">
        <v>8</v>
      </c>
      <c r="H12" s="6" t="s">
        <v>6</v>
      </c>
      <c r="I12" s="6">
        <v>10</v>
      </c>
      <c r="J12" s="6">
        <f>_xlfn.XLOOKUP(H12,道具表!B:B,道具表!E:E,"")</f>
        <v>1</v>
      </c>
      <c r="K12" s="6">
        <f t="shared" si="5"/>
        <v>10</v>
      </c>
      <c r="N12" s="7" t="s">
        <v>8</v>
      </c>
      <c r="O12" s="7">
        <v>1</v>
      </c>
      <c r="P12" s="7">
        <v>2</v>
      </c>
      <c r="Q12" s="7">
        <v>10</v>
      </c>
      <c r="R12" s="9">
        <f>_xlfn.XLOOKUP(N12,道具表!B:B,道具表!E:E,"")</f>
        <v>80</v>
      </c>
      <c r="S12" s="9">
        <f t="shared" si="0"/>
        <v>0.333333333333333</v>
      </c>
      <c r="T12" s="9">
        <f t="shared" si="1"/>
        <v>26.6666666666666</v>
      </c>
      <c r="U12" s="6" t="str">
        <f>_xlfn.XLOOKUP(N12,道具表!$B:$B,道具表!$C:$C)&amp;"|"&amp;_xlfn.XLOOKUP(N12,道具表!$B:$B,道具表!$A:$A)&amp;"|"</f>
        <v>1|4|</v>
      </c>
      <c r="V12" s="9" t="str">
        <f t="shared" si="2"/>
        <v>1|4|1,</v>
      </c>
      <c r="W12" s="9" t="str">
        <f t="shared" si="3"/>
        <v>1|4|2,</v>
      </c>
      <c r="X12" s="9" t="str">
        <f t="shared" si="4"/>
        <v>10,</v>
      </c>
    </row>
    <row r="13" ht="15.6" spans="7:24">
      <c r="G13" s="6">
        <v>9</v>
      </c>
      <c r="H13" s="6" t="s">
        <v>9</v>
      </c>
      <c r="I13" s="6">
        <v>10</v>
      </c>
      <c r="J13" s="6">
        <f>_xlfn.XLOOKUP(H13,道具表!B:B,道具表!E:E,"")</f>
        <v>1</v>
      </c>
      <c r="K13" s="6">
        <f t="shared" si="5"/>
        <v>10</v>
      </c>
      <c r="N13" s="7" t="s">
        <v>46</v>
      </c>
      <c r="O13" s="7">
        <v>20</v>
      </c>
      <c r="P13" s="7">
        <v>40</v>
      </c>
      <c r="Q13" s="7">
        <v>10</v>
      </c>
      <c r="R13" s="9">
        <f>_xlfn.XLOOKUP(N13,道具表!B:B,道具表!E:E,"")</f>
        <v>0.5</v>
      </c>
      <c r="S13" s="9">
        <f t="shared" si="0"/>
        <v>0.333333333333333</v>
      </c>
      <c r="T13" s="9">
        <f t="shared" si="1"/>
        <v>0.166666666666666</v>
      </c>
      <c r="U13" s="6" t="str">
        <f>_xlfn.XLOOKUP(N13,道具表!$B:$B,道具表!$C:$C)&amp;"|"&amp;_xlfn.XLOOKUP(N13,道具表!$B:$B,道具表!$A:$A)&amp;"|"</f>
        <v>1|10006|</v>
      </c>
      <c r="V13" s="9" t="str">
        <f t="shared" si="2"/>
        <v>1|10006|20,</v>
      </c>
      <c r="W13" s="9" t="str">
        <f t="shared" si="3"/>
        <v>1|10006|40,</v>
      </c>
      <c r="X13" s="9" t="str">
        <f t="shared" si="4"/>
        <v>10,</v>
      </c>
    </row>
    <row r="14" ht="15.6" spans="7:24">
      <c r="G14" s="6">
        <v>10</v>
      </c>
      <c r="H14" s="6" t="s">
        <v>42</v>
      </c>
      <c r="I14" s="6">
        <v>1</v>
      </c>
      <c r="J14" s="6">
        <f>_xlfn.XLOOKUP(H14,道具表!B:B,道具表!E:E,"")</f>
        <v>40</v>
      </c>
      <c r="K14" s="6">
        <f t="shared" si="5"/>
        <v>40</v>
      </c>
      <c r="N14" s="7" t="s">
        <v>50</v>
      </c>
      <c r="O14" s="7">
        <v>20</v>
      </c>
      <c r="P14" s="7">
        <v>40</v>
      </c>
      <c r="Q14" s="7">
        <v>10</v>
      </c>
      <c r="R14" s="9">
        <f>_xlfn.XLOOKUP(N14,道具表!B:B,道具表!E:E,"")</f>
        <v>0.25</v>
      </c>
      <c r="S14" s="9">
        <f t="shared" si="0"/>
        <v>0.333333333333333</v>
      </c>
      <c r="T14" s="9">
        <f t="shared" si="1"/>
        <v>0.0833333333333332</v>
      </c>
      <c r="U14" s="6" t="str">
        <f>_xlfn.XLOOKUP(N14,道具表!$B:$B,道具表!$C:$C)&amp;"|"&amp;_xlfn.XLOOKUP(N14,道具表!$B:$B,道具表!$A:$A)&amp;"|"</f>
        <v>1|10011|</v>
      </c>
      <c r="V14" s="9" t="str">
        <f>U14&amp;O14</f>
        <v>1|10011|20</v>
      </c>
      <c r="W14" s="9" t="str">
        <f t="shared" si="3"/>
        <v>1|10011|40,</v>
      </c>
      <c r="X14" s="9">
        <f>Q14</f>
        <v>10</v>
      </c>
    </row>
    <row r="15" ht="15.6" spans="7:11">
      <c r="G15" s="6">
        <v>11</v>
      </c>
      <c r="H15" s="6" t="s">
        <v>9</v>
      </c>
      <c r="I15" s="6">
        <v>10</v>
      </c>
      <c r="J15" s="6">
        <f>_xlfn.XLOOKUP(H15,道具表!B:B,道具表!E:E,"")</f>
        <v>1</v>
      </c>
      <c r="K15" s="6">
        <f t="shared" si="5"/>
        <v>10</v>
      </c>
    </row>
    <row r="16" ht="15.6" spans="7:17">
      <c r="G16" s="6">
        <v>12</v>
      </c>
      <c r="H16" s="6" t="s">
        <v>246</v>
      </c>
      <c r="I16" s="6">
        <v>1</v>
      </c>
      <c r="J16" s="6">
        <f>_xlfn.XLOOKUP(H16,道具表!B:B,道具表!E:E,"")</f>
        <v>0</v>
      </c>
      <c r="K16" s="6">
        <f t="shared" si="5"/>
        <v>0</v>
      </c>
      <c r="O16" t="str">
        <f t="shared" ref="O16:Q16" si="6">V5&amp;V6&amp;V7&amp;V8&amp;V9&amp;V10&amp;V11&amp;V12&amp;V13&amp;V14</f>
        <v>1|5|5,1|1|1000,1|2|5,1|10019|5,1|10019|1,1|10002|1,1|1|500,1|4|1,1|10006|20,1|10011|20</v>
      </c>
      <c r="P16" t="str">
        <f t="shared" si="6"/>
        <v>1|5|10,1|1|2000,1|2|10,1|10019|10,1|10019|2,1|10002|2,1|1|1000,1|4|2,1|10006|40,1|10011|40,</v>
      </c>
      <c r="Q16" t="str">
        <f t="shared" si="6"/>
        <v>10,10,10,10,10,10,10,10,10,10</v>
      </c>
    </row>
    <row r="17" ht="15.6" spans="7:11">
      <c r="G17" s="6">
        <v>13</v>
      </c>
      <c r="H17" s="6" t="s">
        <v>10</v>
      </c>
      <c r="I17" s="6">
        <v>1</v>
      </c>
      <c r="J17" s="6">
        <f>_xlfn.XLOOKUP(H17,道具表!B:B,道具表!E:E,"")</f>
        <v>100</v>
      </c>
      <c r="K17" s="6">
        <f t="shared" si="5"/>
        <v>100</v>
      </c>
    </row>
    <row r="18" ht="15.6" spans="7:11">
      <c r="G18" s="6">
        <v>14</v>
      </c>
      <c r="H18" s="6" t="s">
        <v>9</v>
      </c>
      <c r="I18" s="6">
        <v>10</v>
      </c>
      <c r="J18" s="6">
        <f>_xlfn.XLOOKUP(H18,道具表!B:B,道具表!E:E,"")</f>
        <v>1</v>
      </c>
      <c r="K18" s="6">
        <f t="shared" si="5"/>
        <v>10</v>
      </c>
    </row>
    <row r="19" ht="15.6" spans="7:11">
      <c r="G19" s="6">
        <v>15</v>
      </c>
      <c r="H19" s="6" t="s">
        <v>56</v>
      </c>
      <c r="I19" s="6">
        <v>5</v>
      </c>
      <c r="J19" s="6">
        <f>_xlfn.XLOOKUP(H19,道具表!B:B,道具表!E:E,"")</f>
        <v>1</v>
      </c>
      <c r="K19" s="6">
        <f t="shared" si="5"/>
        <v>5</v>
      </c>
    </row>
    <row r="20" ht="15.6" spans="7:11">
      <c r="G20" s="6">
        <v>16</v>
      </c>
      <c r="H20" s="6" t="s">
        <v>58</v>
      </c>
      <c r="I20" s="6">
        <v>1</v>
      </c>
      <c r="J20" s="6">
        <f>_xlfn.XLOOKUP(H20,道具表!B:B,道具表!E:E,"")</f>
        <v>50</v>
      </c>
      <c r="K20" s="6">
        <f t="shared" si="5"/>
        <v>50</v>
      </c>
    </row>
    <row r="21" ht="15.6" spans="7:11">
      <c r="G21" s="6">
        <v>17</v>
      </c>
      <c r="H21" s="6" t="s">
        <v>9</v>
      </c>
      <c r="I21" s="6">
        <v>10</v>
      </c>
      <c r="J21" s="6">
        <f>_xlfn.XLOOKUP(H21,道具表!B:B,道具表!E:E,"")</f>
        <v>1</v>
      </c>
      <c r="K21" s="6">
        <f t="shared" si="5"/>
        <v>10</v>
      </c>
    </row>
    <row r="22" ht="15.6" spans="7:11">
      <c r="G22" s="6">
        <v>18</v>
      </c>
      <c r="H22" s="6" t="s">
        <v>45</v>
      </c>
      <c r="I22" s="6">
        <v>1</v>
      </c>
      <c r="J22" s="6">
        <f>_xlfn.XLOOKUP(H22,道具表!B:B,道具表!E:E,"")</f>
        <v>100</v>
      </c>
      <c r="K22" s="6">
        <f t="shared" si="5"/>
        <v>100</v>
      </c>
    </row>
    <row r="23" ht="15.6" spans="7:11">
      <c r="G23" s="6">
        <v>19</v>
      </c>
      <c r="H23" s="6" t="s">
        <v>46</v>
      </c>
      <c r="I23" s="6">
        <v>20</v>
      </c>
      <c r="J23" s="6">
        <f>_xlfn.XLOOKUP(H23,道具表!B:B,道具表!E:E,"")</f>
        <v>0.5</v>
      </c>
      <c r="K23" s="6">
        <f t="shared" si="5"/>
        <v>10</v>
      </c>
    </row>
    <row r="24" ht="15.6" spans="7:11">
      <c r="G24" s="6">
        <v>20</v>
      </c>
      <c r="H24" s="6" t="s">
        <v>11</v>
      </c>
      <c r="I24" s="6">
        <v>2</v>
      </c>
      <c r="J24" s="6">
        <f>_xlfn.XLOOKUP(H24,道具表!B:B,道具表!E:E,"")</f>
        <v>24</v>
      </c>
      <c r="K24" s="6">
        <f t="shared" si="5"/>
        <v>48</v>
      </c>
    </row>
    <row r="25" spans="10:11">
      <c r="J25" t="s">
        <v>1141</v>
      </c>
      <c r="K25">
        <f>AVERAGE(K5:K24)</f>
        <v>33.2</v>
      </c>
    </row>
    <row r="27" ht="15.6" spans="7:10">
      <c r="G27" s="6" t="s">
        <v>1136</v>
      </c>
      <c r="H27" s="6" t="s">
        <v>322</v>
      </c>
      <c r="I27" s="6" t="s">
        <v>323</v>
      </c>
      <c r="J27" s="8" t="s">
        <v>327</v>
      </c>
    </row>
    <row r="28" ht="15.6" spans="7:10">
      <c r="G28" s="6">
        <v>1</v>
      </c>
      <c r="H28" s="6" t="str">
        <f>_xlfn.XLOOKUP(H5,道具表!$B:$B,道具表!$C:$C)&amp;"|"&amp;_xlfn.XLOOKUP(H5,道具表!$B:$B,道具表!$A:$A)&amp;"|"</f>
        <v>1|2|</v>
      </c>
      <c r="I28" s="6">
        <f>I5</f>
        <v>50</v>
      </c>
      <c r="J28" s="8" t="str">
        <f>H28&amp;I28</f>
        <v>1|2|50</v>
      </c>
    </row>
    <row r="29" ht="15.6" spans="7:10">
      <c r="G29" s="6">
        <v>2</v>
      </c>
      <c r="H29" s="6" t="str">
        <f>_xlfn.XLOOKUP(H6,道具表!$B:$B,道具表!$C:$C)&amp;"|"&amp;_xlfn.XLOOKUP(H6,道具表!$B:$B,道具表!$A:$A)&amp;"|"</f>
        <v>9|301|</v>
      </c>
      <c r="I29" s="6">
        <f t="shared" ref="I29:I49" si="7">I6</f>
        <v>1</v>
      </c>
      <c r="J29" s="8" t="str">
        <f>H29&amp;I29</f>
        <v>9|301|1</v>
      </c>
    </row>
    <row r="30" ht="15.6" spans="7:10">
      <c r="G30" s="6">
        <v>3</v>
      </c>
      <c r="H30" s="6" t="str">
        <f>_xlfn.XLOOKUP(H7,道具表!$B:$B,道具表!$C:$C)&amp;"|"&amp;_xlfn.XLOOKUP(H7,道具表!$B:$B,道具表!$A:$A)&amp;"|"</f>
        <v>1|10007|</v>
      </c>
      <c r="I30" s="6">
        <f t="shared" si="7"/>
        <v>4</v>
      </c>
      <c r="J30" s="8" t="str">
        <f t="shared" ref="J29:J49" si="8">H30&amp;I30</f>
        <v>1|10007|4</v>
      </c>
    </row>
    <row r="31" ht="15.6" spans="7:10">
      <c r="G31" s="6">
        <v>4</v>
      </c>
      <c r="H31" s="6" t="str">
        <f>_xlfn.XLOOKUP(H8,道具表!$B:$B,道具表!$C:$C)&amp;"|"&amp;_xlfn.XLOOKUP(H8,道具表!$B:$B,道具表!$A:$A)&amp;"|"</f>
        <v>1|5|</v>
      </c>
      <c r="I31" s="6">
        <f t="shared" si="7"/>
        <v>10</v>
      </c>
      <c r="J31" s="8" t="str">
        <f t="shared" si="8"/>
        <v>1|5|10</v>
      </c>
    </row>
    <row r="32" ht="15.6" spans="7:10">
      <c r="G32" s="6">
        <v>5</v>
      </c>
      <c r="H32" s="6" t="str">
        <f>_xlfn.XLOOKUP(H9,道具表!$B:$B,道具表!$C:$C)&amp;"|"&amp;_xlfn.XLOOKUP(H9,道具表!$B:$B,道具表!$A:$A)&amp;"|"</f>
        <v>1|10009|</v>
      </c>
      <c r="I32" s="6">
        <f t="shared" si="7"/>
        <v>1</v>
      </c>
      <c r="J32" s="8" t="str">
        <f t="shared" si="8"/>
        <v>1|10009|1</v>
      </c>
    </row>
    <row r="33" ht="15.6" spans="7:10">
      <c r="G33" s="6">
        <v>6</v>
      </c>
      <c r="H33" s="6" t="str">
        <f>_xlfn.XLOOKUP(H10,道具表!$B:$B,道具表!$C:$C)&amp;"|"&amp;_xlfn.XLOOKUP(H10,道具表!$B:$B,道具表!$A:$A)&amp;"|"</f>
        <v>1|10020|</v>
      </c>
      <c r="I33" s="6">
        <f t="shared" si="7"/>
        <v>1</v>
      </c>
      <c r="J33" s="8" t="str">
        <f t="shared" si="8"/>
        <v>1|10020|1</v>
      </c>
    </row>
    <row r="34" ht="15.6" spans="7:10">
      <c r="G34" s="6">
        <v>7</v>
      </c>
      <c r="H34" s="6" t="str">
        <f>_xlfn.XLOOKUP(H11,道具表!$B:$B,道具表!$C:$C)&amp;"|"&amp;_xlfn.XLOOKUP(H11,道具表!$B:$B,道具表!$A:$A)&amp;"|"</f>
        <v>1|5|</v>
      </c>
      <c r="I34" s="6">
        <f t="shared" si="7"/>
        <v>10</v>
      </c>
      <c r="J34" s="8" t="str">
        <f t="shared" si="8"/>
        <v>1|5|10</v>
      </c>
    </row>
    <row r="35" ht="15.6" spans="7:10">
      <c r="G35" s="6">
        <v>8</v>
      </c>
      <c r="H35" s="6" t="str">
        <f>_xlfn.XLOOKUP(H12,道具表!$B:$B,道具表!$C:$C)&amp;"|"&amp;_xlfn.XLOOKUP(H12,道具表!$B:$B,道具表!$A:$A)&amp;"|"</f>
        <v>1|2|</v>
      </c>
      <c r="I35" s="6">
        <f t="shared" si="7"/>
        <v>10</v>
      </c>
      <c r="J35" s="8" t="str">
        <f t="shared" si="8"/>
        <v>1|2|10</v>
      </c>
    </row>
    <row r="36" ht="15.6" spans="7:10">
      <c r="G36" s="6">
        <v>9</v>
      </c>
      <c r="H36" s="6" t="str">
        <f>_xlfn.XLOOKUP(H13,道具表!$B:$B,道具表!$C:$C)&amp;"|"&amp;_xlfn.XLOOKUP(H13,道具表!$B:$B,道具表!$A:$A)&amp;"|"</f>
        <v>1|5|</v>
      </c>
      <c r="I36" s="6">
        <f t="shared" si="7"/>
        <v>10</v>
      </c>
      <c r="J36" s="8" t="str">
        <f t="shared" si="8"/>
        <v>1|5|10</v>
      </c>
    </row>
    <row r="37" ht="15.6" spans="7:10">
      <c r="G37" s="6">
        <v>10</v>
      </c>
      <c r="H37" s="6" t="str">
        <f>_xlfn.XLOOKUP(H14,道具表!$B:$B,道具表!$C:$C)&amp;"|"&amp;_xlfn.XLOOKUP(H14,道具表!$B:$B,道具表!$A:$A)&amp;"|"</f>
        <v>1|10002|</v>
      </c>
      <c r="I37" s="6">
        <f t="shared" si="7"/>
        <v>1</v>
      </c>
      <c r="J37" s="8" t="str">
        <f t="shared" si="8"/>
        <v>1|10002|1</v>
      </c>
    </row>
    <row r="38" ht="15.6" spans="7:10">
      <c r="G38" s="6">
        <v>11</v>
      </c>
      <c r="H38" s="6" t="str">
        <f>_xlfn.XLOOKUP(H15,道具表!$B:$B,道具表!$C:$C)&amp;"|"&amp;_xlfn.XLOOKUP(H15,道具表!$B:$B,道具表!$A:$A)&amp;"|"</f>
        <v>1|5|</v>
      </c>
      <c r="I38" s="6">
        <f t="shared" si="7"/>
        <v>10</v>
      </c>
      <c r="J38" s="8" t="str">
        <f t="shared" si="8"/>
        <v>1|5|10</v>
      </c>
    </row>
    <row r="39" ht="15.6" spans="7:10">
      <c r="G39" s="6">
        <v>12</v>
      </c>
      <c r="H39" s="6" t="str">
        <f>_xlfn.XLOOKUP(H16,道具表!$B:$B,道具表!$C:$C)&amp;"|"&amp;_xlfn.XLOOKUP(H16,道具表!$B:$B,道具表!$A:$A)&amp;"|"</f>
        <v>9|301|</v>
      </c>
      <c r="I39" s="6">
        <f t="shared" si="7"/>
        <v>1</v>
      </c>
      <c r="J39" s="8" t="str">
        <f t="shared" si="8"/>
        <v>9|301|1</v>
      </c>
    </row>
    <row r="40" ht="15.6" spans="7:10">
      <c r="G40" s="6">
        <v>13</v>
      </c>
      <c r="H40" s="6" t="str">
        <f>_xlfn.XLOOKUP(H17,道具表!$B:$B,道具表!$C:$C)&amp;"|"&amp;_xlfn.XLOOKUP(H17,道具表!$B:$B,道具表!$A:$A)&amp;"|"</f>
        <v>1|6|</v>
      </c>
      <c r="I40" s="6">
        <f t="shared" si="7"/>
        <v>1</v>
      </c>
      <c r="J40" s="8" t="str">
        <f t="shared" si="8"/>
        <v>1|6|1</v>
      </c>
    </row>
    <row r="41" ht="15.6" spans="7:10">
      <c r="G41" s="6">
        <v>14</v>
      </c>
      <c r="H41" s="6" t="str">
        <f>_xlfn.XLOOKUP(H18,道具表!$B:$B,道具表!$C:$C)&amp;"|"&amp;_xlfn.XLOOKUP(H18,道具表!$B:$B,道具表!$A:$A)&amp;"|"</f>
        <v>1|5|</v>
      </c>
      <c r="I41" s="6">
        <f t="shared" si="7"/>
        <v>10</v>
      </c>
      <c r="J41" s="8" t="str">
        <f t="shared" si="8"/>
        <v>1|5|10</v>
      </c>
    </row>
    <row r="42" ht="15.6" spans="7:10">
      <c r="G42" s="6">
        <v>15</v>
      </c>
      <c r="H42" s="6" t="str">
        <f>_xlfn.XLOOKUP(H19,道具表!$B:$B,道具表!$C:$C)&amp;"|"&amp;_xlfn.XLOOKUP(H19,道具表!$B:$B,道具表!$A:$A)&amp;"|"</f>
        <v>1|10019|</v>
      </c>
      <c r="I42" s="6">
        <f t="shared" si="7"/>
        <v>5</v>
      </c>
      <c r="J42" s="8" t="str">
        <f t="shared" si="8"/>
        <v>1|10019|5</v>
      </c>
    </row>
    <row r="43" ht="15.6" spans="7:10">
      <c r="G43" s="6">
        <v>16</v>
      </c>
      <c r="H43" s="6" t="str">
        <f>_xlfn.XLOOKUP(H20,道具表!$B:$B,道具表!$C:$C)&amp;"|"&amp;_xlfn.XLOOKUP(H20,道具表!$B:$B,道具表!$A:$A)&amp;"|"</f>
        <v>1|10021|</v>
      </c>
      <c r="I43" s="6">
        <f t="shared" si="7"/>
        <v>1</v>
      </c>
      <c r="J43" s="8" t="str">
        <f t="shared" si="8"/>
        <v>1|10021|1</v>
      </c>
    </row>
    <row r="44" ht="15.6" spans="7:10">
      <c r="G44" s="6">
        <v>17</v>
      </c>
      <c r="H44" s="6" t="str">
        <f>_xlfn.XLOOKUP(H21,道具表!$B:$B,道具表!$C:$C)&amp;"|"&amp;_xlfn.XLOOKUP(H21,道具表!$B:$B,道具表!$A:$A)&amp;"|"</f>
        <v>1|5|</v>
      </c>
      <c r="I44" s="6">
        <f t="shared" si="7"/>
        <v>10</v>
      </c>
      <c r="J44" s="8" t="str">
        <f t="shared" si="8"/>
        <v>1|5|10</v>
      </c>
    </row>
    <row r="45" ht="15.6" spans="7:10">
      <c r="G45" s="6">
        <v>18</v>
      </c>
      <c r="H45" s="6" t="str">
        <f>_xlfn.XLOOKUP(H22,道具表!$B:$B,道具表!$C:$C)&amp;"|"&amp;_xlfn.XLOOKUP(H22,道具表!$B:$B,道具表!$A:$A)&amp;"|"</f>
        <v>1|10005|</v>
      </c>
      <c r="I45" s="6">
        <f t="shared" si="7"/>
        <v>1</v>
      </c>
      <c r="J45" s="8" t="str">
        <f t="shared" si="8"/>
        <v>1|10005|1</v>
      </c>
    </row>
    <row r="46" ht="15.6" spans="7:10">
      <c r="G46" s="6">
        <v>19</v>
      </c>
      <c r="H46" s="6" t="str">
        <f>_xlfn.XLOOKUP(H23,道具表!$B:$B,道具表!$C:$C)&amp;"|"&amp;_xlfn.XLOOKUP(H23,道具表!$B:$B,道具表!$A:$A)&amp;"|"</f>
        <v>1|10006|</v>
      </c>
      <c r="I46" s="6">
        <f t="shared" si="7"/>
        <v>20</v>
      </c>
      <c r="J46" s="8" t="str">
        <f t="shared" si="8"/>
        <v>1|10006|20</v>
      </c>
    </row>
    <row r="47" ht="15.6" spans="7:10">
      <c r="G47" s="6">
        <v>20</v>
      </c>
      <c r="H47" s="6" t="str">
        <f>_xlfn.XLOOKUP(H24,道具表!$B:$B,道具表!$C:$C)&amp;"|"&amp;_xlfn.XLOOKUP(H24,道具表!$B:$B,道具表!$A:$A)&amp;"|"</f>
        <v>1|7|</v>
      </c>
      <c r="I47" s="6">
        <f t="shared" si="7"/>
        <v>2</v>
      </c>
      <c r="J47" s="8" t="str">
        <f t="shared" si="8"/>
        <v>1|7|2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L21" sqref="L21"/>
    </sheetView>
  </sheetViews>
  <sheetFormatPr defaultColWidth="8.88888888888889" defaultRowHeight="14.4"/>
  <sheetData>
    <row r="1" ht="15" spans="1:11">
      <c r="A1" s="1" t="s">
        <v>1142</v>
      </c>
      <c r="B1" s="2" t="s">
        <v>1143</v>
      </c>
      <c r="C1" s="3" t="s">
        <v>1144</v>
      </c>
      <c r="D1" s="4" t="s">
        <v>1145</v>
      </c>
      <c r="E1" s="5" t="s">
        <v>1146</v>
      </c>
      <c r="F1" s="4" t="s">
        <v>896</v>
      </c>
      <c r="G1" s="4" t="s">
        <v>897</v>
      </c>
      <c r="H1" s="5" t="s">
        <v>898</v>
      </c>
      <c r="I1" s="5" t="s">
        <v>899</v>
      </c>
      <c r="J1" s="5" t="s">
        <v>900</v>
      </c>
      <c r="K1" s="5" t="s">
        <v>378</v>
      </c>
    </row>
    <row r="2" ht="15" spans="1:11">
      <c r="A2" s="1" t="s">
        <v>1147</v>
      </c>
      <c r="B2" s="2" t="s">
        <v>901</v>
      </c>
      <c r="C2" s="3" t="s">
        <v>1148</v>
      </c>
      <c r="D2" s="4" t="s">
        <v>902</v>
      </c>
      <c r="E2" s="3" t="s">
        <v>902</v>
      </c>
      <c r="F2" s="4" t="s">
        <v>901</v>
      </c>
      <c r="G2" s="4" t="s">
        <v>901</v>
      </c>
      <c r="H2" s="5" t="s">
        <v>901</v>
      </c>
      <c r="I2" s="5" t="s">
        <v>901</v>
      </c>
      <c r="J2" s="5" t="s">
        <v>901</v>
      </c>
      <c r="K2" s="5" t="s">
        <v>902</v>
      </c>
    </row>
    <row r="3" ht="15" spans="1:11">
      <c r="A3" s="1" t="s">
        <v>1149</v>
      </c>
      <c r="B3" s="2" t="s">
        <v>1150</v>
      </c>
      <c r="C3" s="3" t="s">
        <v>1151</v>
      </c>
      <c r="D3" s="4" t="s">
        <v>1152</v>
      </c>
      <c r="E3" s="4" t="s">
        <v>1153</v>
      </c>
      <c r="F3" s="4" t="s">
        <v>909</v>
      </c>
      <c r="G3" s="4" t="s">
        <v>910</v>
      </c>
      <c r="H3" s="5" t="s">
        <v>911</v>
      </c>
      <c r="I3" s="5" t="s">
        <v>912</v>
      </c>
      <c r="J3" s="5" t="s">
        <v>913</v>
      </c>
      <c r="K3" s="5" t="s">
        <v>914</v>
      </c>
    </row>
    <row r="4" ht="15" spans="1:11">
      <c r="A4" s="1"/>
      <c r="B4" s="3">
        <v>101</v>
      </c>
      <c r="C4" s="3" t="s">
        <v>1154</v>
      </c>
      <c r="D4" s="4" t="s">
        <v>1155</v>
      </c>
      <c r="E4" s="3" t="s">
        <v>1156</v>
      </c>
      <c r="F4" s="5">
        <v>6</v>
      </c>
      <c r="G4" s="5">
        <v>99</v>
      </c>
      <c r="H4" s="5">
        <v>33</v>
      </c>
      <c r="I4" s="5">
        <v>1200</v>
      </c>
      <c r="J4" s="5">
        <v>120</v>
      </c>
      <c r="K4" s="5" t="s">
        <v>915</v>
      </c>
    </row>
    <row r="5" ht="15" spans="1:11">
      <c r="A5" s="1"/>
      <c r="B5" s="3">
        <v>102</v>
      </c>
      <c r="C5" s="3" t="s">
        <v>1157</v>
      </c>
      <c r="D5" s="4" t="s">
        <v>1158</v>
      </c>
      <c r="E5" s="3" t="s">
        <v>1159</v>
      </c>
      <c r="F5" s="5">
        <v>12</v>
      </c>
      <c r="G5" s="5">
        <v>199</v>
      </c>
      <c r="H5" s="5">
        <v>70</v>
      </c>
      <c r="I5" s="5">
        <v>2500</v>
      </c>
      <c r="J5" s="5">
        <v>250</v>
      </c>
      <c r="K5" s="5" t="s">
        <v>916</v>
      </c>
    </row>
    <row r="6" ht="15" spans="1:11">
      <c r="A6" s="1"/>
      <c r="B6" s="3">
        <v>103</v>
      </c>
      <c r="C6" s="3" t="s">
        <v>1160</v>
      </c>
      <c r="D6" s="4" t="s">
        <v>1161</v>
      </c>
      <c r="E6" s="3" t="s">
        <v>1162</v>
      </c>
      <c r="F6" s="5">
        <v>18</v>
      </c>
      <c r="G6" s="5">
        <v>299</v>
      </c>
      <c r="H6" s="5">
        <v>100</v>
      </c>
      <c r="I6" s="5">
        <v>3900</v>
      </c>
      <c r="J6" s="5">
        <v>370</v>
      </c>
      <c r="K6" s="5" t="s">
        <v>917</v>
      </c>
    </row>
    <row r="7" ht="15" spans="1:11">
      <c r="A7" s="1"/>
      <c r="B7" s="3">
        <v>104</v>
      </c>
      <c r="C7" s="3" t="s">
        <v>1163</v>
      </c>
      <c r="D7" s="4" t="s">
        <v>1164</v>
      </c>
      <c r="E7" s="3" t="s">
        <v>1165</v>
      </c>
      <c r="F7" s="5">
        <v>30</v>
      </c>
      <c r="G7" s="5">
        <v>499</v>
      </c>
      <c r="H7" s="5">
        <v>170</v>
      </c>
      <c r="I7" s="5">
        <v>5900</v>
      </c>
      <c r="J7" s="5">
        <v>610</v>
      </c>
      <c r="K7" s="5" t="s">
        <v>918</v>
      </c>
    </row>
    <row r="8" ht="15" spans="1:11">
      <c r="A8" s="1"/>
      <c r="B8" s="3">
        <v>105</v>
      </c>
      <c r="C8" s="3" t="s">
        <v>1166</v>
      </c>
      <c r="D8" s="4" t="s">
        <v>1167</v>
      </c>
      <c r="E8" s="3" t="s">
        <v>1168</v>
      </c>
      <c r="F8" s="5">
        <v>68</v>
      </c>
      <c r="G8" s="5">
        <v>999</v>
      </c>
      <c r="H8" s="5">
        <v>330</v>
      </c>
      <c r="I8" s="5">
        <v>12000</v>
      </c>
      <c r="J8" s="5">
        <v>1220</v>
      </c>
      <c r="K8" s="5" t="s">
        <v>919</v>
      </c>
    </row>
    <row r="9" ht="15" spans="1:11">
      <c r="A9" s="1"/>
      <c r="B9" s="3">
        <v>106</v>
      </c>
      <c r="C9" s="3" t="s">
        <v>1169</v>
      </c>
      <c r="D9" s="4" t="s">
        <v>1170</v>
      </c>
      <c r="E9" s="3" t="s">
        <v>1171</v>
      </c>
      <c r="F9" s="5">
        <v>98</v>
      </c>
      <c r="G9" s="5">
        <v>1499</v>
      </c>
      <c r="H9" s="5">
        <v>490</v>
      </c>
      <c r="I9" s="5">
        <v>19000</v>
      </c>
      <c r="J9" s="5">
        <v>1840</v>
      </c>
      <c r="K9" s="5" t="s">
        <v>920</v>
      </c>
    </row>
    <row r="10" ht="15" spans="1:11">
      <c r="A10" s="1"/>
      <c r="B10" s="3">
        <v>107</v>
      </c>
      <c r="C10" s="3" t="s">
        <v>1172</v>
      </c>
      <c r="D10" s="4" t="s">
        <v>1173</v>
      </c>
      <c r="E10" s="3" t="s">
        <v>1174</v>
      </c>
      <c r="F10" s="5">
        <v>128</v>
      </c>
      <c r="G10" s="5">
        <v>1999</v>
      </c>
      <c r="H10" s="5">
        <v>670</v>
      </c>
      <c r="I10" s="5">
        <v>25000</v>
      </c>
      <c r="J10" s="5">
        <v>2440</v>
      </c>
      <c r="K10" s="5" t="s">
        <v>921</v>
      </c>
    </row>
    <row r="11" ht="15" spans="1:11">
      <c r="A11" s="1"/>
      <c r="B11" s="3">
        <v>108</v>
      </c>
      <c r="C11" s="3" t="s">
        <v>1175</v>
      </c>
      <c r="D11" s="4" t="s">
        <v>1176</v>
      </c>
      <c r="E11" s="3" t="s">
        <v>1177</v>
      </c>
      <c r="F11" s="5">
        <v>198</v>
      </c>
      <c r="G11" s="5">
        <v>2999</v>
      </c>
      <c r="H11" s="5">
        <v>990</v>
      </c>
      <c r="I11" s="5">
        <v>37000</v>
      </c>
      <c r="J11" s="5">
        <v>3680</v>
      </c>
      <c r="K11" s="5" t="s">
        <v>922</v>
      </c>
    </row>
    <row r="12" ht="15" spans="1:11">
      <c r="A12" s="1"/>
      <c r="B12" s="3">
        <v>109</v>
      </c>
      <c r="C12" s="3" t="s">
        <v>1178</v>
      </c>
      <c r="D12" s="4" t="s">
        <v>1179</v>
      </c>
      <c r="E12" s="3" t="s">
        <v>1180</v>
      </c>
      <c r="F12" s="5">
        <v>298</v>
      </c>
      <c r="G12" s="5">
        <v>4699</v>
      </c>
      <c r="H12" s="5">
        <v>1560</v>
      </c>
      <c r="I12" s="5">
        <v>58000</v>
      </c>
      <c r="J12" s="5">
        <v>5740</v>
      </c>
      <c r="K12" s="5" t="s">
        <v>923</v>
      </c>
    </row>
    <row r="13" ht="15" spans="1:11">
      <c r="A13" s="1"/>
      <c r="B13" s="3">
        <v>110</v>
      </c>
      <c r="C13" s="3" t="s">
        <v>1181</v>
      </c>
      <c r="D13" s="4" t="s">
        <v>1182</v>
      </c>
      <c r="E13" s="3" t="s">
        <v>1183</v>
      </c>
      <c r="F13" s="5">
        <v>328</v>
      </c>
      <c r="G13" s="5">
        <v>4999</v>
      </c>
      <c r="H13" s="5">
        <v>1690</v>
      </c>
      <c r="I13" s="5">
        <v>65000</v>
      </c>
      <c r="J13" s="5">
        <v>6100</v>
      </c>
      <c r="K13" s="5" t="s">
        <v>924</v>
      </c>
    </row>
    <row r="14" ht="15" spans="1:11">
      <c r="A14" s="1"/>
      <c r="B14" s="3">
        <v>111</v>
      </c>
      <c r="C14" s="3" t="s">
        <v>1184</v>
      </c>
      <c r="D14" s="4" t="s">
        <v>1185</v>
      </c>
      <c r="E14" s="3" t="s">
        <v>1186</v>
      </c>
      <c r="F14" s="5">
        <v>648</v>
      </c>
      <c r="G14" s="5">
        <v>9999</v>
      </c>
      <c r="H14" s="5">
        <v>3290</v>
      </c>
      <c r="I14" s="5">
        <v>119000</v>
      </c>
      <c r="J14" s="5">
        <v>12000</v>
      </c>
      <c r="K14" s="5" t="s">
        <v>925</v>
      </c>
    </row>
    <row r="15" ht="15" spans="1:11">
      <c r="A15" s="1"/>
      <c r="B15" s="3">
        <v>112</v>
      </c>
      <c r="C15" s="3" t="s">
        <v>1187</v>
      </c>
      <c r="D15" s="4" t="s">
        <v>1188</v>
      </c>
      <c r="E15" s="3" t="s">
        <v>1189</v>
      </c>
      <c r="F15" s="5">
        <v>1000</v>
      </c>
      <c r="G15" s="5">
        <v>14999</v>
      </c>
      <c r="H15" s="5">
        <v>4990</v>
      </c>
      <c r="I15" s="5">
        <v>179000</v>
      </c>
      <c r="J15" s="5">
        <v>18000</v>
      </c>
      <c r="K15" s="5" t="s">
        <v>926</v>
      </c>
    </row>
    <row r="16" ht="15" spans="1:11">
      <c r="A16" s="1"/>
      <c r="B16" s="3">
        <v>113</v>
      </c>
      <c r="C16" s="3" t="s">
        <v>1190</v>
      </c>
      <c r="D16" s="4" t="s">
        <v>1191</v>
      </c>
      <c r="E16" s="3" t="s">
        <v>1192</v>
      </c>
      <c r="F16" s="5">
        <v>2000</v>
      </c>
      <c r="G16" s="5">
        <v>29999</v>
      </c>
      <c r="H16" s="5">
        <v>9990</v>
      </c>
      <c r="I16" s="5">
        <v>369000</v>
      </c>
      <c r="J16" s="5">
        <v>36800</v>
      </c>
      <c r="K16" s="5" t="s">
        <v>927</v>
      </c>
    </row>
  </sheetData>
  <conditionalFormatting sqref="D3">
    <cfRule type="expression" dxfId="0" priority="18">
      <formula>AND(SUMPRODUCT(IFERROR(1*((#REF!&amp;"x")=(D3&amp;"x")),0))&gt;1,NOT(ISBLANK(D3)))</formula>
    </cfRule>
    <cfRule type="duplicateValues" dxfId="1" priority="17"/>
    <cfRule type="duplicateValues" dxfId="1" priority="16"/>
    <cfRule type="duplicateValues" dxfId="1" priority="15"/>
  </conditionalFormatting>
  <conditionalFormatting sqref="A8">
    <cfRule type="duplicateValues" dxfId="1" priority="12"/>
    <cfRule type="duplicateValues" dxfId="1" priority="5"/>
  </conditionalFormatting>
  <conditionalFormatting sqref="A1:A3">
    <cfRule type="duplicateValues" dxfId="1" priority="23"/>
    <cfRule type="duplicateValues" dxfId="1" priority="22"/>
    <cfRule type="duplicateValues" dxfId="1" priority="21"/>
    <cfRule type="duplicateValues" dxfId="1" priority="20"/>
    <cfRule type="duplicateValues" dxfId="1" priority="19"/>
  </conditionalFormatting>
  <conditionalFormatting sqref="A4:A5">
    <cfRule type="duplicateValues" dxfId="1" priority="14"/>
    <cfRule type="duplicateValues" dxfId="1" priority="7"/>
  </conditionalFormatting>
  <conditionalFormatting sqref="A6:A7">
    <cfRule type="duplicateValues" dxfId="1" priority="13"/>
    <cfRule type="duplicateValues" dxfId="1" priority="6"/>
  </conditionalFormatting>
  <conditionalFormatting sqref="A9:A10">
    <cfRule type="duplicateValues" dxfId="1" priority="11"/>
    <cfRule type="duplicateValues" dxfId="1" priority="4"/>
  </conditionalFormatting>
  <conditionalFormatting sqref="A11:A12">
    <cfRule type="duplicateValues" dxfId="1" priority="10"/>
    <cfRule type="duplicateValues" dxfId="1" priority="3"/>
  </conditionalFormatting>
  <conditionalFormatting sqref="A13:A14">
    <cfRule type="duplicateValues" dxfId="1" priority="9"/>
    <cfRule type="duplicateValues" dxfId="1" priority="2"/>
  </conditionalFormatting>
  <conditionalFormatting sqref="A15:A16">
    <cfRule type="duplicateValues" dxfId="1" priority="8"/>
    <cfRule type="duplicateValues" dxfId="1" priority="1"/>
  </conditionalFormatting>
  <dataValidations count="1">
    <dataValidation type="custom" allowBlank="1" showInputMessage="1" showErrorMessage="1" sqref="D3">
      <formula1>(COUNTIF(D:D,D3)=1)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2:M11"/>
  <sheetViews>
    <sheetView workbookViewId="0">
      <selection activeCell="M9" sqref="M9"/>
    </sheetView>
  </sheetViews>
  <sheetFormatPr defaultColWidth="8.88888888888889" defaultRowHeight="14.4"/>
  <cols>
    <col min="6" max="6" width="23.2222222222222" customWidth="1"/>
    <col min="10" max="10" width="11.6666666666667" customWidth="1"/>
    <col min="12" max="13" width="17.3333333333333" customWidth="1"/>
  </cols>
  <sheetData>
    <row r="2" ht="15.6" spans="5:9">
      <c r="E2" s="55"/>
      <c r="F2" s="55"/>
      <c r="G2" s="55"/>
      <c r="H2" s="55"/>
      <c r="I2" s="55"/>
    </row>
    <row r="3" ht="15.6" spans="5:10">
      <c r="E3" s="6" t="s">
        <v>354</v>
      </c>
      <c r="F3" s="6" t="s">
        <v>322</v>
      </c>
      <c r="G3" s="6" t="s">
        <v>323</v>
      </c>
      <c r="H3" s="6" t="s">
        <v>355</v>
      </c>
      <c r="I3" s="6" t="s">
        <v>356</v>
      </c>
      <c r="J3" s="6" t="s">
        <v>327</v>
      </c>
    </row>
    <row r="4" ht="15.6" spans="5:13">
      <c r="E4" s="6">
        <v>1</v>
      </c>
      <c r="F4" s="6" t="s">
        <v>9</v>
      </c>
      <c r="G4" s="6">
        <v>30</v>
      </c>
      <c r="H4" s="6">
        <f>_xlfn.XLOOKUP(F4,道具表!B:B,道具表!A:A)</f>
        <v>5</v>
      </c>
      <c r="I4" s="6">
        <f>_xlfn.XLOOKUP(F4,道具表!B:B,道具表!C:C)</f>
        <v>1</v>
      </c>
      <c r="J4" s="6" t="str">
        <f>I4&amp;"|"&amp;H4&amp;"|"&amp;G4</f>
        <v>1|5|30</v>
      </c>
      <c r="L4" t="str">
        <f>F4&amp;"*"&amp;G4</f>
        <v>宝箱*30</v>
      </c>
      <c r="M4" t="s">
        <v>357</v>
      </c>
    </row>
    <row r="5" ht="15.6" spans="5:13">
      <c r="E5" s="6">
        <v>2</v>
      </c>
      <c r="F5" s="116" t="s">
        <v>76</v>
      </c>
      <c r="G5" s="116">
        <v>1</v>
      </c>
      <c r="H5" s="116">
        <f>_xlfn.XLOOKUP(F5,道具表!B:B,道具表!A:A)</f>
        <v>90064</v>
      </c>
      <c r="I5" s="116">
        <f>_xlfn.XLOOKUP(F5,道具表!B:B,道具表!C:C)</f>
        <v>2</v>
      </c>
      <c r="J5" s="116" t="str">
        <f>I5&amp;"|"&amp;H5&amp;"|"&amp;G5</f>
        <v>2|90064|1</v>
      </c>
      <c r="K5" t="s">
        <v>358</v>
      </c>
      <c r="L5" t="str">
        <f t="shared" ref="L5:L10" si="0">F5&amp;"*"&amp;G5</f>
        <v>[传说]LV50衣服*1</v>
      </c>
      <c r="M5" t="s">
        <v>359</v>
      </c>
    </row>
    <row r="6" ht="15.6" spans="5:13">
      <c r="E6" s="6">
        <v>3</v>
      </c>
      <c r="F6" s="116" t="s">
        <v>34</v>
      </c>
      <c r="G6" s="116">
        <v>5</v>
      </c>
      <c r="H6" s="116">
        <f>_xlfn.XLOOKUP(F6,道具表!B:B,道具表!A:A)</f>
        <v>1011</v>
      </c>
      <c r="I6" s="116">
        <f>_xlfn.XLOOKUP(F6,道具表!B:B,道具表!C:C)</f>
        <v>1</v>
      </c>
      <c r="J6" s="116" t="str">
        <f t="shared" ref="J5:J10" si="1">I6&amp;"|"&amp;H6&amp;"|"&amp;G6</f>
        <v>1|1011|5</v>
      </c>
      <c r="K6" t="s">
        <v>360</v>
      </c>
      <c r="L6" t="str">
        <f t="shared" si="0"/>
        <v>宠物蛋*5</v>
      </c>
      <c r="M6" t="s">
        <v>361</v>
      </c>
    </row>
    <row r="7" ht="15.6" spans="5:13">
      <c r="E7" s="6">
        <v>4</v>
      </c>
      <c r="F7" s="6" t="s">
        <v>67</v>
      </c>
      <c r="G7" s="6">
        <v>5</v>
      </c>
      <c r="H7" s="6">
        <f>_xlfn.XLOOKUP(F7,道具表!B:B,道具表!A:A)</f>
        <v>10030</v>
      </c>
      <c r="I7" s="6">
        <f>_xlfn.XLOOKUP(F7,道具表!B:B,道具表!C:C)</f>
        <v>1</v>
      </c>
      <c r="J7" s="6" t="str">
        <f t="shared" si="1"/>
        <v>1|10030|5</v>
      </c>
      <c r="L7" t="str">
        <f t="shared" si="0"/>
        <v>灵魄*5</v>
      </c>
      <c r="M7" t="s">
        <v>362</v>
      </c>
    </row>
    <row r="8" ht="15.6" spans="5:13">
      <c r="E8" s="6">
        <v>5</v>
      </c>
      <c r="F8" s="6" t="s">
        <v>48</v>
      </c>
      <c r="G8" s="6">
        <v>5</v>
      </c>
      <c r="H8" s="6">
        <f>_xlfn.XLOOKUP(F8,道具表!B:B,道具表!A:A)</f>
        <v>10009</v>
      </c>
      <c r="I8" s="6">
        <f>_xlfn.XLOOKUP(F8,道具表!B:B,道具表!C:C)</f>
        <v>1</v>
      </c>
      <c r="J8" s="6" t="str">
        <f t="shared" si="1"/>
        <v>1|10009|5</v>
      </c>
      <c r="L8" t="str">
        <f t="shared" si="0"/>
        <v>宝石券*5</v>
      </c>
      <c r="M8" t="s">
        <v>363</v>
      </c>
    </row>
    <row r="9" ht="15.6" spans="5:13">
      <c r="E9" s="6">
        <v>6</v>
      </c>
      <c r="F9" s="24" t="s">
        <v>296</v>
      </c>
      <c r="G9" s="6">
        <v>1</v>
      </c>
      <c r="H9" s="6">
        <f>_xlfn.XLOOKUP(F9,道具表!B:B,道具表!A:A)</f>
        <v>102</v>
      </c>
      <c r="I9" s="6">
        <f>_xlfn.XLOOKUP(F9,道具表!B:B,道具表!C:C)</f>
        <v>16</v>
      </c>
      <c r="J9" s="6" t="str">
        <f t="shared" si="1"/>
        <v>16|102|1</v>
      </c>
      <c r="L9" t="str">
        <f t="shared" si="0"/>
        <v>咸鱼*1</v>
      </c>
      <c r="M9" t="s">
        <v>364</v>
      </c>
    </row>
    <row r="10" ht="15.6" spans="5:13">
      <c r="E10" s="6">
        <v>7</v>
      </c>
      <c r="F10" s="24" t="s">
        <v>294</v>
      </c>
      <c r="G10" s="6">
        <v>1</v>
      </c>
      <c r="H10" s="6">
        <f>_xlfn.XLOOKUP(F10,道具表!B:B,道具表!A:A)</f>
        <v>101</v>
      </c>
      <c r="I10" s="6">
        <f>_xlfn.XLOOKUP(F10,道具表!B:B,道具表!C:C)</f>
        <v>16</v>
      </c>
      <c r="J10" s="6" t="str">
        <f t="shared" si="1"/>
        <v>16|101|1</v>
      </c>
      <c r="L10" t="str">
        <f t="shared" si="0"/>
        <v>玩偶熊*1</v>
      </c>
      <c r="M10" t="s">
        <v>365</v>
      </c>
    </row>
    <row r="11" ht="15.6" spans="5:9">
      <c r="E11" s="55"/>
      <c r="F11" s="55"/>
      <c r="G11" s="55"/>
      <c r="H11" s="55"/>
      <c r="I11" s="55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24"/>
  <sheetViews>
    <sheetView zoomScale="85" zoomScaleNormal="85" topLeftCell="K1" workbookViewId="0">
      <selection activeCell="X12" sqref="X12:X17"/>
    </sheetView>
  </sheetViews>
  <sheetFormatPr defaultColWidth="8.88888888888889" defaultRowHeight="15.6"/>
  <cols>
    <col min="1" max="3" width="23.7777777777778" style="73" customWidth="1"/>
    <col min="4" max="9" width="8.88888888888889" style="73"/>
    <col min="10" max="10" width="31.5" style="82" customWidth="1"/>
    <col min="11" max="11" width="8.88888888888889" style="83"/>
    <col min="12" max="12" width="8.88888888888889" style="82"/>
    <col min="13" max="13" width="12.8888888888889" style="82"/>
    <col min="14" max="14" width="8.88888888888889" style="82"/>
    <col min="15" max="15" width="8.88888888888889" style="73"/>
    <col min="16" max="16" width="8.88888888888889" style="84"/>
    <col min="17" max="28" width="8.88888888888889" style="73"/>
    <col min="29" max="29" width="12.8888888888889" style="73"/>
    <col min="30" max="16384" width="8.88888888888889" style="73"/>
  </cols>
  <sheetData>
    <row r="1" spans="1:3">
      <c r="A1" s="55" t="s">
        <v>366</v>
      </c>
      <c r="B1" s="55" t="s">
        <v>367</v>
      </c>
      <c r="C1" s="55" t="s">
        <v>368</v>
      </c>
    </row>
    <row r="2" spans="1:25">
      <c r="A2" s="85">
        <v>1</v>
      </c>
      <c r="B2" s="85" t="s">
        <v>369</v>
      </c>
      <c r="C2" s="86"/>
      <c r="D2" s="73">
        <v>102</v>
      </c>
      <c r="Y2" s="55" t="s">
        <v>370</v>
      </c>
    </row>
    <row r="3" spans="1:4">
      <c r="A3" s="85">
        <v>2</v>
      </c>
      <c r="B3" s="85" t="s">
        <v>371</v>
      </c>
      <c r="C3" s="86"/>
      <c r="D3" s="73">
        <v>102</v>
      </c>
    </row>
    <row r="4" spans="1:33">
      <c r="A4" s="85">
        <v>3</v>
      </c>
      <c r="B4" s="85" t="s">
        <v>372</v>
      </c>
      <c r="C4" s="86"/>
      <c r="D4" s="73">
        <v>102</v>
      </c>
      <c r="R4" s="107" t="s">
        <v>373</v>
      </c>
      <c r="S4" s="107" t="s">
        <v>322</v>
      </c>
      <c r="T4" s="107" t="s">
        <v>323</v>
      </c>
      <c r="U4" s="6" t="s">
        <v>374</v>
      </c>
      <c r="V4" s="6" t="s">
        <v>375</v>
      </c>
      <c r="W4" s="8"/>
      <c r="Y4" s="107" t="s">
        <v>376</v>
      </c>
      <c r="Z4" s="107" t="s">
        <v>323</v>
      </c>
      <c r="AA4" s="107" t="s">
        <v>377</v>
      </c>
      <c r="AB4" s="107" t="s">
        <v>375</v>
      </c>
      <c r="AC4" s="107" t="s">
        <v>378</v>
      </c>
      <c r="AD4" s="107" t="s">
        <v>379</v>
      </c>
      <c r="AE4" s="108"/>
      <c r="AF4" s="107" t="s">
        <v>327</v>
      </c>
      <c r="AG4" s="107" t="s">
        <v>380</v>
      </c>
    </row>
    <row r="5" spans="1:33">
      <c r="A5" s="85">
        <v>4</v>
      </c>
      <c r="B5" s="85" t="s">
        <v>381</v>
      </c>
      <c r="C5" s="86"/>
      <c r="D5" s="73">
        <v>102</v>
      </c>
      <c r="H5" s="6" t="s">
        <v>354</v>
      </c>
      <c r="I5" s="6" t="s">
        <v>382</v>
      </c>
      <c r="J5" s="6" t="s">
        <v>383</v>
      </c>
      <c r="K5" s="96" t="s">
        <v>384</v>
      </c>
      <c r="L5" s="6" t="s">
        <v>373</v>
      </c>
      <c r="M5" s="6" t="s">
        <v>385</v>
      </c>
      <c r="N5" s="6" t="s">
        <v>380</v>
      </c>
      <c r="O5" s="8" t="s">
        <v>386</v>
      </c>
      <c r="R5" s="108">
        <v>250</v>
      </c>
      <c r="S5" s="107" t="s">
        <v>6</v>
      </c>
      <c r="T5" s="108">
        <v>500</v>
      </c>
      <c r="U5" s="6">
        <f>_xlfn.XLOOKUP(S5,道具表!$B:$B,道具表!$E:$E)</f>
        <v>1</v>
      </c>
      <c r="V5" s="6">
        <f t="shared" ref="V5:V9" si="0">U5*T5</f>
        <v>500</v>
      </c>
      <c r="W5" s="8"/>
      <c r="X5" s="109" t="s">
        <v>387</v>
      </c>
      <c r="Y5" s="107" t="s">
        <v>42</v>
      </c>
      <c r="Z5" s="108">
        <v>3</v>
      </c>
      <c r="AA5" s="6">
        <f>_xlfn.XLOOKUP(Y5,道具表!$B:$B,道具表!$E:$E)</f>
        <v>40</v>
      </c>
      <c r="AB5" s="108">
        <f t="shared" ref="AB5:AB17" si="1">AA5*Z5</f>
        <v>120</v>
      </c>
      <c r="AC5" s="108">
        <f>AB5/3</f>
        <v>40</v>
      </c>
      <c r="AD5" s="108">
        <v>30</v>
      </c>
      <c r="AE5" s="108">
        <f t="shared" ref="AE5:AE17" si="2">AC5*AD5</f>
        <v>1200</v>
      </c>
      <c r="AF5" s="6" t="str">
        <f>_xlfn.XLOOKUP(Y5,道具表!$B:$B,道具表!$C:$C)&amp;"|"&amp;_xlfn.XLOOKUP(Y5,道具表!$B:$B,道具表!$A:$A)&amp;"|"&amp;Z5</f>
        <v>1|10002|3</v>
      </c>
      <c r="AG5" s="107" t="str">
        <f t="shared" ref="AG5:AG17" si="3">"1|15|"&amp;AC5</f>
        <v>1|15|40</v>
      </c>
    </row>
    <row r="6" spans="1:33">
      <c r="A6" s="85">
        <v>5</v>
      </c>
      <c r="B6" s="85" t="s">
        <v>388</v>
      </c>
      <c r="C6" s="85"/>
      <c r="D6" s="73">
        <v>102</v>
      </c>
      <c r="H6" s="87" t="s">
        <v>389</v>
      </c>
      <c r="I6" s="97" t="s">
        <v>390</v>
      </c>
      <c r="J6" s="98" t="s">
        <v>391</v>
      </c>
      <c r="K6" s="97" t="s">
        <v>392</v>
      </c>
      <c r="L6" s="99">
        <v>10</v>
      </c>
      <c r="M6" s="34" t="str">
        <f>_xlfn.XLOOKUP(J6,B:B,A:A)&amp;"|"&amp;K6</f>
        <v>22|20</v>
      </c>
      <c r="N6" s="34" t="str">
        <f t="shared" ref="N6:N20" si="4">"1|15|"&amp;L6</f>
        <v>1|15|10</v>
      </c>
      <c r="O6" s="73">
        <f>_xlfn.XLOOKUP(J6,B:B,D:D)</f>
        <v>102</v>
      </c>
      <c r="P6" s="100" t="str">
        <f>I6&amp;","</f>
        <v>101,</v>
      </c>
      <c r="Q6" s="55" t="str">
        <f>P6</f>
        <v>101,</v>
      </c>
      <c r="R6" s="108">
        <v>500</v>
      </c>
      <c r="S6" s="107" t="s">
        <v>43</v>
      </c>
      <c r="T6" s="108">
        <v>2</v>
      </c>
      <c r="U6" s="6">
        <f>_xlfn.XLOOKUP(S6,道具表!$B:$B,道具表!$E:$E)</f>
        <v>500</v>
      </c>
      <c r="V6" s="6">
        <f t="shared" si="0"/>
        <v>1000</v>
      </c>
      <c r="W6" s="8"/>
      <c r="X6" s="110"/>
      <c r="Y6" s="107" t="s">
        <v>34</v>
      </c>
      <c r="Z6" s="108">
        <v>1</v>
      </c>
      <c r="AA6" s="6">
        <f>_xlfn.XLOOKUP(Y6,道具表!$B:$B,道具表!$E:$E)</f>
        <v>100</v>
      </c>
      <c r="AB6" s="108">
        <f t="shared" si="1"/>
        <v>100</v>
      </c>
      <c r="AC6" s="108">
        <v>30</v>
      </c>
      <c r="AD6" s="108">
        <v>20</v>
      </c>
      <c r="AE6" s="108">
        <f t="shared" si="2"/>
        <v>600</v>
      </c>
      <c r="AF6" s="6" t="str">
        <f>_xlfn.XLOOKUP(Y6,道具表!$B:$B,道具表!$C:$C)&amp;"|"&amp;_xlfn.XLOOKUP(Y6,道具表!$B:$B,道具表!$A:$A)&amp;"|"&amp;Z6</f>
        <v>1|1011|1</v>
      </c>
      <c r="AG6" s="107" t="str">
        <f t="shared" si="3"/>
        <v>1|15|30</v>
      </c>
    </row>
    <row r="7" spans="1:33">
      <c r="A7" s="88">
        <v>6</v>
      </c>
      <c r="B7" s="89" t="s">
        <v>393</v>
      </c>
      <c r="C7" s="89" t="s">
        <v>394</v>
      </c>
      <c r="D7" s="73">
        <v>102</v>
      </c>
      <c r="H7" s="90"/>
      <c r="I7" s="97" t="s">
        <v>395</v>
      </c>
      <c r="J7" s="98" t="s">
        <v>391</v>
      </c>
      <c r="K7" s="101">
        <v>30</v>
      </c>
      <c r="L7" s="99">
        <v>20</v>
      </c>
      <c r="M7" s="34" t="str">
        <f>_xlfn.XLOOKUP(J7,B:B,A:A)&amp;"|"&amp;K7</f>
        <v>22|30</v>
      </c>
      <c r="N7" s="34" t="str">
        <f t="shared" si="4"/>
        <v>1|15|20</v>
      </c>
      <c r="O7" s="73">
        <f t="shared" ref="O7:O42" si="5">_xlfn.XLOOKUP(J7,B:B,D:D)</f>
        <v>102</v>
      </c>
      <c r="P7" s="100" t="str">
        <f>I7&amp;","</f>
        <v>102,</v>
      </c>
      <c r="Q7" s="55" t="str">
        <f t="shared" ref="Q7:Q22" si="6">Q6&amp;P7</f>
        <v>101,102,</v>
      </c>
      <c r="R7" s="108">
        <v>800</v>
      </c>
      <c r="S7" s="107" t="s">
        <v>34</v>
      </c>
      <c r="T7" s="108">
        <v>15</v>
      </c>
      <c r="U7" s="6">
        <f>_xlfn.XLOOKUP(S7,道具表!$B:$B,道具表!$E:$E)</f>
        <v>100</v>
      </c>
      <c r="V7" s="6">
        <f t="shared" si="0"/>
        <v>1500</v>
      </c>
      <c r="W7" s="8"/>
      <c r="X7" s="110"/>
      <c r="Y7" s="107" t="s">
        <v>47</v>
      </c>
      <c r="Z7" s="108">
        <v>10</v>
      </c>
      <c r="AA7" s="6">
        <f>_xlfn.XLOOKUP(Y7,道具表!$B:$B,道具表!$E:$E)</f>
        <v>15</v>
      </c>
      <c r="AB7" s="108">
        <f t="shared" si="1"/>
        <v>150</v>
      </c>
      <c r="AC7" s="108">
        <f>AB7/3</f>
        <v>50</v>
      </c>
      <c r="AD7" s="108">
        <v>30</v>
      </c>
      <c r="AE7" s="108">
        <f t="shared" si="2"/>
        <v>1500</v>
      </c>
      <c r="AF7" s="6" t="str">
        <f>_xlfn.XLOOKUP(Y7,道具表!$B:$B,道具表!$C:$C)&amp;"|"&amp;_xlfn.XLOOKUP(Y7,道具表!$B:$B,道具表!$A:$A)&amp;"|"&amp;Z7</f>
        <v>1|10007|10</v>
      </c>
      <c r="AG7" s="107" t="str">
        <f t="shared" si="3"/>
        <v>1|15|50</v>
      </c>
    </row>
    <row r="8" spans="1:33">
      <c r="A8" s="85">
        <v>7</v>
      </c>
      <c r="B8" s="86" t="s">
        <v>396</v>
      </c>
      <c r="C8" s="86"/>
      <c r="D8" s="73">
        <v>125</v>
      </c>
      <c r="H8" s="90"/>
      <c r="I8" s="97" t="s">
        <v>397</v>
      </c>
      <c r="J8" s="34" t="s">
        <v>398</v>
      </c>
      <c r="K8" s="97" t="s">
        <v>399</v>
      </c>
      <c r="L8" s="99">
        <v>10</v>
      </c>
      <c r="M8" s="34" t="str">
        <f>_xlfn.XLOOKUP(J8,B:B,A:A)&amp;"|"&amp;K8</f>
        <v>23|5</v>
      </c>
      <c r="N8" s="34" t="str">
        <f t="shared" si="4"/>
        <v>1|15|10</v>
      </c>
      <c r="O8" s="73">
        <f t="shared" si="5"/>
        <v>139</v>
      </c>
      <c r="P8" s="100" t="str">
        <f t="shared" ref="P7:P22" si="7">I8&amp;","</f>
        <v>103,</v>
      </c>
      <c r="Q8" s="55" t="str">
        <f t="shared" si="6"/>
        <v>101,102,103,</v>
      </c>
      <c r="R8" s="108">
        <v>1200</v>
      </c>
      <c r="S8" s="107" t="s">
        <v>313</v>
      </c>
      <c r="T8" s="108">
        <v>1</v>
      </c>
      <c r="U8" s="6">
        <f>_xlfn.XLOOKUP(S8,道具表!$B:$B,道具表!$E:$E)</f>
        <v>6000</v>
      </c>
      <c r="V8" s="6">
        <f t="shared" si="0"/>
        <v>6000</v>
      </c>
      <c r="W8" s="8"/>
      <c r="X8" s="110"/>
      <c r="Y8" s="107" t="s">
        <v>48</v>
      </c>
      <c r="Z8" s="108">
        <v>1</v>
      </c>
      <c r="AA8" s="6">
        <f>_xlfn.XLOOKUP(Y8,道具表!$B:$B,道具表!$E:$E)</f>
        <v>102</v>
      </c>
      <c r="AB8" s="108">
        <f>AA8*Z8</f>
        <v>102</v>
      </c>
      <c r="AC8" s="108">
        <v>30</v>
      </c>
      <c r="AD8" s="108">
        <v>20</v>
      </c>
      <c r="AE8" s="108">
        <f t="shared" si="2"/>
        <v>600</v>
      </c>
      <c r="AF8" s="6" t="str">
        <f>_xlfn.XLOOKUP(Y8,道具表!$B:$B,道具表!$C:$C)&amp;"|"&amp;_xlfn.XLOOKUP(Y8,道具表!$B:$B,道具表!$A:$A)&amp;"|"&amp;Z8</f>
        <v>1|10009|1</v>
      </c>
      <c r="AG8" s="107" t="str">
        <f t="shared" si="3"/>
        <v>1|15|30</v>
      </c>
    </row>
    <row r="9" spans="1:33">
      <c r="A9" s="85">
        <v>8</v>
      </c>
      <c r="B9" s="86" t="s">
        <v>400</v>
      </c>
      <c r="C9" s="86"/>
      <c r="D9" s="73">
        <v>125</v>
      </c>
      <c r="H9" s="90"/>
      <c r="I9" s="97" t="s">
        <v>401</v>
      </c>
      <c r="J9" s="34" t="s">
        <v>402</v>
      </c>
      <c r="K9" s="101">
        <v>210</v>
      </c>
      <c r="L9" s="99">
        <v>10</v>
      </c>
      <c r="M9" s="34" t="str">
        <f>_xlfn.XLOOKUP(J9,B:B,A:A)&amp;"|"&amp;K9</f>
        <v>202|210</v>
      </c>
      <c r="N9" s="34" t="str">
        <f t="shared" si="4"/>
        <v>1|15|10</v>
      </c>
      <c r="O9" s="73">
        <f t="shared" si="5"/>
        <v>100</v>
      </c>
      <c r="P9" s="100" t="str">
        <f t="shared" si="7"/>
        <v>104,</v>
      </c>
      <c r="Q9" s="55" t="str">
        <f t="shared" si="6"/>
        <v>101,102,103,104,</v>
      </c>
      <c r="R9" s="108">
        <v>1600</v>
      </c>
      <c r="S9" s="107" t="s">
        <v>311</v>
      </c>
      <c r="T9" s="108">
        <v>1</v>
      </c>
      <c r="U9" s="6">
        <f>_xlfn.XLOOKUP(S9,道具表!$B:$B,道具表!$E:$E)</f>
        <v>15000</v>
      </c>
      <c r="V9" s="6">
        <f t="shared" si="0"/>
        <v>15000</v>
      </c>
      <c r="W9" s="8"/>
      <c r="X9" s="110"/>
      <c r="Y9" s="107" t="s">
        <v>10</v>
      </c>
      <c r="Z9" s="108">
        <v>1</v>
      </c>
      <c r="AA9" s="6">
        <f>_xlfn.XLOOKUP(Y9,道具表!$B:$B,道具表!$E:$E)</f>
        <v>100</v>
      </c>
      <c r="AB9" s="108">
        <f t="shared" si="1"/>
        <v>100</v>
      </c>
      <c r="AC9" s="108">
        <v>30</v>
      </c>
      <c r="AD9" s="108">
        <v>20</v>
      </c>
      <c r="AE9" s="108">
        <f t="shared" si="2"/>
        <v>600</v>
      </c>
      <c r="AF9" s="6" t="str">
        <f>_xlfn.XLOOKUP(Y9,道具表!$B:$B,道具表!$C:$C)&amp;"|"&amp;_xlfn.XLOOKUP(Y9,道具表!$B:$B,道具表!$A:$A)&amp;"|"&amp;Z9</f>
        <v>1|6|1</v>
      </c>
      <c r="AG9" s="107" t="str">
        <f t="shared" si="3"/>
        <v>1|15|30</v>
      </c>
    </row>
    <row r="10" spans="1:33">
      <c r="A10" s="85">
        <v>9</v>
      </c>
      <c r="B10" s="85" t="s">
        <v>403</v>
      </c>
      <c r="C10" s="86"/>
      <c r="D10" s="73">
        <v>125</v>
      </c>
      <c r="H10" s="90"/>
      <c r="I10" s="97" t="s">
        <v>404</v>
      </c>
      <c r="J10" s="34" t="s">
        <v>402</v>
      </c>
      <c r="K10" s="97" t="s">
        <v>405</v>
      </c>
      <c r="L10" s="99">
        <v>20</v>
      </c>
      <c r="M10" s="34" t="str">
        <f>_xlfn.XLOOKUP(J10,B:B,A:A)&amp;"|"&amp;K10</f>
        <v>202|410</v>
      </c>
      <c r="N10" s="34" t="str">
        <f t="shared" si="4"/>
        <v>1|15|20</v>
      </c>
      <c r="O10" s="73">
        <f t="shared" si="5"/>
        <v>100</v>
      </c>
      <c r="P10" s="100" t="str">
        <f t="shared" si="7"/>
        <v>105,</v>
      </c>
      <c r="Q10" s="55" t="str">
        <f t="shared" si="6"/>
        <v>101,102,103,104,105,</v>
      </c>
      <c r="X10" s="110"/>
      <c r="Y10" s="107" t="s">
        <v>67</v>
      </c>
      <c r="Z10" s="108">
        <v>2</v>
      </c>
      <c r="AA10" s="6">
        <f>_xlfn.XLOOKUP(Y10,道具表!$B:$B,道具表!$E:$E)</f>
        <v>50</v>
      </c>
      <c r="AB10" s="108">
        <f t="shared" si="1"/>
        <v>100</v>
      </c>
      <c r="AC10" s="108">
        <v>30</v>
      </c>
      <c r="AD10" s="108">
        <v>20</v>
      </c>
      <c r="AE10" s="108">
        <f t="shared" si="2"/>
        <v>600</v>
      </c>
      <c r="AF10" s="6" t="str">
        <f>_xlfn.XLOOKUP(Y10,道具表!$B:$B,道具表!$C:$C)&amp;"|"&amp;_xlfn.XLOOKUP(Y10,道具表!$B:$B,道具表!$A:$A)&amp;"|"&amp;Z10</f>
        <v>1|10030|2</v>
      </c>
      <c r="AG10" s="107" t="str">
        <f t="shared" si="3"/>
        <v>1|15|30</v>
      </c>
    </row>
    <row r="11" spans="1:33">
      <c r="A11" s="85">
        <v>10</v>
      </c>
      <c r="B11" s="85" t="s">
        <v>406</v>
      </c>
      <c r="C11" s="86" t="s">
        <v>394</v>
      </c>
      <c r="H11" s="90"/>
      <c r="I11" s="97" t="s">
        <v>407</v>
      </c>
      <c r="J11" s="34" t="s">
        <v>369</v>
      </c>
      <c r="K11" s="97" t="s">
        <v>408</v>
      </c>
      <c r="L11" s="99">
        <v>10</v>
      </c>
      <c r="M11" s="34" t="str">
        <f>_xlfn.XLOOKUP(J11,B:B,A:A)&amp;"|"&amp;K11</f>
        <v>1|1500</v>
      </c>
      <c r="N11" s="34" t="str">
        <f t="shared" si="4"/>
        <v>1|15|10</v>
      </c>
      <c r="O11" s="73">
        <f t="shared" si="5"/>
        <v>102</v>
      </c>
      <c r="P11" s="100" t="str">
        <f t="shared" si="7"/>
        <v>106,</v>
      </c>
      <c r="Q11" s="55" t="str">
        <f t="shared" si="6"/>
        <v>101,102,103,104,105,106,</v>
      </c>
      <c r="X11" s="110"/>
      <c r="Y11" s="107" t="s">
        <v>23</v>
      </c>
      <c r="Z11" s="108">
        <v>2</v>
      </c>
      <c r="AA11" s="6">
        <f>_xlfn.XLOOKUP(Y11,道具表!$B:$B,道具表!$E:$E)</f>
        <v>50</v>
      </c>
      <c r="AB11" s="108">
        <f t="shared" si="1"/>
        <v>100</v>
      </c>
      <c r="AC11" s="108">
        <v>30</v>
      </c>
      <c r="AD11" s="108">
        <v>30</v>
      </c>
      <c r="AE11" s="108">
        <f t="shared" si="2"/>
        <v>900</v>
      </c>
      <c r="AF11" s="6" t="str">
        <f>_xlfn.XLOOKUP(Y11,道具表!$B:$B,道具表!$C:$C)&amp;"|"&amp;_xlfn.XLOOKUP(Y11,道具表!$B:$B,道具表!$A:$A)&amp;"|"&amp;Z11</f>
        <v>1|19|2</v>
      </c>
      <c r="AG11" s="107" t="str">
        <f t="shared" si="3"/>
        <v>1|15|30</v>
      </c>
    </row>
    <row r="12" spans="1:33">
      <c r="A12" s="85">
        <v>11</v>
      </c>
      <c r="B12" s="85" t="s">
        <v>409</v>
      </c>
      <c r="C12" s="86"/>
      <c r="H12" s="90"/>
      <c r="I12" s="97" t="s">
        <v>410</v>
      </c>
      <c r="J12" s="34" t="s">
        <v>411</v>
      </c>
      <c r="K12" s="97" t="s">
        <v>412</v>
      </c>
      <c r="L12" s="99">
        <v>10</v>
      </c>
      <c r="M12" s="34" t="str">
        <f>_xlfn.XLOOKUP(J12,B:B,A:A)&amp;"|"&amp;K12</f>
        <v>213|10002</v>
      </c>
      <c r="N12" s="34" t="str">
        <f t="shared" si="4"/>
        <v>1|15|10</v>
      </c>
      <c r="O12" s="73">
        <f t="shared" si="5"/>
        <v>103</v>
      </c>
      <c r="P12" s="100" t="str">
        <f t="shared" si="7"/>
        <v>107,</v>
      </c>
      <c r="Q12" s="55" t="str">
        <f t="shared" si="6"/>
        <v>101,102,103,104,105,106,107,</v>
      </c>
      <c r="R12" s="19" t="s">
        <v>373</v>
      </c>
      <c r="S12" s="19" t="s">
        <v>413</v>
      </c>
      <c r="T12" s="19" t="str">
        <f t="shared" ref="T12:T17" si="8">T4</f>
        <v>数量</v>
      </c>
      <c r="U12" s="19" t="s">
        <v>327</v>
      </c>
      <c r="X12" s="109" t="s">
        <v>414</v>
      </c>
      <c r="Y12" s="107" t="s">
        <v>45</v>
      </c>
      <c r="Z12" s="108">
        <v>1</v>
      </c>
      <c r="AA12" s="6">
        <f>_xlfn.XLOOKUP(Y12,道具表!$B:$B,道具表!$E:$E)</f>
        <v>100</v>
      </c>
      <c r="AB12" s="108">
        <f t="shared" si="1"/>
        <v>100</v>
      </c>
      <c r="AC12" s="108">
        <v>30</v>
      </c>
      <c r="AD12" s="108">
        <v>30</v>
      </c>
      <c r="AE12" s="108">
        <f t="shared" si="2"/>
        <v>900</v>
      </c>
      <c r="AF12" s="6" t="str">
        <f>_xlfn.XLOOKUP(Y12,道具表!$B:$B,道具表!$C:$C)&amp;"|"&amp;_xlfn.XLOOKUP(Y12,道具表!$B:$B,道具表!$A:$A)&amp;"|"&amp;Z12</f>
        <v>1|10005|1</v>
      </c>
      <c r="AG12" s="107" t="str">
        <f t="shared" si="3"/>
        <v>1|15|30</v>
      </c>
    </row>
    <row r="13" spans="1:33">
      <c r="A13" s="85">
        <v>21</v>
      </c>
      <c r="B13" s="85" t="s">
        <v>415</v>
      </c>
      <c r="C13" s="85"/>
      <c r="H13" s="90"/>
      <c r="I13" s="97" t="s">
        <v>416</v>
      </c>
      <c r="J13" s="34" t="s">
        <v>417</v>
      </c>
      <c r="K13" s="101">
        <v>3</v>
      </c>
      <c r="L13" s="99">
        <v>20</v>
      </c>
      <c r="M13" s="34" t="str">
        <f>_xlfn.XLOOKUP(J13,B:B,A:A)&amp;"|"&amp;K13</f>
        <v>212|3</v>
      </c>
      <c r="N13" s="34" t="str">
        <f t="shared" si="4"/>
        <v>1|15|20</v>
      </c>
      <c r="O13" s="73">
        <f t="shared" si="5"/>
        <v>103</v>
      </c>
      <c r="P13" s="100" t="str">
        <f t="shared" si="7"/>
        <v>108,</v>
      </c>
      <c r="Q13" s="55" t="str">
        <f t="shared" si="6"/>
        <v>101,102,103,104,105,106,107,108,</v>
      </c>
      <c r="R13" s="111">
        <v>250</v>
      </c>
      <c r="S13" s="6" t="str">
        <f>_xlfn.XLOOKUP(S5,道具表!$B:$B,道具表!$C:$C)&amp;"|"&amp;_xlfn.XLOOKUP(S5,道具表!$B:$B,道具表!$A:$A)&amp;"|"</f>
        <v>1|2|</v>
      </c>
      <c r="T13" s="111">
        <f t="shared" si="8"/>
        <v>500</v>
      </c>
      <c r="U13" s="19" t="str">
        <f>S13&amp;T13</f>
        <v>1|2|500</v>
      </c>
      <c r="X13" s="110"/>
      <c r="Y13" s="107" t="s">
        <v>46</v>
      </c>
      <c r="Z13" s="108">
        <v>200</v>
      </c>
      <c r="AA13" s="6">
        <f>_xlfn.XLOOKUP(Y13,道具表!$B:$B,道具表!$E:$E)</f>
        <v>0.5</v>
      </c>
      <c r="AB13" s="108">
        <f t="shared" si="1"/>
        <v>100</v>
      </c>
      <c r="AC13" s="108">
        <v>30</v>
      </c>
      <c r="AD13" s="108">
        <v>30</v>
      </c>
      <c r="AE13" s="108">
        <f t="shared" si="2"/>
        <v>900</v>
      </c>
      <c r="AF13" s="6" t="str">
        <f>_xlfn.XLOOKUP(Y13,道具表!$B:$B,道具表!$C:$C)&amp;"|"&amp;_xlfn.XLOOKUP(Y13,道具表!$B:$B,道具表!$A:$A)&amp;"|"&amp;Z13</f>
        <v>1|10006|200</v>
      </c>
      <c r="AG13" s="107" t="str">
        <f t="shared" si="3"/>
        <v>1|15|30</v>
      </c>
    </row>
    <row r="14" spans="1:33">
      <c r="A14" s="85">
        <v>22</v>
      </c>
      <c r="B14" s="85" t="s">
        <v>391</v>
      </c>
      <c r="C14" s="85"/>
      <c r="D14" s="73">
        <v>102</v>
      </c>
      <c r="H14" s="90"/>
      <c r="I14" s="97" t="s">
        <v>418</v>
      </c>
      <c r="J14" s="34" t="s">
        <v>419</v>
      </c>
      <c r="K14" s="101">
        <v>3</v>
      </c>
      <c r="L14" s="99">
        <v>10</v>
      </c>
      <c r="M14" s="34" t="str">
        <f>_xlfn.XLOOKUP(J14,B:B,A:A)&amp;"|"&amp;K14</f>
        <v>221|3</v>
      </c>
      <c r="N14" s="34" t="str">
        <f t="shared" si="4"/>
        <v>1|15|10</v>
      </c>
      <c r="O14" s="73">
        <f t="shared" si="5"/>
        <v>114</v>
      </c>
      <c r="P14" s="100" t="str">
        <f t="shared" si="7"/>
        <v>109,</v>
      </c>
      <c r="Q14" s="55" t="str">
        <f t="shared" si="6"/>
        <v>101,102,103,104,105,106,107,108,109,</v>
      </c>
      <c r="R14" s="111">
        <v>500</v>
      </c>
      <c r="S14" s="6" t="str">
        <f>_xlfn.XLOOKUP(S6,道具表!$B:$B,道具表!$C:$C)&amp;"|"&amp;_xlfn.XLOOKUP(S6,道具表!$B:$B,道具表!$A:$A)&amp;"|"</f>
        <v>1|10003|</v>
      </c>
      <c r="T14" s="111">
        <f t="shared" si="8"/>
        <v>2</v>
      </c>
      <c r="U14" s="19" t="str">
        <f>S14&amp;T14</f>
        <v>1|10003|2</v>
      </c>
      <c r="X14" s="110"/>
      <c r="Y14" s="107" t="s">
        <v>50</v>
      </c>
      <c r="Z14" s="108">
        <v>500</v>
      </c>
      <c r="AA14" s="6">
        <f>_xlfn.XLOOKUP(Y14,道具表!$B:$B,道具表!$E:$E)</f>
        <v>0.25</v>
      </c>
      <c r="AB14" s="108">
        <f t="shared" si="1"/>
        <v>125</v>
      </c>
      <c r="AC14" s="108">
        <v>40</v>
      </c>
      <c r="AD14" s="108">
        <v>30</v>
      </c>
      <c r="AE14" s="108">
        <f t="shared" si="2"/>
        <v>1200</v>
      </c>
      <c r="AF14" s="6" t="str">
        <f>_xlfn.XLOOKUP(Y14,道具表!$B:$B,道具表!$C:$C)&amp;"|"&amp;_xlfn.XLOOKUP(Y14,道具表!$B:$B,道具表!$A:$A)&amp;"|"&amp;Z14</f>
        <v>1|10011|500</v>
      </c>
      <c r="AG14" s="107" t="str">
        <f t="shared" si="3"/>
        <v>1|15|40</v>
      </c>
    </row>
    <row r="15" spans="1:33">
      <c r="A15" s="85">
        <v>23</v>
      </c>
      <c r="B15" s="85" t="s">
        <v>398</v>
      </c>
      <c r="C15" s="85"/>
      <c r="D15" s="73">
        <v>139</v>
      </c>
      <c r="H15" s="90"/>
      <c r="I15" s="97" t="s">
        <v>420</v>
      </c>
      <c r="J15" s="34" t="s">
        <v>419</v>
      </c>
      <c r="K15" s="97" t="s">
        <v>421</v>
      </c>
      <c r="L15" s="99">
        <v>20</v>
      </c>
      <c r="M15" s="34" t="str">
        <f>_xlfn.XLOOKUP(J15,B:B,A:A)&amp;"|"&amp;K15</f>
        <v>221|6</v>
      </c>
      <c r="N15" s="34" t="str">
        <f t="shared" si="4"/>
        <v>1|15|20</v>
      </c>
      <c r="O15" s="73">
        <f t="shared" si="5"/>
        <v>114</v>
      </c>
      <c r="P15" s="100" t="str">
        <f t="shared" si="7"/>
        <v>110,</v>
      </c>
      <c r="Q15" s="55" t="str">
        <f t="shared" si="6"/>
        <v>101,102,103,104,105,106,107,108,109,110,</v>
      </c>
      <c r="R15" s="111">
        <v>800</v>
      </c>
      <c r="S15" s="6" t="str">
        <f>_xlfn.XLOOKUP(S7,道具表!$B:$B,道具表!$C:$C)&amp;"|"&amp;_xlfn.XLOOKUP(S7,道具表!$B:$B,道具表!$A:$A)&amp;"|"</f>
        <v>1|1011|</v>
      </c>
      <c r="T15" s="111">
        <f t="shared" si="8"/>
        <v>15</v>
      </c>
      <c r="U15" s="19" t="str">
        <f>S15&amp;T15</f>
        <v>1|1011|15</v>
      </c>
      <c r="X15" s="110"/>
      <c r="Y15" s="107" t="s">
        <v>51</v>
      </c>
      <c r="Z15" s="108">
        <v>20</v>
      </c>
      <c r="AA15" s="6">
        <f>_xlfn.XLOOKUP(Y15,道具表!$B:$B,道具表!$E:$E)</f>
        <v>12</v>
      </c>
      <c r="AB15" s="108">
        <f t="shared" si="1"/>
        <v>240</v>
      </c>
      <c r="AC15" s="108">
        <f>AB15/3</f>
        <v>80</v>
      </c>
      <c r="AD15" s="108">
        <v>30</v>
      </c>
      <c r="AE15" s="108">
        <f t="shared" si="2"/>
        <v>2400</v>
      </c>
      <c r="AF15" s="6" t="str">
        <f>_xlfn.XLOOKUP(Y15,道具表!$B:$B,道具表!$C:$C)&amp;"|"&amp;_xlfn.XLOOKUP(Y15,道具表!$B:$B,道具表!$A:$A)&amp;"|"&amp;Z15</f>
        <v>1|10012|20</v>
      </c>
      <c r="AG15" s="107" t="str">
        <f t="shared" si="3"/>
        <v>1|15|80</v>
      </c>
    </row>
    <row r="16" spans="1:33">
      <c r="A16" s="85">
        <v>31</v>
      </c>
      <c r="B16" s="85" t="s">
        <v>422</v>
      </c>
      <c r="C16" s="86"/>
      <c r="H16" s="90"/>
      <c r="I16" s="97" t="s">
        <v>423</v>
      </c>
      <c r="J16" s="34" t="s">
        <v>424</v>
      </c>
      <c r="K16" s="97" t="s">
        <v>425</v>
      </c>
      <c r="L16" s="99">
        <v>10</v>
      </c>
      <c r="M16" s="34" t="str">
        <f>_xlfn.XLOOKUP(J16,B:B,A:A)&amp;"|"&amp;K16</f>
        <v>222|2</v>
      </c>
      <c r="N16" s="34" t="str">
        <f t="shared" si="4"/>
        <v>1|15|10</v>
      </c>
      <c r="O16" s="73">
        <f t="shared" si="5"/>
        <v>114</v>
      </c>
      <c r="P16" s="100" t="str">
        <f t="shared" si="7"/>
        <v>111,</v>
      </c>
      <c r="Q16" s="55" t="str">
        <f t="shared" si="6"/>
        <v>101,102,103,104,105,106,107,108,109,110,111,</v>
      </c>
      <c r="R16" s="111">
        <v>1200</v>
      </c>
      <c r="S16" s="6" t="str">
        <f>_xlfn.XLOOKUP(S8,道具表!$B:$B,道具表!$C:$C)&amp;"|"&amp;_xlfn.XLOOKUP(S8,道具表!$B:$B,道具表!$A:$A)&amp;"|"</f>
        <v>16|302|</v>
      </c>
      <c r="T16" s="111">
        <f t="shared" si="8"/>
        <v>1</v>
      </c>
      <c r="U16" s="19" t="str">
        <f>S16&amp;T16</f>
        <v>16|302|1</v>
      </c>
      <c r="X16" s="110"/>
      <c r="Y16" s="107" t="s">
        <v>52</v>
      </c>
      <c r="Z16" s="108">
        <v>20</v>
      </c>
      <c r="AA16" s="6">
        <f>_xlfn.XLOOKUP(Y16,道具表!$B:$B,道具表!$E:$E)</f>
        <v>12</v>
      </c>
      <c r="AB16" s="108">
        <f t="shared" si="1"/>
        <v>240</v>
      </c>
      <c r="AC16" s="108">
        <f>AB16/3</f>
        <v>80</v>
      </c>
      <c r="AD16" s="108">
        <v>30</v>
      </c>
      <c r="AE16" s="108">
        <f t="shared" si="2"/>
        <v>2400</v>
      </c>
      <c r="AF16" s="6" t="str">
        <f>_xlfn.XLOOKUP(Y16,道具表!$B:$B,道具表!$C:$C)&amp;"|"&amp;_xlfn.XLOOKUP(Y16,道具表!$B:$B,道具表!$A:$A)&amp;"|"&amp;Z16</f>
        <v>1|10013|20</v>
      </c>
      <c r="AG16" s="107" t="str">
        <f t="shared" si="3"/>
        <v>1|15|80</v>
      </c>
    </row>
    <row r="17" spans="1:33">
      <c r="A17" s="85">
        <v>32</v>
      </c>
      <c r="B17" s="85" t="s">
        <v>426</v>
      </c>
      <c r="C17" s="86"/>
      <c r="H17" s="90"/>
      <c r="I17" s="97" t="s">
        <v>427</v>
      </c>
      <c r="J17" s="34" t="s">
        <v>424</v>
      </c>
      <c r="K17" s="97" t="s">
        <v>428</v>
      </c>
      <c r="L17" s="99">
        <v>20</v>
      </c>
      <c r="M17" s="34" t="str">
        <f>_xlfn.XLOOKUP(J17,B:B,A:A)&amp;"|"&amp;K17</f>
        <v>222|4</v>
      </c>
      <c r="N17" s="34" t="str">
        <f t="shared" si="4"/>
        <v>1|15|20</v>
      </c>
      <c r="O17" s="73">
        <f t="shared" si="5"/>
        <v>114</v>
      </c>
      <c r="P17" s="100" t="str">
        <f t="shared" si="7"/>
        <v>112,</v>
      </c>
      <c r="Q17" s="55" t="str">
        <f t="shared" si="6"/>
        <v>101,102,103,104,105,106,107,108,109,110,111,112,</v>
      </c>
      <c r="R17" s="111">
        <v>1600</v>
      </c>
      <c r="S17" s="6" t="str">
        <f>_xlfn.XLOOKUP(S9,道具表!$B:$B,道具表!$C:$C)&amp;"|"&amp;_xlfn.XLOOKUP(S9,道具表!$B:$B,道具表!$A:$A)&amp;"|"</f>
        <v>16|301|</v>
      </c>
      <c r="T17" s="111">
        <f t="shared" si="8"/>
        <v>1</v>
      </c>
      <c r="U17" s="19" t="str">
        <f>S17&amp;T17</f>
        <v>16|301|1</v>
      </c>
      <c r="X17" s="110"/>
      <c r="Y17" s="107" t="s">
        <v>53</v>
      </c>
      <c r="Z17" s="108">
        <v>5</v>
      </c>
      <c r="AA17" s="6">
        <f>_xlfn.XLOOKUP(Y17,道具表!$B:$B,道具表!$E:$E)</f>
        <v>50</v>
      </c>
      <c r="AB17" s="108">
        <f t="shared" si="1"/>
        <v>250</v>
      </c>
      <c r="AC17" s="108">
        <v>80</v>
      </c>
      <c r="AD17" s="108">
        <v>30</v>
      </c>
      <c r="AE17" s="108">
        <f t="shared" si="2"/>
        <v>2400</v>
      </c>
      <c r="AF17" s="6" t="str">
        <f>_xlfn.XLOOKUP(Y17,道具表!$B:$B,道具表!$C:$C)&amp;"|"&amp;_xlfn.XLOOKUP(Y17,道具表!$B:$B,道具表!$A:$A)&amp;"|"&amp;Z17</f>
        <v>1|10014|5</v>
      </c>
      <c r="AG17" s="107" t="str">
        <f t="shared" si="3"/>
        <v>1|15|80</v>
      </c>
    </row>
    <row r="18" spans="1:19">
      <c r="A18" s="85">
        <v>33</v>
      </c>
      <c r="B18" s="91" t="s">
        <v>429</v>
      </c>
      <c r="C18" s="86"/>
      <c r="H18" s="90"/>
      <c r="I18" s="97" t="s">
        <v>430</v>
      </c>
      <c r="J18" s="34" t="s">
        <v>431</v>
      </c>
      <c r="K18" s="97" t="s">
        <v>432</v>
      </c>
      <c r="L18" s="99">
        <v>10</v>
      </c>
      <c r="M18" s="34" t="str">
        <f>_xlfn.XLOOKUP(J18,B:B,A:A)&amp;"|"&amp;K18</f>
        <v>124|10</v>
      </c>
      <c r="N18" s="34" t="str">
        <f t="shared" si="4"/>
        <v>1|15|10</v>
      </c>
      <c r="O18" s="73">
        <f t="shared" si="5"/>
        <v>135</v>
      </c>
      <c r="P18" s="100" t="str">
        <f t="shared" si="7"/>
        <v>113,</v>
      </c>
      <c r="Q18" s="55" t="str">
        <f t="shared" si="6"/>
        <v>101,102,103,104,105,106,107,108,109,110,111,112,113,</v>
      </c>
      <c r="R18" s="112"/>
      <c r="S18" s="57"/>
    </row>
    <row r="19" spans="1:23">
      <c r="A19" s="88">
        <v>100</v>
      </c>
      <c r="B19" s="92" t="s">
        <v>433</v>
      </c>
      <c r="C19" s="89" t="s">
        <v>434</v>
      </c>
      <c r="D19" s="73">
        <v>122</v>
      </c>
      <c r="H19" s="90"/>
      <c r="I19" s="97" t="s">
        <v>435</v>
      </c>
      <c r="J19" s="34" t="s">
        <v>431</v>
      </c>
      <c r="K19" s="97" t="s">
        <v>392</v>
      </c>
      <c r="L19" s="99">
        <v>20</v>
      </c>
      <c r="M19" s="34" t="str">
        <f>_xlfn.XLOOKUP(J19,B:B,A:A)&amp;"|"&amp;K19</f>
        <v>124|20</v>
      </c>
      <c r="N19" s="34" t="str">
        <f t="shared" si="4"/>
        <v>1|15|20</v>
      </c>
      <c r="O19" s="73">
        <f t="shared" si="5"/>
        <v>135</v>
      </c>
      <c r="P19" s="100" t="str">
        <f t="shared" si="7"/>
        <v>114,</v>
      </c>
      <c r="Q19" s="55" t="str">
        <f t="shared" si="6"/>
        <v>101,102,103,104,105,106,107,108,109,110,111,112,113,114,</v>
      </c>
      <c r="R19" s="6" t="s">
        <v>373</v>
      </c>
      <c r="S19" s="6" t="s">
        <v>322</v>
      </c>
      <c r="T19" s="6" t="s">
        <v>323</v>
      </c>
      <c r="U19" s="6" t="s">
        <v>374</v>
      </c>
      <c r="V19" s="6" t="s">
        <v>375</v>
      </c>
      <c r="W19" s="8"/>
    </row>
    <row r="20" spans="1:23">
      <c r="A20" s="85">
        <v>101</v>
      </c>
      <c r="B20" s="85" t="s">
        <v>436</v>
      </c>
      <c r="C20" s="86" t="s">
        <v>437</v>
      </c>
      <c r="D20" s="73">
        <v>122</v>
      </c>
      <c r="H20" s="90"/>
      <c r="I20" s="97" t="s">
        <v>438</v>
      </c>
      <c r="J20" s="34" t="s">
        <v>431</v>
      </c>
      <c r="K20" s="97" t="s">
        <v>439</v>
      </c>
      <c r="L20" s="99">
        <v>30</v>
      </c>
      <c r="M20" s="34" t="str">
        <f>_xlfn.XLOOKUP(J20,B:B,A:A)&amp;"|"&amp;K20</f>
        <v>124|30</v>
      </c>
      <c r="N20" s="34" t="str">
        <f t="shared" si="4"/>
        <v>1|15|30</v>
      </c>
      <c r="O20" s="73">
        <f t="shared" si="5"/>
        <v>135</v>
      </c>
      <c r="P20" s="100" t="str">
        <f t="shared" si="7"/>
        <v>115,</v>
      </c>
      <c r="Q20" s="55" t="str">
        <f t="shared" si="6"/>
        <v>101,102,103,104,105,106,107,108,109,110,111,112,113,114,115,</v>
      </c>
      <c r="R20" s="74">
        <v>1850</v>
      </c>
      <c r="S20" s="6" t="s">
        <v>6</v>
      </c>
      <c r="T20" s="74">
        <v>500</v>
      </c>
      <c r="U20" s="6">
        <f>_xlfn.XLOOKUP(S20,道具表!$B:$B,道具表!$E:$E)</f>
        <v>1</v>
      </c>
      <c r="V20" s="6">
        <f t="shared" ref="V20:V24" si="9">U20*T20</f>
        <v>500</v>
      </c>
      <c r="W20" s="8"/>
    </row>
    <row r="21" spans="1:23">
      <c r="A21" s="85">
        <v>102</v>
      </c>
      <c r="B21" s="85" t="s">
        <v>440</v>
      </c>
      <c r="C21" s="86"/>
      <c r="D21" s="73">
        <v>122</v>
      </c>
      <c r="H21" s="90"/>
      <c r="I21" s="97" t="s">
        <v>441</v>
      </c>
      <c r="J21" s="34" t="s">
        <v>442</v>
      </c>
      <c r="K21" s="97" t="s">
        <v>425</v>
      </c>
      <c r="L21" s="99">
        <v>10</v>
      </c>
      <c r="M21" s="34" t="str">
        <f t="shared" ref="M21:M37" si="10">_xlfn.XLOOKUP(J21,B:B,A:A)&amp;"|"&amp;K21</f>
        <v>271|2</v>
      </c>
      <c r="N21" s="34" t="str">
        <f t="shared" ref="N21:N42" si="11">"1|15|"&amp;L21</f>
        <v>1|15|10</v>
      </c>
      <c r="O21" s="73">
        <f t="shared" si="5"/>
        <v>132</v>
      </c>
      <c r="P21" s="100" t="str">
        <f t="shared" si="7"/>
        <v>116,</v>
      </c>
      <c r="Q21" s="55" t="str">
        <f t="shared" si="6"/>
        <v>101,102,103,104,105,106,107,108,109,110,111,112,113,114,115,116,</v>
      </c>
      <c r="R21" s="74">
        <v>2100</v>
      </c>
      <c r="S21" s="6" t="s">
        <v>56</v>
      </c>
      <c r="T21" s="74">
        <v>700</v>
      </c>
      <c r="U21" s="6">
        <f>_xlfn.XLOOKUP(S21,道具表!$B:$B,道具表!$E:$E)</f>
        <v>1</v>
      </c>
      <c r="V21" s="6">
        <f t="shared" si="9"/>
        <v>700</v>
      </c>
      <c r="W21" s="8"/>
    </row>
    <row r="22" spans="1:23">
      <c r="A22" s="85">
        <v>103</v>
      </c>
      <c r="B22" s="85" t="s">
        <v>443</v>
      </c>
      <c r="C22" s="85"/>
      <c r="D22" s="73">
        <v>122</v>
      </c>
      <c r="H22" s="90"/>
      <c r="I22" s="97" t="s">
        <v>444</v>
      </c>
      <c r="J22" s="102" t="s">
        <v>445</v>
      </c>
      <c r="K22" s="97" t="s">
        <v>432</v>
      </c>
      <c r="L22" s="99">
        <v>10</v>
      </c>
      <c r="M22" s="34" t="str">
        <f t="shared" si="10"/>
        <v>141|10</v>
      </c>
      <c r="N22" s="34" t="str">
        <f t="shared" si="11"/>
        <v>1|15|10</v>
      </c>
      <c r="O22" s="73">
        <f t="shared" si="5"/>
        <v>136</v>
      </c>
      <c r="P22" s="100" t="str">
        <f t="shared" si="7"/>
        <v>117,</v>
      </c>
      <c r="Q22" s="55" t="str">
        <f t="shared" si="6"/>
        <v>101,102,103,104,105,106,107,108,109,110,111,112,113,114,115,116,117,</v>
      </c>
      <c r="R22" s="74">
        <v>2400</v>
      </c>
      <c r="S22" s="6" t="s">
        <v>41</v>
      </c>
      <c r="T22" s="74">
        <v>15</v>
      </c>
      <c r="U22" s="6">
        <f>_xlfn.XLOOKUP(S22,道具表!$B:$B,道具表!$E:$E)</f>
        <v>100</v>
      </c>
      <c r="V22" s="6">
        <f t="shared" si="9"/>
        <v>1500</v>
      </c>
      <c r="W22" s="8"/>
    </row>
    <row r="23" spans="1:23">
      <c r="A23" s="85">
        <f t="shared" ref="A23:A25" si="12">A22+1</f>
        <v>104</v>
      </c>
      <c r="B23" s="85" t="s">
        <v>446</v>
      </c>
      <c r="C23" s="85"/>
      <c r="D23" s="73">
        <v>122</v>
      </c>
      <c r="H23" s="90"/>
      <c r="I23" s="97" t="s">
        <v>447</v>
      </c>
      <c r="J23" s="34" t="s">
        <v>448</v>
      </c>
      <c r="K23" s="101">
        <v>1</v>
      </c>
      <c r="L23" s="99">
        <v>20</v>
      </c>
      <c r="M23" s="34" t="str">
        <f t="shared" si="10"/>
        <v>242|1</v>
      </c>
      <c r="N23" s="34" t="str">
        <f t="shared" si="11"/>
        <v>1|15|20</v>
      </c>
      <c r="O23" s="73">
        <f t="shared" si="5"/>
        <v>106</v>
      </c>
      <c r="P23" s="100" t="str">
        <f t="shared" ref="P23:P54" si="13">I23&amp;","</f>
        <v>118,</v>
      </c>
      <c r="R23" s="74">
        <v>2800</v>
      </c>
      <c r="S23" s="6" t="s">
        <v>165</v>
      </c>
      <c r="T23" s="74">
        <v>1</v>
      </c>
      <c r="U23" s="6">
        <f>_xlfn.XLOOKUP(S23,道具表!$B:$B,道具表!$E:$E)</f>
        <v>2701</v>
      </c>
      <c r="V23" s="6">
        <f t="shared" si="9"/>
        <v>2701</v>
      </c>
      <c r="W23" s="8"/>
    </row>
    <row r="24" spans="1:23">
      <c r="A24" s="88">
        <f t="shared" si="12"/>
        <v>105</v>
      </c>
      <c r="B24" s="88" t="s">
        <v>449</v>
      </c>
      <c r="C24" s="88" t="s">
        <v>450</v>
      </c>
      <c r="D24" s="73">
        <v>122</v>
      </c>
      <c r="H24" s="56" t="s">
        <v>451</v>
      </c>
      <c r="I24" s="103" t="s">
        <v>452</v>
      </c>
      <c r="J24" s="104" t="s">
        <v>391</v>
      </c>
      <c r="K24" s="103" t="s">
        <v>453</v>
      </c>
      <c r="L24" s="74">
        <v>10</v>
      </c>
      <c r="M24" s="6" t="str">
        <f t="shared" si="10"/>
        <v>22|40</v>
      </c>
      <c r="N24" s="6" t="str">
        <f t="shared" si="11"/>
        <v>1|15|10</v>
      </c>
      <c r="O24" s="73">
        <f t="shared" si="5"/>
        <v>102</v>
      </c>
      <c r="P24" s="100" t="str">
        <f t="shared" si="13"/>
        <v>201,</v>
      </c>
      <c r="Q24" s="55" t="str">
        <f t="shared" ref="Q21:Q38" si="14">Q23&amp;P24</f>
        <v>201,</v>
      </c>
      <c r="R24" s="74">
        <v>3200</v>
      </c>
      <c r="S24" s="6" t="s">
        <v>290</v>
      </c>
      <c r="T24" s="74">
        <v>1</v>
      </c>
      <c r="U24" s="6">
        <f>_xlfn.XLOOKUP(S24,道具表!$B:$B,道具表!$E:$E)</f>
        <v>4500</v>
      </c>
      <c r="V24" s="6">
        <f t="shared" si="9"/>
        <v>4500</v>
      </c>
      <c r="W24" s="8"/>
    </row>
    <row r="25" spans="1:17">
      <c r="A25" s="85">
        <f t="shared" si="12"/>
        <v>106</v>
      </c>
      <c r="B25" s="85" t="s">
        <v>454</v>
      </c>
      <c r="C25" s="85"/>
      <c r="H25" s="93"/>
      <c r="I25" s="103" t="s">
        <v>455</v>
      </c>
      <c r="J25" s="105" t="s">
        <v>398</v>
      </c>
      <c r="K25" s="103" t="s">
        <v>421</v>
      </c>
      <c r="L25" s="74">
        <v>20</v>
      </c>
      <c r="M25" s="6" t="str">
        <f t="shared" si="10"/>
        <v>23|6</v>
      </c>
      <c r="N25" s="6" t="str">
        <f t="shared" si="11"/>
        <v>1|15|20</v>
      </c>
      <c r="O25" s="73">
        <f t="shared" si="5"/>
        <v>139</v>
      </c>
      <c r="P25" s="100" t="str">
        <f t="shared" si="13"/>
        <v>202,</v>
      </c>
      <c r="Q25" s="55" t="str">
        <f t="shared" si="14"/>
        <v>201,202,</v>
      </c>
    </row>
    <row r="26" spans="1:17">
      <c r="A26" s="85">
        <v>108</v>
      </c>
      <c r="B26" s="85" t="s">
        <v>456</v>
      </c>
      <c r="C26" s="85"/>
      <c r="H26" s="93"/>
      <c r="I26" s="103" t="s">
        <v>457</v>
      </c>
      <c r="J26" s="105" t="s">
        <v>402</v>
      </c>
      <c r="K26" s="103" t="s">
        <v>458</v>
      </c>
      <c r="L26" s="74">
        <v>10</v>
      </c>
      <c r="M26" s="6" t="str">
        <f t="shared" si="10"/>
        <v>202|505</v>
      </c>
      <c r="N26" s="6" t="str">
        <f t="shared" si="11"/>
        <v>1|15|10</v>
      </c>
      <c r="O26" s="73">
        <f t="shared" si="5"/>
        <v>100</v>
      </c>
      <c r="P26" s="100" t="str">
        <f t="shared" si="13"/>
        <v>203,</v>
      </c>
      <c r="Q26" s="55" t="str">
        <f t="shared" si="14"/>
        <v>201,202,203,</v>
      </c>
    </row>
    <row r="27" spans="1:21">
      <c r="A27" s="85">
        <v>111</v>
      </c>
      <c r="B27" s="86" t="s">
        <v>459</v>
      </c>
      <c r="C27" s="85"/>
      <c r="H27" s="93"/>
      <c r="I27" s="103" t="s">
        <v>460</v>
      </c>
      <c r="J27" s="105" t="s">
        <v>402</v>
      </c>
      <c r="K27" s="103" t="s">
        <v>461</v>
      </c>
      <c r="L27" s="74">
        <v>20</v>
      </c>
      <c r="M27" s="6" t="str">
        <f t="shared" si="10"/>
        <v>202|510</v>
      </c>
      <c r="N27" s="6" t="str">
        <f t="shared" si="11"/>
        <v>1|15|20</v>
      </c>
      <c r="O27" s="73">
        <f t="shared" si="5"/>
        <v>100</v>
      </c>
      <c r="P27" s="100" t="str">
        <f t="shared" si="13"/>
        <v>204,</v>
      </c>
      <c r="Q27" s="55" t="str">
        <f t="shared" si="14"/>
        <v>201,202,203,204,</v>
      </c>
      <c r="R27" s="19" t="s">
        <v>373</v>
      </c>
      <c r="S27" s="19" t="s">
        <v>413</v>
      </c>
      <c r="T27" s="19" t="str">
        <f t="shared" ref="T27:T32" si="15">T19</f>
        <v>数量</v>
      </c>
      <c r="U27" s="19" t="s">
        <v>327</v>
      </c>
    </row>
    <row r="28" spans="1:21">
      <c r="A28" s="88">
        <v>112</v>
      </c>
      <c r="B28" s="89" t="s">
        <v>462</v>
      </c>
      <c r="C28" s="88"/>
      <c r="H28" s="93"/>
      <c r="I28" s="103" t="s">
        <v>463</v>
      </c>
      <c r="J28" s="105" t="s">
        <v>369</v>
      </c>
      <c r="K28" s="103" t="s">
        <v>464</v>
      </c>
      <c r="L28" s="74">
        <v>10</v>
      </c>
      <c r="M28" s="6" t="str">
        <f t="shared" si="10"/>
        <v>1|3000</v>
      </c>
      <c r="N28" s="6" t="str">
        <f t="shared" si="11"/>
        <v>1|15|10</v>
      </c>
      <c r="O28" s="73">
        <f t="shared" si="5"/>
        <v>102</v>
      </c>
      <c r="P28" s="100" t="str">
        <f t="shared" si="13"/>
        <v>205,</v>
      </c>
      <c r="Q28" s="55" t="str">
        <f t="shared" si="14"/>
        <v>201,202,203,204,205,</v>
      </c>
      <c r="R28" s="111">
        <v>250</v>
      </c>
      <c r="S28" s="6" t="str">
        <f>_xlfn.XLOOKUP(S20,道具表!$B:$B,道具表!$C:$C)&amp;"|"&amp;_xlfn.XLOOKUP(S20,道具表!$B:$B,道具表!$A:$A)&amp;"|"</f>
        <v>1|2|</v>
      </c>
      <c r="T28" s="111">
        <f t="shared" si="15"/>
        <v>500</v>
      </c>
      <c r="U28" s="19" t="str">
        <f t="shared" ref="U28:U32" si="16">S28&amp;T28</f>
        <v>1|2|500</v>
      </c>
    </row>
    <row r="29" spans="1:21">
      <c r="A29" s="85">
        <v>113</v>
      </c>
      <c r="B29" s="85" t="s">
        <v>465</v>
      </c>
      <c r="C29" s="86" t="s">
        <v>466</v>
      </c>
      <c r="D29" s="73">
        <v>128</v>
      </c>
      <c r="H29" s="93"/>
      <c r="I29" s="103" t="s">
        <v>467</v>
      </c>
      <c r="J29" s="105" t="s">
        <v>411</v>
      </c>
      <c r="K29" s="103" t="s">
        <v>468</v>
      </c>
      <c r="L29" s="74">
        <v>10</v>
      </c>
      <c r="M29" s="6" t="str">
        <f t="shared" si="10"/>
        <v>213|10003</v>
      </c>
      <c r="N29" s="6" t="str">
        <f t="shared" si="11"/>
        <v>1|15|10</v>
      </c>
      <c r="O29" s="73">
        <f t="shared" si="5"/>
        <v>103</v>
      </c>
      <c r="P29" s="100" t="str">
        <f t="shared" si="13"/>
        <v>206,</v>
      </c>
      <c r="Q29" s="55" t="str">
        <f t="shared" si="14"/>
        <v>201,202,203,204,205,206,</v>
      </c>
      <c r="R29" s="111">
        <v>500</v>
      </c>
      <c r="S29" s="6" t="str">
        <f>_xlfn.XLOOKUP(S21,道具表!$B:$B,道具表!$C:$C)&amp;"|"&amp;_xlfn.XLOOKUP(S21,道具表!$B:$B,道具表!$A:$A)&amp;"|"</f>
        <v>1|10019|</v>
      </c>
      <c r="T29" s="111">
        <f t="shared" si="15"/>
        <v>700</v>
      </c>
      <c r="U29" s="19" t="str">
        <f t="shared" si="16"/>
        <v>1|10019|700</v>
      </c>
    </row>
    <row r="30" spans="1:21">
      <c r="A30" s="85">
        <v>114</v>
      </c>
      <c r="B30" s="85" t="s">
        <v>469</v>
      </c>
      <c r="C30" s="86" t="s">
        <v>470</v>
      </c>
      <c r="H30" s="93"/>
      <c r="I30" s="103" t="s">
        <v>471</v>
      </c>
      <c r="J30" s="105" t="s">
        <v>417</v>
      </c>
      <c r="K30" s="103" t="s">
        <v>421</v>
      </c>
      <c r="L30" s="74">
        <v>20</v>
      </c>
      <c r="M30" s="6" t="str">
        <f t="shared" si="10"/>
        <v>212|6</v>
      </c>
      <c r="N30" s="6" t="str">
        <f t="shared" si="11"/>
        <v>1|15|20</v>
      </c>
      <c r="O30" s="73">
        <f t="shared" si="5"/>
        <v>103</v>
      </c>
      <c r="P30" s="100" t="str">
        <f t="shared" si="13"/>
        <v>207,</v>
      </c>
      <c r="Q30" s="55" t="str">
        <f t="shared" si="14"/>
        <v>201,202,203,204,205,206,207,</v>
      </c>
      <c r="R30" s="111">
        <v>800</v>
      </c>
      <c r="S30" s="6" t="str">
        <f>_xlfn.XLOOKUP(S22,道具表!$B:$B,道具表!$C:$C)&amp;"|"&amp;_xlfn.XLOOKUP(S22,道具表!$B:$B,道具表!$A:$A)&amp;"|"</f>
        <v>1|10001|</v>
      </c>
      <c r="T30" s="111">
        <f t="shared" si="15"/>
        <v>15</v>
      </c>
      <c r="U30" s="19" t="str">
        <f t="shared" si="16"/>
        <v>1|10001|15</v>
      </c>
    </row>
    <row r="31" spans="1:21">
      <c r="A31" s="85">
        <v>115</v>
      </c>
      <c r="B31" s="85" t="s">
        <v>472</v>
      </c>
      <c r="C31" s="86"/>
      <c r="D31" s="73">
        <v>118</v>
      </c>
      <c r="H31" s="93"/>
      <c r="I31" s="103" t="s">
        <v>473</v>
      </c>
      <c r="J31" s="105" t="s">
        <v>419</v>
      </c>
      <c r="K31" s="103" t="s">
        <v>474</v>
      </c>
      <c r="L31" s="74">
        <v>10</v>
      </c>
      <c r="M31" s="6" t="str">
        <f t="shared" si="10"/>
        <v>221|12</v>
      </c>
      <c r="N31" s="6" t="str">
        <f t="shared" si="11"/>
        <v>1|15|10</v>
      </c>
      <c r="O31" s="73">
        <f t="shared" si="5"/>
        <v>114</v>
      </c>
      <c r="P31" s="100" t="str">
        <f t="shared" si="13"/>
        <v>208,</v>
      </c>
      <c r="Q31" s="55" t="str">
        <f t="shared" si="14"/>
        <v>201,202,203,204,205,206,207,208,</v>
      </c>
      <c r="R31" s="111">
        <v>1200</v>
      </c>
      <c r="S31" s="6" t="str">
        <f>_xlfn.XLOOKUP(S23,道具表!$B:$B,道具表!$C:$C)&amp;"|"&amp;_xlfn.XLOOKUP(S23,道具表!$B:$B,道具表!$A:$A)&amp;"|"</f>
        <v>4|406|</v>
      </c>
      <c r="T31" s="111">
        <f t="shared" si="15"/>
        <v>1</v>
      </c>
      <c r="U31" s="19" t="str">
        <f t="shared" si="16"/>
        <v>4|406|1</v>
      </c>
    </row>
    <row r="32" spans="1:21">
      <c r="A32" s="85">
        <v>116</v>
      </c>
      <c r="B32" s="85" t="s">
        <v>475</v>
      </c>
      <c r="C32" s="86"/>
      <c r="H32" s="93"/>
      <c r="I32" s="103" t="s">
        <v>476</v>
      </c>
      <c r="J32" s="105" t="s">
        <v>419</v>
      </c>
      <c r="K32" s="103" t="s">
        <v>477</v>
      </c>
      <c r="L32" s="74">
        <v>20</v>
      </c>
      <c r="M32" s="6" t="str">
        <f t="shared" si="10"/>
        <v>221|16</v>
      </c>
      <c r="N32" s="6" t="str">
        <f t="shared" si="11"/>
        <v>1|15|20</v>
      </c>
      <c r="O32" s="73">
        <f t="shared" si="5"/>
        <v>114</v>
      </c>
      <c r="P32" s="100" t="str">
        <f t="shared" si="13"/>
        <v>209,</v>
      </c>
      <c r="Q32" s="55" t="str">
        <f t="shared" si="14"/>
        <v>201,202,203,204,205,206,207,208,209,</v>
      </c>
      <c r="R32" s="111">
        <v>1600</v>
      </c>
      <c r="S32" s="6" t="str">
        <f>_xlfn.XLOOKUP(S24,道具表!$B:$B,道具表!$C:$C)&amp;"|"&amp;_xlfn.XLOOKUP(S24,道具表!$B:$B,道具表!$A:$A)&amp;"|"</f>
        <v>14|42|</v>
      </c>
      <c r="T32" s="111">
        <f t="shared" si="15"/>
        <v>1</v>
      </c>
      <c r="U32" s="19" t="str">
        <f t="shared" si="16"/>
        <v>14|42|1</v>
      </c>
    </row>
    <row r="33" spans="1:17">
      <c r="A33" s="85">
        <v>117</v>
      </c>
      <c r="B33" s="85" t="s">
        <v>478</v>
      </c>
      <c r="C33" s="85"/>
      <c r="H33" s="93"/>
      <c r="I33" s="103" t="s">
        <v>479</v>
      </c>
      <c r="J33" s="105" t="s">
        <v>424</v>
      </c>
      <c r="K33" s="103" t="s">
        <v>421</v>
      </c>
      <c r="L33" s="74">
        <v>10</v>
      </c>
      <c r="M33" s="6" t="str">
        <f t="shared" si="10"/>
        <v>222|6</v>
      </c>
      <c r="N33" s="6" t="str">
        <f t="shared" si="11"/>
        <v>1|15|10</v>
      </c>
      <c r="O33" s="73">
        <f t="shared" si="5"/>
        <v>114</v>
      </c>
      <c r="P33" s="100" t="str">
        <f t="shared" si="13"/>
        <v>210,</v>
      </c>
      <c r="Q33" s="55" t="str">
        <f t="shared" si="14"/>
        <v>201,202,203,204,205,206,207,208,209,210,</v>
      </c>
    </row>
    <row r="34" spans="1:17">
      <c r="A34" s="85">
        <v>118</v>
      </c>
      <c r="B34" s="85" t="s">
        <v>480</v>
      </c>
      <c r="C34" s="85" t="s">
        <v>481</v>
      </c>
      <c r="H34" s="93"/>
      <c r="I34" s="103" t="s">
        <v>482</v>
      </c>
      <c r="J34" s="105" t="s">
        <v>424</v>
      </c>
      <c r="K34" s="103" t="s">
        <v>483</v>
      </c>
      <c r="L34" s="74">
        <v>20</v>
      </c>
      <c r="M34" s="6" t="str">
        <f t="shared" si="10"/>
        <v>222|8</v>
      </c>
      <c r="N34" s="6" t="str">
        <f t="shared" si="11"/>
        <v>1|15|20</v>
      </c>
      <c r="O34" s="73">
        <f t="shared" si="5"/>
        <v>114</v>
      </c>
      <c r="P34" s="100" t="str">
        <f t="shared" si="13"/>
        <v>211,</v>
      </c>
      <c r="Q34" s="55" t="str">
        <f t="shared" si="14"/>
        <v>201,202,203,204,205,206,207,208,209,210,211,</v>
      </c>
    </row>
    <row r="35" spans="1:17">
      <c r="A35" s="85">
        <v>119</v>
      </c>
      <c r="B35" s="85" t="s">
        <v>484</v>
      </c>
      <c r="C35" s="85"/>
      <c r="H35" s="93"/>
      <c r="I35" s="103" t="s">
        <v>485</v>
      </c>
      <c r="J35" s="105" t="s">
        <v>486</v>
      </c>
      <c r="K35" s="106">
        <v>3</v>
      </c>
      <c r="L35" s="74">
        <v>10</v>
      </c>
      <c r="M35" s="6" t="str">
        <f t="shared" si="10"/>
        <v>232|3</v>
      </c>
      <c r="N35" s="6" t="str">
        <f t="shared" si="11"/>
        <v>1|15|10</v>
      </c>
      <c r="O35" s="73">
        <f t="shared" si="5"/>
        <v>1</v>
      </c>
      <c r="P35" s="100" t="str">
        <f t="shared" si="13"/>
        <v>212,</v>
      </c>
      <c r="Q35" s="55" t="str">
        <f t="shared" si="14"/>
        <v>201,202,203,204,205,206,207,208,209,210,211,212,</v>
      </c>
    </row>
    <row r="36" spans="1:17">
      <c r="A36" s="85">
        <v>121</v>
      </c>
      <c r="B36" s="86" t="s">
        <v>487</v>
      </c>
      <c r="C36" s="85" t="s">
        <v>488</v>
      </c>
      <c r="H36" s="93"/>
      <c r="I36" s="103" t="s">
        <v>489</v>
      </c>
      <c r="J36" s="105" t="s">
        <v>486</v>
      </c>
      <c r="K36" s="103" t="s">
        <v>421</v>
      </c>
      <c r="L36" s="74">
        <v>15</v>
      </c>
      <c r="M36" s="6" t="str">
        <f t="shared" si="10"/>
        <v>232|6</v>
      </c>
      <c r="N36" s="6" t="str">
        <f t="shared" si="11"/>
        <v>1|15|15</v>
      </c>
      <c r="O36" s="73">
        <f t="shared" si="5"/>
        <v>1</v>
      </c>
      <c r="P36" s="100" t="str">
        <f t="shared" si="13"/>
        <v>213,</v>
      </c>
      <c r="Q36" s="55" t="str">
        <f t="shared" si="14"/>
        <v>201,202,203,204,205,206,207,208,209,210,211,212,213,</v>
      </c>
    </row>
    <row r="37" spans="1:17">
      <c r="A37" s="85">
        <v>122</v>
      </c>
      <c r="B37" s="86" t="s">
        <v>490</v>
      </c>
      <c r="C37" s="85" t="s">
        <v>491</v>
      </c>
      <c r="H37" s="93"/>
      <c r="I37" s="103" t="s">
        <v>492</v>
      </c>
      <c r="J37" s="105" t="s">
        <v>486</v>
      </c>
      <c r="K37" s="103" t="s">
        <v>474</v>
      </c>
      <c r="L37" s="74">
        <v>20</v>
      </c>
      <c r="M37" s="6" t="str">
        <f t="shared" si="10"/>
        <v>232|12</v>
      </c>
      <c r="N37" s="6" t="str">
        <f t="shared" si="11"/>
        <v>1|15|20</v>
      </c>
      <c r="O37" s="73">
        <f t="shared" si="5"/>
        <v>1</v>
      </c>
      <c r="P37" s="100" t="str">
        <f t="shared" si="13"/>
        <v>214,</v>
      </c>
      <c r="Q37" s="55" t="str">
        <f t="shared" si="14"/>
        <v>201,202,203,204,205,206,207,208,209,210,211,212,213,214,</v>
      </c>
    </row>
    <row r="38" spans="1:17">
      <c r="A38" s="85">
        <v>123</v>
      </c>
      <c r="B38" s="86" t="s">
        <v>493</v>
      </c>
      <c r="C38" s="85"/>
      <c r="H38" s="93"/>
      <c r="I38" s="103" t="s">
        <v>494</v>
      </c>
      <c r="J38" s="105" t="s">
        <v>495</v>
      </c>
      <c r="K38" s="106">
        <v>2</v>
      </c>
      <c r="L38" s="74">
        <v>10</v>
      </c>
      <c r="M38" s="6" t="str">
        <f>_xlfn.XLOOKUP(J38,B:B,A:A)&amp;"|"&amp;K38</f>
        <v>234|2</v>
      </c>
      <c r="N38" s="6" t="str">
        <f t="shared" si="11"/>
        <v>1|15|10</v>
      </c>
      <c r="O38" s="73">
        <f t="shared" si="5"/>
        <v>1</v>
      </c>
      <c r="P38" s="100" t="str">
        <f t="shared" si="13"/>
        <v>215,</v>
      </c>
      <c r="Q38" s="55" t="str">
        <f t="shared" si="14"/>
        <v>201,202,203,204,205,206,207,208,209,210,211,212,213,214,215,</v>
      </c>
    </row>
    <row r="39" spans="1:17">
      <c r="A39" s="85">
        <v>124</v>
      </c>
      <c r="B39" s="86" t="s">
        <v>431</v>
      </c>
      <c r="C39" s="85" t="s">
        <v>496</v>
      </c>
      <c r="D39" s="73">
        <v>135</v>
      </c>
      <c r="H39" s="93"/>
      <c r="I39" s="103" t="s">
        <v>497</v>
      </c>
      <c r="J39" s="105" t="s">
        <v>495</v>
      </c>
      <c r="K39" s="106">
        <v>4</v>
      </c>
      <c r="L39" s="74">
        <v>15</v>
      </c>
      <c r="M39" s="6" t="str">
        <f>_xlfn.XLOOKUP(J39,B:B,A:A)&amp;"|"&amp;K39</f>
        <v>234|4</v>
      </c>
      <c r="N39" s="6" t="str">
        <f t="shared" si="11"/>
        <v>1|15|15</v>
      </c>
      <c r="O39" s="73">
        <f t="shared" si="5"/>
        <v>1</v>
      </c>
      <c r="P39" s="100" t="str">
        <f t="shared" si="13"/>
        <v>216,</v>
      </c>
      <c r="Q39" s="55" t="str">
        <f t="shared" ref="Q39:Q52" si="17">Q38&amp;P39</f>
        <v>201,202,203,204,205,206,207,208,209,210,211,212,213,214,215,216,</v>
      </c>
    </row>
    <row r="40" spans="1:17">
      <c r="A40" s="85">
        <v>125</v>
      </c>
      <c r="B40" s="86" t="s">
        <v>498</v>
      </c>
      <c r="C40" s="85" t="s">
        <v>481</v>
      </c>
      <c r="H40" s="93"/>
      <c r="I40" s="103" t="s">
        <v>499</v>
      </c>
      <c r="J40" s="105" t="s">
        <v>495</v>
      </c>
      <c r="K40" s="106">
        <v>6</v>
      </c>
      <c r="L40" s="74">
        <v>20</v>
      </c>
      <c r="M40" s="6" t="str">
        <f>_xlfn.XLOOKUP(J40,B:B,A:A)&amp;"|"&amp;K40</f>
        <v>234|6</v>
      </c>
      <c r="N40" s="6" t="str">
        <f t="shared" si="11"/>
        <v>1|15|20</v>
      </c>
      <c r="O40" s="73">
        <f t="shared" si="5"/>
        <v>1</v>
      </c>
      <c r="P40" s="100" t="str">
        <f t="shared" si="13"/>
        <v>217,</v>
      </c>
      <c r="Q40" s="55" t="str">
        <f t="shared" si="17"/>
        <v>201,202,203,204,205,206,207,208,209,210,211,212,213,214,215,216,217,</v>
      </c>
    </row>
    <row r="41" spans="1:17">
      <c r="A41" s="85">
        <v>126</v>
      </c>
      <c r="B41" s="86" t="s">
        <v>500</v>
      </c>
      <c r="C41" s="85" t="s">
        <v>501</v>
      </c>
      <c r="H41" s="93"/>
      <c r="I41" s="103" t="s">
        <v>502</v>
      </c>
      <c r="J41" s="105" t="s">
        <v>503</v>
      </c>
      <c r="K41" s="103" t="s">
        <v>399</v>
      </c>
      <c r="L41" s="74">
        <v>10</v>
      </c>
      <c r="M41" s="6" t="str">
        <f>_xlfn.XLOOKUP(J41,B:B,A:A)&amp;"|"&amp;K41</f>
        <v>233|5</v>
      </c>
      <c r="N41" s="6" t="str">
        <f t="shared" si="11"/>
        <v>1|15|10</v>
      </c>
      <c r="O41" s="73">
        <f t="shared" si="5"/>
        <v>1</v>
      </c>
      <c r="P41" s="100" t="str">
        <f t="shared" si="13"/>
        <v>219,</v>
      </c>
      <c r="Q41" s="55" t="str">
        <f t="shared" si="17"/>
        <v>201,202,203,204,205,206,207,208,209,210,211,212,213,214,215,216,217,219,</v>
      </c>
    </row>
    <row r="42" spans="1:16">
      <c r="A42" s="85">
        <v>127</v>
      </c>
      <c r="B42" s="86" t="s">
        <v>504</v>
      </c>
      <c r="C42" s="85"/>
      <c r="H42" s="94"/>
      <c r="I42" s="103" t="s">
        <v>505</v>
      </c>
      <c r="J42" s="105" t="s">
        <v>506</v>
      </c>
      <c r="K42" s="103" t="s">
        <v>399</v>
      </c>
      <c r="L42" s="74">
        <v>20</v>
      </c>
      <c r="M42" s="6" t="str">
        <f>_xlfn.XLOOKUP(J42,B:B,A:A)&amp;"|"&amp;K42</f>
        <v>251|5</v>
      </c>
      <c r="N42" s="6" t="str">
        <f t="shared" si="11"/>
        <v>1|15|20</v>
      </c>
      <c r="O42" s="73">
        <f t="shared" si="5"/>
        <v>109</v>
      </c>
      <c r="P42" s="100" t="str">
        <f t="shared" si="13"/>
        <v>220,</v>
      </c>
    </row>
    <row r="43" spans="1:17">
      <c r="A43" s="85">
        <v>131</v>
      </c>
      <c r="B43" s="86" t="s">
        <v>507</v>
      </c>
      <c r="C43" s="85"/>
      <c r="H43" s="87" t="s">
        <v>508</v>
      </c>
      <c r="I43" s="97" t="s">
        <v>509</v>
      </c>
      <c r="J43" s="34" t="s">
        <v>391</v>
      </c>
      <c r="K43" s="97" t="s">
        <v>510</v>
      </c>
      <c r="L43" s="99">
        <v>10</v>
      </c>
      <c r="M43" s="34" t="str">
        <f t="shared" ref="M43:M67" si="18">_xlfn.XLOOKUP(J43,B:B,A:A)&amp;"|"&amp;K43</f>
        <v>22|50</v>
      </c>
      <c r="N43" s="34" t="str">
        <f t="shared" ref="N43:N74" si="19">"1|15|"&amp;L43</f>
        <v>1|15|10</v>
      </c>
      <c r="O43" s="73">
        <f t="shared" ref="O43:O74" si="20">_xlfn.XLOOKUP(J43,B:B,D:D)</f>
        <v>102</v>
      </c>
      <c r="P43" s="100" t="str">
        <f t="shared" si="13"/>
        <v>301,</v>
      </c>
      <c r="Q43" s="55" t="str">
        <f t="shared" si="17"/>
        <v>301,</v>
      </c>
    </row>
    <row r="44" spans="1:17">
      <c r="A44" s="85">
        <v>132</v>
      </c>
      <c r="B44" s="86" t="s">
        <v>511</v>
      </c>
      <c r="C44" s="85"/>
      <c r="H44" s="90"/>
      <c r="I44" s="97" t="s">
        <v>512</v>
      </c>
      <c r="J44" s="34" t="s">
        <v>398</v>
      </c>
      <c r="K44" s="97" t="s">
        <v>513</v>
      </c>
      <c r="L44" s="99">
        <v>20</v>
      </c>
      <c r="M44" s="34" t="str">
        <f t="shared" si="18"/>
        <v>23|7</v>
      </c>
      <c r="N44" s="34" t="str">
        <f t="shared" si="19"/>
        <v>1|15|20</v>
      </c>
      <c r="O44" s="73">
        <f t="shared" si="20"/>
        <v>139</v>
      </c>
      <c r="P44" s="100" t="str">
        <f t="shared" si="13"/>
        <v>302,</v>
      </c>
      <c r="Q44" s="55" t="str">
        <f t="shared" si="17"/>
        <v>301,302,</v>
      </c>
    </row>
    <row r="45" spans="1:17">
      <c r="A45" s="85">
        <v>133</v>
      </c>
      <c r="B45" s="86" t="s">
        <v>514</v>
      </c>
      <c r="C45" s="85" t="s">
        <v>450</v>
      </c>
      <c r="H45" s="90"/>
      <c r="I45" s="97" t="s">
        <v>515</v>
      </c>
      <c r="J45" s="34" t="s">
        <v>402</v>
      </c>
      <c r="K45" s="97" t="s">
        <v>516</v>
      </c>
      <c r="L45" s="99">
        <v>10</v>
      </c>
      <c r="M45" s="34" t="str">
        <f t="shared" si="18"/>
        <v>202|605</v>
      </c>
      <c r="N45" s="34" t="str">
        <f t="shared" si="19"/>
        <v>1|15|10</v>
      </c>
      <c r="O45" s="73">
        <f t="shared" si="20"/>
        <v>100</v>
      </c>
      <c r="P45" s="100" t="str">
        <f t="shared" si="13"/>
        <v>303,</v>
      </c>
      <c r="Q45" s="55" t="str">
        <f t="shared" si="17"/>
        <v>301,302,303,</v>
      </c>
    </row>
    <row r="46" spans="1:17">
      <c r="A46" s="85">
        <f t="shared" ref="A46:A48" si="21">A45+1</f>
        <v>134</v>
      </c>
      <c r="B46" s="86" t="s">
        <v>517</v>
      </c>
      <c r="C46" s="85"/>
      <c r="H46" s="90"/>
      <c r="I46" s="97" t="s">
        <v>518</v>
      </c>
      <c r="J46" s="34" t="s">
        <v>402</v>
      </c>
      <c r="K46" s="97" t="s">
        <v>519</v>
      </c>
      <c r="L46" s="99">
        <v>20</v>
      </c>
      <c r="M46" s="34" t="str">
        <f t="shared" si="18"/>
        <v>202|610</v>
      </c>
      <c r="N46" s="34" t="str">
        <f t="shared" si="19"/>
        <v>1|15|20</v>
      </c>
      <c r="O46" s="73">
        <f t="shared" si="20"/>
        <v>100</v>
      </c>
      <c r="P46" s="100" t="str">
        <f t="shared" si="13"/>
        <v>304,</v>
      </c>
      <c r="Q46" s="55" t="str">
        <f t="shared" si="17"/>
        <v>301,302,303,304,</v>
      </c>
    </row>
    <row r="47" spans="1:17">
      <c r="A47" s="85">
        <f t="shared" si="21"/>
        <v>135</v>
      </c>
      <c r="B47" s="86" t="s">
        <v>520</v>
      </c>
      <c r="C47" s="85"/>
      <c r="H47" s="90"/>
      <c r="I47" s="97" t="s">
        <v>521</v>
      </c>
      <c r="J47" s="34" t="s">
        <v>369</v>
      </c>
      <c r="K47" s="97" t="s">
        <v>522</v>
      </c>
      <c r="L47" s="99">
        <v>10</v>
      </c>
      <c r="M47" s="34" t="str">
        <f t="shared" si="18"/>
        <v>1|5000</v>
      </c>
      <c r="N47" s="34" t="str">
        <f t="shared" si="19"/>
        <v>1|15|10</v>
      </c>
      <c r="O47" s="73">
        <f t="shared" si="20"/>
        <v>102</v>
      </c>
      <c r="P47" s="100" t="str">
        <f t="shared" si="13"/>
        <v>305,</v>
      </c>
      <c r="Q47" s="55" t="str">
        <f t="shared" si="17"/>
        <v>301,302,303,304,305,</v>
      </c>
    </row>
    <row r="48" spans="1:17">
      <c r="A48" s="85">
        <f t="shared" si="21"/>
        <v>136</v>
      </c>
      <c r="B48" s="86" t="s">
        <v>523</v>
      </c>
      <c r="C48" s="85"/>
      <c r="D48" s="73">
        <v>117</v>
      </c>
      <c r="H48" s="90"/>
      <c r="I48" s="97" t="s">
        <v>524</v>
      </c>
      <c r="J48" s="34" t="s">
        <v>411</v>
      </c>
      <c r="K48" s="97" t="s">
        <v>525</v>
      </c>
      <c r="L48" s="99">
        <v>10</v>
      </c>
      <c r="M48" s="34" t="str">
        <f>_xlfn.XLOOKUP(J48,B:B,A:A)&amp;"|"&amp;K48</f>
        <v>213|10004</v>
      </c>
      <c r="N48" s="34" t="str">
        <f t="shared" si="19"/>
        <v>1|15|10</v>
      </c>
      <c r="O48" s="73">
        <f t="shared" si="20"/>
        <v>103</v>
      </c>
      <c r="P48" s="100" t="str">
        <f t="shared" si="13"/>
        <v>306,</v>
      </c>
      <c r="Q48" s="55" t="str">
        <f t="shared" si="17"/>
        <v>301,302,303,304,305,306,</v>
      </c>
    </row>
    <row r="49" spans="1:17">
      <c r="A49" s="85">
        <v>141</v>
      </c>
      <c r="B49" s="86" t="s">
        <v>445</v>
      </c>
      <c r="C49" s="85"/>
      <c r="D49" s="73">
        <v>136</v>
      </c>
      <c r="H49" s="90"/>
      <c r="I49" s="97" t="s">
        <v>526</v>
      </c>
      <c r="J49" s="34" t="s">
        <v>417</v>
      </c>
      <c r="K49" s="97" t="s">
        <v>432</v>
      </c>
      <c r="L49" s="99">
        <v>20</v>
      </c>
      <c r="M49" s="34" t="str">
        <f t="shared" si="18"/>
        <v>212|10</v>
      </c>
      <c r="N49" s="34" t="str">
        <f t="shared" si="19"/>
        <v>1|15|20</v>
      </c>
      <c r="O49" s="73">
        <f t="shared" si="20"/>
        <v>103</v>
      </c>
      <c r="P49" s="100" t="str">
        <f t="shared" si="13"/>
        <v>307,</v>
      </c>
      <c r="Q49" s="55" t="str">
        <f t="shared" si="17"/>
        <v>301,302,303,304,305,306,307,</v>
      </c>
    </row>
    <row r="50" spans="1:17">
      <c r="A50" s="85">
        <v>142</v>
      </c>
      <c r="B50" s="86" t="s">
        <v>527</v>
      </c>
      <c r="C50" s="85"/>
      <c r="D50" s="73">
        <v>136</v>
      </c>
      <c r="H50" s="90"/>
      <c r="I50" s="97" t="s">
        <v>528</v>
      </c>
      <c r="J50" s="34" t="s">
        <v>419</v>
      </c>
      <c r="K50" s="97" t="s">
        <v>392</v>
      </c>
      <c r="L50" s="99">
        <v>10</v>
      </c>
      <c r="M50" s="34" t="str">
        <f t="shared" si="18"/>
        <v>221|20</v>
      </c>
      <c r="N50" s="34" t="str">
        <f t="shared" si="19"/>
        <v>1|15|10</v>
      </c>
      <c r="O50" s="73">
        <f t="shared" si="20"/>
        <v>114</v>
      </c>
      <c r="P50" s="100" t="str">
        <f t="shared" si="13"/>
        <v>308,</v>
      </c>
      <c r="Q50" s="55" t="str">
        <f t="shared" si="17"/>
        <v>301,302,303,304,305,306,307,308,</v>
      </c>
    </row>
    <row r="51" spans="1:17">
      <c r="A51" s="85">
        <v>143</v>
      </c>
      <c r="B51" s="86" t="s">
        <v>529</v>
      </c>
      <c r="C51" s="85"/>
      <c r="D51" s="73">
        <v>136</v>
      </c>
      <c r="H51" s="90"/>
      <c r="I51" s="97" t="s">
        <v>530</v>
      </c>
      <c r="J51" s="34" t="s">
        <v>419</v>
      </c>
      <c r="K51" s="97" t="s">
        <v>531</v>
      </c>
      <c r="L51" s="99">
        <v>20</v>
      </c>
      <c r="M51" s="34" t="str">
        <f t="shared" si="18"/>
        <v>221|25</v>
      </c>
      <c r="N51" s="34" t="str">
        <f t="shared" si="19"/>
        <v>1|15|20</v>
      </c>
      <c r="O51" s="73">
        <f t="shared" si="20"/>
        <v>114</v>
      </c>
      <c r="P51" s="100" t="str">
        <f t="shared" si="13"/>
        <v>309,</v>
      </c>
      <c r="Q51" s="55" t="str">
        <f t="shared" si="17"/>
        <v>301,302,303,304,305,306,307,308,309,</v>
      </c>
    </row>
    <row r="52" spans="1:17">
      <c r="A52" s="85">
        <f t="shared" ref="A52:A55" si="22">A51+1</f>
        <v>144</v>
      </c>
      <c r="B52" s="86" t="s">
        <v>532</v>
      </c>
      <c r="C52" s="85"/>
      <c r="D52" s="73">
        <v>136</v>
      </c>
      <c r="H52" s="90"/>
      <c r="I52" s="97" t="s">
        <v>533</v>
      </c>
      <c r="J52" s="34" t="s">
        <v>424</v>
      </c>
      <c r="K52" s="97" t="s">
        <v>432</v>
      </c>
      <c r="L52" s="99">
        <v>10</v>
      </c>
      <c r="M52" s="34" t="str">
        <f t="shared" si="18"/>
        <v>222|10</v>
      </c>
      <c r="N52" s="34" t="str">
        <f t="shared" si="19"/>
        <v>1|15|10</v>
      </c>
      <c r="O52" s="73">
        <f t="shared" si="20"/>
        <v>114</v>
      </c>
      <c r="P52" s="100" t="str">
        <f t="shared" si="13"/>
        <v>310,</v>
      </c>
      <c r="Q52" s="55" t="str">
        <f t="shared" si="17"/>
        <v>301,302,303,304,305,306,307,308,309,310,</v>
      </c>
    </row>
    <row r="53" spans="1:17">
      <c r="A53" s="85">
        <f t="shared" si="22"/>
        <v>145</v>
      </c>
      <c r="B53" s="86" t="s">
        <v>534</v>
      </c>
      <c r="C53" s="85"/>
      <c r="D53" s="73">
        <v>136</v>
      </c>
      <c r="H53" s="90"/>
      <c r="I53" s="97" t="s">
        <v>535</v>
      </c>
      <c r="J53" s="34" t="s">
        <v>424</v>
      </c>
      <c r="K53" s="97" t="s">
        <v>536</v>
      </c>
      <c r="L53" s="99">
        <v>20</v>
      </c>
      <c r="M53" s="34" t="str">
        <f t="shared" si="18"/>
        <v>222|13</v>
      </c>
      <c r="N53" s="34" t="str">
        <f t="shared" si="19"/>
        <v>1|15|20</v>
      </c>
      <c r="O53" s="73">
        <f t="shared" si="20"/>
        <v>114</v>
      </c>
      <c r="P53" s="100" t="str">
        <f t="shared" ref="P53:P80" si="23">I53&amp;","</f>
        <v>311,</v>
      </c>
      <c r="Q53" s="55" t="str">
        <f t="shared" ref="Q53:Q84" si="24">Q52&amp;P53</f>
        <v>301,302,303,304,305,306,307,308,309,310,311,</v>
      </c>
    </row>
    <row r="54" spans="1:17">
      <c r="A54" s="85">
        <v>201</v>
      </c>
      <c r="B54" s="86" t="s">
        <v>537</v>
      </c>
      <c r="C54" s="85"/>
      <c r="H54" s="90"/>
      <c r="I54" s="97" t="s">
        <v>538</v>
      </c>
      <c r="J54" s="34" t="s">
        <v>495</v>
      </c>
      <c r="K54" s="97" t="s">
        <v>432</v>
      </c>
      <c r="L54" s="99">
        <v>10</v>
      </c>
      <c r="M54" s="34" t="str">
        <f t="shared" si="18"/>
        <v>234|10</v>
      </c>
      <c r="N54" s="34" t="str">
        <f t="shared" si="19"/>
        <v>1|15|10</v>
      </c>
      <c r="O54" s="73">
        <f t="shared" si="20"/>
        <v>1</v>
      </c>
      <c r="P54" s="100" t="str">
        <f t="shared" si="23"/>
        <v>312,</v>
      </c>
      <c r="Q54" s="55" t="str">
        <f t="shared" si="24"/>
        <v>301,302,303,304,305,306,307,308,309,310,311,312,</v>
      </c>
    </row>
    <row r="55" spans="1:17">
      <c r="A55" s="85">
        <f t="shared" si="22"/>
        <v>202</v>
      </c>
      <c r="B55" s="86" t="s">
        <v>402</v>
      </c>
      <c r="C55" s="85" t="s">
        <v>539</v>
      </c>
      <c r="D55" s="82">
        <v>100</v>
      </c>
      <c r="H55" s="90"/>
      <c r="I55" s="97" t="s">
        <v>540</v>
      </c>
      <c r="J55" s="34" t="s">
        <v>495</v>
      </c>
      <c r="K55" s="97" t="s">
        <v>474</v>
      </c>
      <c r="L55" s="99">
        <v>20</v>
      </c>
      <c r="M55" s="34" t="str">
        <f t="shared" si="18"/>
        <v>234|12</v>
      </c>
      <c r="N55" s="34" t="str">
        <f t="shared" si="19"/>
        <v>1|15|20</v>
      </c>
      <c r="O55" s="73">
        <f t="shared" si="20"/>
        <v>1</v>
      </c>
      <c r="P55" s="100" t="str">
        <f t="shared" si="23"/>
        <v>313,</v>
      </c>
      <c r="Q55" s="55" t="str">
        <f t="shared" si="24"/>
        <v>301,302,303,304,305,306,307,308,309,310,311,312,313,</v>
      </c>
    </row>
    <row r="56" spans="1:17">
      <c r="A56" s="85">
        <v>211</v>
      </c>
      <c r="B56" s="86" t="s">
        <v>541</v>
      </c>
      <c r="C56" s="85"/>
      <c r="D56" s="82">
        <v>103</v>
      </c>
      <c r="H56" s="90"/>
      <c r="I56" s="97" t="s">
        <v>542</v>
      </c>
      <c r="J56" s="34" t="s">
        <v>486</v>
      </c>
      <c r="K56" s="97" t="s">
        <v>543</v>
      </c>
      <c r="L56" s="99">
        <v>10</v>
      </c>
      <c r="M56" s="34" t="str">
        <f t="shared" si="18"/>
        <v>232|18</v>
      </c>
      <c r="N56" s="34" t="str">
        <f t="shared" si="19"/>
        <v>1|15|10</v>
      </c>
      <c r="O56" s="73">
        <f t="shared" si="20"/>
        <v>1</v>
      </c>
      <c r="P56" s="100" t="str">
        <f t="shared" si="23"/>
        <v>314,</v>
      </c>
      <c r="Q56" s="55" t="str">
        <f t="shared" si="24"/>
        <v>301,302,303,304,305,306,307,308,309,310,311,312,313,314,</v>
      </c>
    </row>
    <row r="57" spans="1:17">
      <c r="A57" s="85">
        <f>A56+1</f>
        <v>212</v>
      </c>
      <c r="B57" s="86" t="s">
        <v>417</v>
      </c>
      <c r="C57" s="85"/>
      <c r="D57" s="82">
        <v>103</v>
      </c>
      <c r="H57" s="90"/>
      <c r="I57" s="97" t="s">
        <v>544</v>
      </c>
      <c r="J57" s="34" t="s">
        <v>486</v>
      </c>
      <c r="K57" s="97" t="s">
        <v>545</v>
      </c>
      <c r="L57" s="99">
        <v>20</v>
      </c>
      <c r="M57" s="34" t="str">
        <f t="shared" si="18"/>
        <v>232|24</v>
      </c>
      <c r="N57" s="34" t="str">
        <f t="shared" si="19"/>
        <v>1|15|20</v>
      </c>
      <c r="O57" s="73">
        <f t="shared" si="20"/>
        <v>1</v>
      </c>
      <c r="P57" s="100" t="str">
        <f t="shared" si="23"/>
        <v>315,</v>
      </c>
      <c r="Q57" s="55" t="str">
        <f t="shared" si="24"/>
        <v>301,302,303,304,305,306,307,308,309,310,311,312,313,314,315,</v>
      </c>
    </row>
    <row r="58" spans="1:17">
      <c r="A58" s="85">
        <v>213</v>
      </c>
      <c r="B58" s="86" t="s">
        <v>411</v>
      </c>
      <c r="C58" s="85" t="s">
        <v>546</v>
      </c>
      <c r="D58" s="82">
        <v>103</v>
      </c>
      <c r="H58" s="90"/>
      <c r="I58" s="97" t="s">
        <v>547</v>
      </c>
      <c r="J58" s="34" t="s">
        <v>548</v>
      </c>
      <c r="K58" s="97" t="s">
        <v>425</v>
      </c>
      <c r="L58" s="99">
        <v>20</v>
      </c>
      <c r="M58" s="34" t="str">
        <f>_xlfn.XLOOKUP(J58,B:B,A:A)&amp;"|"&amp;K58</f>
        <v>273|2</v>
      </c>
      <c r="N58" s="34" t="str">
        <f t="shared" si="19"/>
        <v>1|15|20</v>
      </c>
      <c r="O58" s="73">
        <f t="shared" si="20"/>
        <v>131</v>
      </c>
      <c r="P58" s="100" t="str">
        <f t="shared" si="23"/>
        <v>316,</v>
      </c>
      <c r="Q58" s="55" t="str">
        <f t="shared" si="24"/>
        <v>301,302,303,304,305,306,307,308,309,310,311,312,313,314,315,316,</v>
      </c>
    </row>
    <row r="59" spans="1:16">
      <c r="A59" s="85">
        <v>221</v>
      </c>
      <c r="B59" s="85" t="s">
        <v>419</v>
      </c>
      <c r="C59" s="86" t="s">
        <v>549</v>
      </c>
      <c r="D59" s="73">
        <v>114</v>
      </c>
      <c r="H59" s="95"/>
      <c r="I59" s="97" t="s">
        <v>550</v>
      </c>
      <c r="J59" s="34" t="s">
        <v>440</v>
      </c>
      <c r="K59" s="97" t="s">
        <v>551</v>
      </c>
      <c r="L59" s="99">
        <v>20</v>
      </c>
      <c r="M59" s="34" t="str">
        <f t="shared" si="18"/>
        <v>102|3</v>
      </c>
      <c r="N59" s="34" t="str">
        <f t="shared" si="19"/>
        <v>1|15|20</v>
      </c>
      <c r="O59" s="73">
        <f t="shared" si="20"/>
        <v>122</v>
      </c>
      <c r="P59" s="100" t="str">
        <f t="shared" si="23"/>
        <v>317,</v>
      </c>
    </row>
    <row r="60" spans="1:17">
      <c r="A60" s="85">
        <v>222</v>
      </c>
      <c r="B60" s="85" t="s">
        <v>424</v>
      </c>
      <c r="C60" s="86" t="s">
        <v>552</v>
      </c>
      <c r="D60" s="73">
        <v>114</v>
      </c>
      <c r="H60" s="56" t="s">
        <v>553</v>
      </c>
      <c r="I60" s="96" t="s">
        <v>554</v>
      </c>
      <c r="J60" s="105" t="s">
        <v>391</v>
      </c>
      <c r="K60" s="96" t="s">
        <v>555</v>
      </c>
      <c r="L60" s="74">
        <v>10</v>
      </c>
      <c r="M60" s="6" t="str">
        <f t="shared" si="18"/>
        <v>22|60</v>
      </c>
      <c r="N60" s="6" t="str">
        <f t="shared" si="19"/>
        <v>1|15|10</v>
      </c>
      <c r="O60" s="73">
        <f t="shared" si="20"/>
        <v>102</v>
      </c>
      <c r="P60" s="100" t="str">
        <f t="shared" si="23"/>
        <v>401,</v>
      </c>
      <c r="Q60" s="55" t="str">
        <f t="shared" si="24"/>
        <v>401,</v>
      </c>
    </row>
    <row r="61" spans="1:17">
      <c r="A61" s="85">
        <v>223</v>
      </c>
      <c r="B61" s="85" t="s">
        <v>556</v>
      </c>
      <c r="C61" s="85" t="s">
        <v>557</v>
      </c>
      <c r="D61" s="73">
        <v>114</v>
      </c>
      <c r="H61" s="93"/>
      <c r="I61" s="96" t="s">
        <v>558</v>
      </c>
      <c r="J61" s="105" t="s">
        <v>398</v>
      </c>
      <c r="K61" s="96" t="s">
        <v>483</v>
      </c>
      <c r="L61" s="74">
        <v>20</v>
      </c>
      <c r="M61" s="6" t="str">
        <f t="shared" si="18"/>
        <v>23|8</v>
      </c>
      <c r="N61" s="6" t="str">
        <f t="shared" si="19"/>
        <v>1|15|20</v>
      </c>
      <c r="O61" s="73">
        <f t="shared" si="20"/>
        <v>139</v>
      </c>
      <c r="P61" s="100" t="str">
        <f t="shared" si="23"/>
        <v>402,</v>
      </c>
      <c r="Q61" s="55" t="str">
        <f t="shared" si="24"/>
        <v>401,402,</v>
      </c>
    </row>
    <row r="62" spans="1:17">
      <c r="A62" s="85">
        <v>224</v>
      </c>
      <c r="B62" s="85" t="s">
        <v>559</v>
      </c>
      <c r="C62" s="85" t="s">
        <v>560</v>
      </c>
      <c r="D62" s="73">
        <v>114</v>
      </c>
      <c r="H62" s="93"/>
      <c r="I62" s="96" t="s">
        <v>561</v>
      </c>
      <c r="J62" s="105" t="s">
        <v>402</v>
      </c>
      <c r="K62" s="96" t="s">
        <v>562</v>
      </c>
      <c r="L62" s="74">
        <v>10</v>
      </c>
      <c r="M62" s="6" t="str">
        <f t="shared" si="18"/>
        <v>202|705</v>
      </c>
      <c r="N62" s="6" t="str">
        <f t="shared" si="19"/>
        <v>1|15|10</v>
      </c>
      <c r="O62" s="73">
        <f t="shared" si="20"/>
        <v>100</v>
      </c>
      <c r="P62" s="100" t="str">
        <f t="shared" si="23"/>
        <v>403,</v>
      </c>
      <c r="Q62" s="55" t="str">
        <f t="shared" si="24"/>
        <v>401,402,403,</v>
      </c>
    </row>
    <row r="63" spans="1:17">
      <c r="A63" s="85">
        <v>225</v>
      </c>
      <c r="B63" s="85" t="s">
        <v>563</v>
      </c>
      <c r="C63" s="85"/>
      <c r="D63" s="73">
        <v>114</v>
      </c>
      <c r="H63" s="93"/>
      <c r="I63" s="96" t="s">
        <v>564</v>
      </c>
      <c r="J63" s="105" t="s">
        <v>402</v>
      </c>
      <c r="K63" s="96" t="s">
        <v>565</v>
      </c>
      <c r="L63" s="74">
        <v>20</v>
      </c>
      <c r="M63" s="6" t="str">
        <f t="shared" si="18"/>
        <v>202|710</v>
      </c>
      <c r="N63" s="6" t="str">
        <f t="shared" si="19"/>
        <v>1|15|20</v>
      </c>
      <c r="O63" s="73">
        <f t="shared" si="20"/>
        <v>100</v>
      </c>
      <c r="P63" s="100" t="str">
        <f t="shared" si="23"/>
        <v>404,</v>
      </c>
      <c r="Q63" s="55" t="str">
        <f t="shared" si="24"/>
        <v>401,402,403,404,</v>
      </c>
    </row>
    <row r="64" spans="1:17">
      <c r="A64" s="85">
        <v>231</v>
      </c>
      <c r="B64" s="85" t="s">
        <v>566</v>
      </c>
      <c r="C64" s="85"/>
      <c r="D64" s="73">
        <v>1</v>
      </c>
      <c r="H64" s="93"/>
      <c r="I64" s="96" t="s">
        <v>567</v>
      </c>
      <c r="J64" s="105" t="s">
        <v>369</v>
      </c>
      <c r="K64" s="96" t="s">
        <v>568</v>
      </c>
      <c r="L64" s="74">
        <v>10</v>
      </c>
      <c r="M64" s="6" t="str">
        <f t="shared" si="18"/>
        <v>1|7000</v>
      </c>
      <c r="N64" s="6" t="str">
        <f t="shared" si="19"/>
        <v>1|15|10</v>
      </c>
      <c r="O64" s="73">
        <f t="shared" si="20"/>
        <v>102</v>
      </c>
      <c r="P64" s="100" t="str">
        <f t="shared" si="23"/>
        <v>405,</v>
      </c>
      <c r="Q64" s="55" t="str">
        <f t="shared" si="24"/>
        <v>401,402,403,404,405,</v>
      </c>
    </row>
    <row r="65" spans="1:17">
      <c r="A65" s="85">
        <f>A64+1</f>
        <v>232</v>
      </c>
      <c r="B65" s="85" t="s">
        <v>486</v>
      </c>
      <c r="C65" s="86" t="s">
        <v>569</v>
      </c>
      <c r="D65" s="73">
        <v>1</v>
      </c>
      <c r="H65" s="93"/>
      <c r="I65" s="96" t="s">
        <v>570</v>
      </c>
      <c r="J65" s="105" t="s">
        <v>411</v>
      </c>
      <c r="K65" s="96" t="s">
        <v>571</v>
      </c>
      <c r="L65" s="74">
        <v>10</v>
      </c>
      <c r="M65" s="6" t="str">
        <f t="shared" si="18"/>
        <v>213|10006</v>
      </c>
      <c r="N65" s="6" t="str">
        <f t="shared" si="19"/>
        <v>1|15|10</v>
      </c>
      <c r="O65" s="73">
        <f t="shared" si="20"/>
        <v>103</v>
      </c>
      <c r="P65" s="100" t="str">
        <f t="shared" si="23"/>
        <v>406,</v>
      </c>
      <c r="Q65" s="55" t="str">
        <f t="shared" si="24"/>
        <v>401,402,403,404,405,406,</v>
      </c>
    </row>
    <row r="66" spans="1:17">
      <c r="A66" s="85">
        <v>233</v>
      </c>
      <c r="B66" s="85" t="s">
        <v>503</v>
      </c>
      <c r="C66" s="85"/>
      <c r="D66" s="73">
        <v>1</v>
      </c>
      <c r="H66" s="93"/>
      <c r="I66" s="96" t="s">
        <v>572</v>
      </c>
      <c r="J66" s="105" t="s">
        <v>417</v>
      </c>
      <c r="K66" s="96" t="s">
        <v>573</v>
      </c>
      <c r="L66" s="74">
        <v>20</v>
      </c>
      <c r="M66" s="6" t="str">
        <f t="shared" si="18"/>
        <v>212|14</v>
      </c>
      <c r="N66" s="6" t="str">
        <f t="shared" si="19"/>
        <v>1|15|20</v>
      </c>
      <c r="O66" s="73">
        <f t="shared" si="20"/>
        <v>103</v>
      </c>
      <c r="P66" s="100" t="str">
        <f t="shared" si="23"/>
        <v>407,</v>
      </c>
      <c r="Q66" s="55" t="str">
        <f t="shared" si="24"/>
        <v>401,402,403,404,405,406,407,</v>
      </c>
    </row>
    <row r="67" spans="1:17">
      <c r="A67" s="85">
        <f t="shared" ref="A67:A73" si="25">A66+1</f>
        <v>234</v>
      </c>
      <c r="B67" s="85" t="s">
        <v>495</v>
      </c>
      <c r="C67" s="85"/>
      <c r="D67" s="73">
        <v>1</v>
      </c>
      <c r="H67" s="93"/>
      <c r="I67" s="96" t="s">
        <v>574</v>
      </c>
      <c r="J67" s="105" t="s">
        <v>419</v>
      </c>
      <c r="K67" s="96" t="s">
        <v>439</v>
      </c>
      <c r="L67" s="74">
        <v>10</v>
      </c>
      <c r="M67" s="6" t="str">
        <f t="shared" si="18"/>
        <v>221|30</v>
      </c>
      <c r="N67" s="6" t="str">
        <f t="shared" si="19"/>
        <v>1|15|10</v>
      </c>
      <c r="O67" s="73">
        <f t="shared" si="20"/>
        <v>114</v>
      </c>
      <c r="P67" s="100" t="str">
        <f t="shared" si="23"/>
        <v>408,</v>
      </c>
      <c r="Q67" s="55" t="str">
        <f t="shared" si="24"/>
        <v>401,402,403,404,405,406,407,408,</v>
      </c>
    </row>
    <row r="68" spans="1:17">
      <c r="A68" s="85">
        <v>235</v>
      </c>
      <c r="B68" s="85" t="s">
        <v>575</v>
      </c>
      <c r="C68" s="85"/>
      <c r="D68" s="73">
        <v>1</v>
      </c>
      <c r="H68" s="93"/>
      <c r="I68" s="96" t="s">
        <v>576</v>
      </c>
      <c r="J68" s="105" t="s">
        <v>419</v>
      </c>
      <c r="K68" s="96" t="s">
        <v>577</v>
      </c>
      <c r="L68" s="74">
        <v>20</v>
      </c>
      <c r="M68" s="6" t="str">
        <f>_xlfn.XLOOKUP(J68,B:B,A:A)&amp;"|"&amp;K68</f>
        <v>221|35</v>
      </c>
      <c r="N68" s="6" t="str">
        <f t="shared" si="19"/>
        <v>1|15|20</v>
      </c>
      <c r="O68" s="73">
        <f t="shared" si="20"/>
        <v>114</v>
      </c>
      <c r="P68" s="100" t="str">
        <f t="shared" si="23"/>
        <v>409,</v>
      </c>
      <c r="Q68" s="55" t="str">
        <f t="shared" si="24"/>
        <v>401,402,403,404,405,406,407,408,409,</v>
      </c>
    </row>
    <row r="69" spans="1:17">
      <c r="A69" s="85">
        <v>236</v>
      </c>
      <c r="B69" s="85" t="s">
        <v>578</v>
      </c>
      <c r="C69" s="85"/>
      <c r="D69" s="73">
        <v>1</v>
      </c>
      <c r="H69" s="93"/>
      <c r="I69" s="96" t="s">
        <v>405</v>
      </c>
      <c r="J69" s="105" t="s">
        <v>424</v>
      </c>
      <c r="K69" s="96" t="s">
        <v>579</v>
      </c>
      <c r="L69" s="74">
        <v>10</v>
      </c>
      <c r="M69" s="6" t="str">
        <f>_xlfn.XLOOKUP(J69,B:B,A:A)&amp;"|"&amp;K69</f>
        <v>222|15</v>
      </c>
      <c r="N69" s="6" t="str">
        <f t="shared" si="19"/>
        <v>1|15|10</v>
      </c>
      <c r="O69" s="73">
        <f t="shared" si="20"/>
        <v>114</v>
      </c>
      <c r="P69" s="100" t="str">
        <f t="shared" si="23"/>
        <v>410,</v>
      </c>
      <c r="Q69" s="55" t="str">
        <f t="shared" si="24"/>
        <v>401,402,403,404,405,406,407,408,409,410,</v>
      </c>
    </row>
    <row r="70" spans="1:17">
      <c r="A70" s="85">
        <v>241</v>
      </c>
      <c r="B70" s="85" t="s">
        <v>580</v>
      </c>
      <c r="C70" s="85" t="s">
        <v>581</v>
      </c>
      <c r="H70" s="93"/>
      <c r="I70" s="96" t="s">
        <v>582</v>
      </c>
      <c r="J70" s="105" t="s">
        <v>424</v>
      </c>
      <c r="K70" s="96" t="s">
        <v>543</v>
      </c>
      <c r="L70" s="74">
        <v>20</v>
      </c>
      <c r="M70" s="6" t="str">
        <f>_xlfn.XLOOKUP(J70,B:B,A:A)&amp;"|"&amp;K70</f>
        <v>222|18</v>
      </c>
      <c r="N70" s="6" t="str">
        <f t="shared" si="19"/>
        <v>1|15|20</v>
      </c>
      <c r="O70" s="73">
        <f t="shared" si="20"/>
        <v>114</v>
      </c>
      <c r="P70" s="100" t="str">
        <f t="shared" si="23"/>
        <v>411,</v>
      </c>
      <c r="Q70" s="55" t="str">
        <f t="shared" si="24"/>
        <v>401,402,403,404,405,406,407,408,409,410,411,</v>
      </c>
    </row>
    <row r="71" spans="1:17">
      <c r="A71" s="85">
        <f t="shared" si="25"/>
        <v>242</v>
      </c>
      <c r="B71" s="85" t="s">
        <v>448</v>
      </c>
      <c r="C71" s="85" t="s">
        <v>583</v>
      </c>
      <c r="D71" s="73">
        <v>106</v>
      </c>
      <c r="H71" s="93"/>
      <c r="I71" s="96" t="s">
        <v>584</v>
      </c>
      <c r="J71" s="105" t="s">
        <v>506</v>
      </c>
      <c r="K71" s="96" t="s">
        <v>432</v>
      </c>
      <c r="L71" s="74">
        <v>20</v>
      </c>
      <c r="M71" s="6" t="str">
        <f>_xlfn.XLOOKUP(J71,B:B,A:A)&amp;"|"&amp;K71</f>
        <v>251|10</v>
      </c>
      <c r="N71" s="6" t="str">
        <f t="shared" si="19"/>
        <v>1|15|20</v>
      </c>
      <c r="O71" s="73">
        <f t="shared" si="20"/>
        <v>109</v>
      </c>
      <c r="P71" s="100" t="str">
        <f t="shared" si="23"/>
        <v>412,</v>
      </c>
      <c r="Q71" s="55" t="str">
        <f t="shared" si="24"/>
        <v>401,402,403,404,405,406,407,408,409,410,411,412,</v>
      </c>
    </row>
    <row r="72" spans="1:17">
      <c r="A72" s="85">
        <f t="shared" si="25"/>
        <v>243</v>
      </c>
      <c r="B72" s="85" t="s">
        <v>585</v>
      </c>
      <c r="C72" s="86"/>
      <c r="D72" s="73">
        <v>123</v>
      </c>
      <c r="H72" s="93"/>
      <c r="I72" s="96" t="s">
        <v>586</v>
      </c>
      <c r="J72" s="105" t="s">
        <v>587</v>
      </c>
      <c r="K72" s="103" t="s">
        <v>425</v>
      </c>
      <c r="L72" s="74">
        <v>10</v>
      </c>
      <c r="M72" s="6" t="str">
        <f>_xlfn.XLOOKUP(J72,B:B,A:A)&amp;"|"&amp;K72</f>
        <v>261|2</v>
      </c>
      <c r="N72" s="6" t="str">
        <f t="shared" si="19"/>
        <v>1|15|10</v>
      </c>
      <c r="O72" s="73">
        <f t="shared" si="20"/>
        <v>129</v>
      </c>
      <c r="P72" s="100" t="str">
        <f t="shared" si="23"/>
        <v>413,</v>
      </c>
      <c r="Q72" s="55" t="str">
        <f t="shared" si="24"/>
        <v>401,402,403,404,405,406,407,408,409,410,411,412,413,</v>
      </c>
    </row>
    <row r="73" spans="1:17">
      <c r="A73" s="85">
        <f t="shared" si="25"/>
        <v>244</v>
      </c>
      <c r="B73" s="85" t="s">
        <v>588</v>
      </c>
      <c r="C73" s="85"/>
      <c r="D73" s="73">
        <v>123</v>
      </c>
      <c r="H73" s="93"/>
      <c r="I73" s="96" t="s">
        <v>589</v>
      </c>
      <c r="J73" s="105" t="s">
        <v>590</v>
      </c>
      <c r="K73" s="106">
        <v>10010</v>
      </c>
      <c r="L73" s="74">
        <v>20</v>
      </c>
      <c r="M73" s="6" t="str">
        <f>_xlfn.XLOOKUP(J73,B:B,A:A)&amp;"|"&amp;K73</f>
        <v>262|10010</v>
      </c>
      <c r="N73" s="6" t="str">
        <f t="shared" si="19"/>
        <v>1|15|20</v>
      </c>
      <c r="O73" s="73">
        <f t="shared" si="20"/>
        <v>129</v>
      </c>
      <c r="P73" s="100" t="str">
        <f t="shared" si="23"/>
        <v>414,</v>
      </c>
      <c r="Q73" s="55" t="str">
        <f t="shared" si="24"/>
        <v>401,402,403,404,405,406,407,408,409,410,411,412,413,414,</v>
      </c>
    </row>
    <row r="74" spans="1:16">
      <c r="A74" s="88">
        <v>251</v>
      </c>
      <c r="B74" s="88" t="s">
        <v>506</v>
      </c>
      <c r="C74" s="85"/>
      <c r="D74" s="73">
        <v>109</v>
      </c>
      <c r="H74" s="93"/>
      <c r="I74" s="96" t="s">
        <v>591</v>
      </c>
      <c r="J74" s="105" t="s">
        <v>548</v>
      </c>
      <c r="K74" s="103" t="s">
        <v>428</v>
      </c>
      <c r="L74" s="74">
        <v>10</v>
      </c>
      <c r="M74" s="6" t="str">
        <f>_xlfn.XLOOKUP(J74,B:B,A:A)&amp;"|"&amp;K74</f>
        <v>273|4</v>
      </c>
      <c r="N74" s="6" t="str">
        <f t="shared" si="19"/>
        <v>1|15|10</v>
      </c>
      <c r="O74" s="73">
        <f t="shared" si="20"/>
        <v>131</v>
      </c>
      <c r="P74" s="100" t="str">
        <f t="shared" si="23"/>
        <v>415,</v>
      </c>
    </row>
    <row r="75" spans="1:17">
      <c r="A75" s="88">
        <v>252</v>
      </c>
      <c r="B75" s="88" t="s">
        <v>592</v>
      </c>
      <c r="C75" s="85"/>
      <c r="D75" s="73">
        <v>109</v>
      </c>
      <c r="H75" s="87" t="s">
        <v>593</v>
      </c>
      <c r="I75" s="97" t="s">
        <v>594</v>
      </c>
      <c r="J75" s="34" t="s">
        <v>391</v>
      </c>
      <c r="K75" s="97" t="s">
        <v>595</v>
      </c>
      <c r="L75" s="99">
        <v>10</v>
      </c>
      <c r="M75" s="34" t="str">
        <f t="shared" ref="M75:M100" si="26">_xlfn.XLOOKUP(J75,B:B,A:A)&amp;"|"&amp;K75</f>
        <v>22|70</v>
      </c>
      <c r="N75" s="34" t="str">
        <f t="shared" ref="N75:N100" si="27">"1|15|"&amp;L75</f>
        <v>1|15|10</v>
      </c>
      <c r="O75" s="73">
        <f t="shared" ref="O75:O106" si="28">_xlfn.XLOOKUP(J75,B:B,D:D)</f>
        <v>102</v>
      </c>
      <c r="P75" s="100" t="str">
        <f t="shared" si="23"/>
        <v>501,</v>
      </c>
      <c r="Q75" s="55" t="str">
        <f>Q74&amp;P75</f>
        <v>501,</v>
      </c>
    </row>
    <row r="76" spans="1:17">
      <c r="A76" s="88">
        <v>253</v>
      </c>
      <c r="B76" s="88" t="s">
        <v>596</v>
      </c>
      <c r="C76" s="85"/>
      <c r="D76" s="73">
        <v>109</v>
      </c>
      <c r="H76" s="90"/>
      <c r="I76" s="97" t="s">
        <v>597</v>
      </c>
      <c r="J76" s="34" t="s">
        <v>398</v>
      </c>
      <c r="K76" s="97" t="s">
        <v>598</v>
      </c>
      <c r="L76" s="99">
        <v>20</v>
      </c>
      <c r="M76" s="34" t="str">
        <f t="shared" si="26"/>
        <v>23|9</v>
      </c>
      <c r="N76" s="34" t="str">
        <f t="shared" si="27"/>
        <v>1|15|20</v>
      </c>
      <c r="O76" s="73">
        <f t="shared" si="28"/>
        <v>139</v>
      </c>
      <c r="P76" s="100" t="str">
        <f t="shared" si="23"/>
        <v>502,</v>
      </c>
      <c r="Q76" s="55" t="str">
        <f t="shared" ref="Q76:Q107" si="29">Q75&amp;P76</f>
        <v>501,502,</v>
      </c>
    </row>
    <row r="77" spans="1:17">
      <c r="A77" s="88">
        <v>254</v>
      </c>
      <c r="B77" s="88" t="s">
        <v>599</v>
      </c>
      <c r="C77" s="85"/>
      <c r="D77" s="73">
        <v>109</v>
      </c>
      <c r="H77" s="90"/>
      <c r="I77" s="97" t="s">
        <v>600</v>
      </c>
      <c r="J77" s="34" t="s">
        <v>402</v>
      </c>
      <c r="K77" s="97" t="s">
        <v>601</v>
      </c>
      <c r="L77" s="99">
        <v>10</v>
      </c>
      <c r="M77" s="34" t="str">
        <f t="shared" si="26"/>
        <v>202|810</v>
      </c>
      <c r="N77" s="34" t="str">
        <f t="shared" si="27"/>
        <v>1|15|10</v>
      </c>
      <c r="O77" s="73">
        <f t="shared" si="28"/>
        <v>100</v>
      </c>
      <c r="P77" s="100" t="str">
        <f t="shared" si="23"/>
        <v>503,</v>
      </c>
      <c r="Q77" s="55" t="str">
        <f t="shared" si="29"/>
        <v>501,502,503,</v>
      </c>
    </row>
    <row r="78" spans="1:17">
      <c r="A78" s="88">
        <v>255</v>
      </c>
      <c r="B78" s="88" t="s">
        <v>602</v>
      </c>
      <c r="C78" s="85"/>
      <c r="D78" s="73">
        <v>109</v>
      </c>
      <c r="H78" s="90"/>
      <c r="I78" s="97" t="s">
        <v>603</v>
      </c>
      <c r="J78" s="34" t="s">
        <v>402</v>
      </c>
      <c r="K78" s="97" t="s">
        <v>604</v>
      </c>
      <c r="L78" s="99">
        <v>20</v>
      </c>
      <c r="M78" s="34" t="str">
        <f t="shared" si="26"/>
        <v>202|910</v>
      </c>
      <c r="N78" s="34" t="str">
        <f t="shared" si="27"/>
        <v>1|15|20</v>
      </c>
      <c r="O78" s="73">
        <f t="shared" si="28"/>
        <v>100</v>
      </c>
      <c r="P78" s="100" t="str">
        <f t="shared" si="23"/>
        <v>504,</v>
      </c>
      <c r="Q78" s="55" t="str">
        <f t="shared" si="29"/>
        <v>501,502,503,504,</v>
      </c>
    </row>
    <row r="79" spans="1:17">
      <c r="A79" s="88">
        <v>261</v>
      </c>
      <c r="B79" s="88" t="s">
        <v>587</v>
      </c>
      <c r="C79" s="85"/>
      <c r="D79" s="73">
        <v>129</v>
      </c>
      <c r="H79" s="90"/>
      <c r="I79" s="97" t="s">
        <v>458</v>
      </c>
      <c r="J79" s="34" t="s">
        <v>369</v>
      </c>
      <c r="K79" s="97" t="s">
        <v>605</v>
      </c>
      <c r="L79" s="99">
        <v>10</v>
      </c>
      <c r="M79" s="34" t="str">
        <f t="shared" si="26"/>
        <v>1|9000</v>
      </c>
      <c r="N79" s="34" t="str">
        <f t="shared" si="27"/>
        <v>1|15|10</v>
      </c>
      <c r="O79" s="73">
        <f t="shared" si="28"/>
        <v>102</v>
      </c>
      <c r="P79" s="100" t="str">
        <f t="shared" si="23"/>
        <v>505,</v>
      </c>
      <c r="Q79" s="55" t="str">
        <f t="shared" si="29"/>
        <v>501,502,503,504,505,</v>
      </c>
    </row>
    <row r="80" spans="1:17">
      <c r="A80" s="88">
        <v>262</v>
      </c>
      <c r="B80" s="88" t="s">
        <v>590</v>
      </c>
      <c r="C80" s="85" t="s">
        <v>606</v>
      </c>
      <c r="D80" s="73">
        <v>129</v>
      </c>
      <c r="H80" s="90"/>
      <c r="I80" s="97" t="s">
        <v>607</v>
      </c>
      <c r="J80" s="34" t="s">
        <v>411</v>
      </c>
      <c r="K80" s="97" t="s">
        <v>608</v>
      </c>
      <c r="L80" s="99">
        <v>10</v>
      </c>
      <c r="M80" s="34" t="str">
        <f t="shared" si="26"/>
        <v>213|10008</v>
      </c>
      <c r="N80" s="34" t="str">
        <f t="shared" si="27"/>
        <v>1|15|10</v>
      </c>
      <c r="O80" s="73">
        <f t="shared" si="28"/>
        <v>103</v>
      </c>
      <c r="P80" s="100" t="str">
        <f t="shared" ref="P80:P119" si="30">I80&amp;","</f>
        <v>506,</v>
      </c>
      <c r="Q80" s="55" t="str">
        <f t="shared" si="29"/>
        <v>501,502,503,504,505,506,</v>
      </c>
    </row>
    <row r="81" spans="1:17">
      <c r="A81" s="85">
        <v>271</v>
      </c>
      <c r="B81" s="85" t="s">
        <v>442</v>
      </c>
      <c r="C81" s="85" t="s">
        <v>609</v>
      </c>
      <c r="D81" s="73">
        <v>132</v>
      </c>
      <c r="H81" s="90"/>
      <c r="I81" s="97" t="s">
        <v>610</v>
      </c>
      <c r="J81" s="34" t="s">
        <v>417</v>
      </c>
      <c r="K81" s="97" t="s">
        <v>543</v>
      </c>
      <c r="L81" s="99">
        <v>20</v>
      </c>
      <c r="M81" s="34" t="str">
        <f t="shared" si="26"/>
        <v>212|18</v>
      </c>
      <c r="N81" s="34" t="str">
        <f t="shared" si="27"/>
        <v>1|15|20</v>
      </c>
      <c r="O81" s="73">
        <f t="shared" si="28"/>
        <v>103</v>
      </c>
      <c r="P81" s="100" t="str">
        <f t="shared" si="30"/>
        <v>507,</v>
      </c>
      <c r="Q81" s="55" t="str">
        <f t="shared" si="29"/>
        <v>501,502,503,504,505,506,507,</v>
      </c>
    </row>
    <row r="82" spans="1:17">
      <c r="A82" s="85">
        <v>272</v>
      </c>
      <c r="B82" s="85" t="s">
        <v>611</v>
      </c>
      <c r="C82" s="85" t="s">
        <v>612</v>
      </c>
      <c r="D82" s="73">
        <v>132</v>
      </c>
      <c r="H82" s="90"/>
      <c r="I82" s="97" t="s">
        <v>613</v>
      </c>
      <c r="J82" s="34" t="s">
        <v>419</v>
      </c>
      <c r="K82" s="97" t="s">
        <v>453</v>
      </c>
      <c r="L82" s="99">
        <v>10</v>
      </c>
      <c r="M82" s="34" t="str">
        <f t="shared" si="26"/>
        <v>221|40</v>
      </c>
      <c r="N82" s="34" t="str">
        <f t="shared" si="27"/>
        <v>1|15|10</v>
      </c>
      <c r="O82" s="73">
        <f t="shared" si="28"/>
        <v>114</v>
      </c>
      <c r="P82" s="100" t="str">
        <f t="shared" si="30"/>
        <v>508,</v>
      </c>
      <c r="Q82" s="55" t="str">
        <f t="shared" si="29"/>
        <v>501,502,503,504,505,506,507,508,</v>
      </c>
    </row>
    <row r="83" spans="1:17">
      <c r="A83" s="85">
        <v>273</v>
      </c>
      <c r="B83" s="85" t="s">
        <v>548</v>
      </c>
      <c r="C83" s="85" t="s">
        <v>609</v>
      </c>
      <c r="D83" s="73">
        <v>131</v>
      </c>
      <c r="H83" s="90"/>
      <c r="I83" s="97" t="s">
        <v>614</v>
      </c>
      <c r="J83" s="34" t="s">
        <v>419</v>
      </c>
      <c r="K83" s="97" t="s">
        <v>615</v>
      </c>
      <c r="L83" s="99">
        <v>20</v>
      </c>
      <c r="M83" s="34" t="str">
        <f t="shared" si="26"/>
        <v>221|45</v>
      </c>
      <c r="N83" s="34" t="str">
        <f t="shared" si="27"/>
        <v>1|15|20</v>
      </c>
      <c r="O83" s="73">
        <f t="shared" si="28"/>
        <v>114</v>
      </c>
      <c r="P83" s="100" t="str">
        <f t="shared" si="30"/>
        <v>509,</v>
      </c>
      <c r="Q83" s="55" t="str">
        <f t="shared" si="29"/>
        <v>501,502,503,504,505,506,507,508,509,</v>
      </c>
    </row>
    <row r="84" spans="1:17">
      <c r="A84" s="85">
        <v>274</v>
      </c>
      <c r="B84" s="113" t="s">
        <v>616</v>
      </c>
      <c r="C84" s="85"/>
      <c r="D84" s="73">
        <v>131</v>
      </c>
      <c r="H84" s="90"/>
      <c r="I84" s="97" t="s">
        <v>461</v>
      </c>
      <c r="J84" s="34" t="s">
        <v>424</v>
      </c>
      <c r="K84" s="97" t="s">
        <v>392</v>
      </c>
      <c r="L84" s="99">
        <v>10</v>
      </c>
      <c r="M84" s="34" t="str">
        <f t="shared" si="26"/>
        <v>222|20</v>
      </c>
      <c r="N84" s="34" t="str">
        <f t="shared" si="27"/>
        <v>1|15|10</v>
      </c>
      <c r="O84" s="73">
        <f t="shared" si="28"/>
        <v>114</v>
      </c>
      <c r="P84" s="100" t="str">
        <f t="shared" si="30"/>
        <v>510,</v>
      </c>
      <c r="Q84" s="55" t="str">
        <f t="shared" si="29"/>
        <v>501,502,503,504,505,506,507,508,509,510,</v>
      </c>
    </row>
    <row r="85" spans="1:17">
      <c r="A85" s="85">
        <v>275</v>
      </c>
      <c r="B85" s="85" t="s">
        <v>617</v>
      </c>
      <c r="C85" s="85" t="s">
        <v>609</v>
      </c>
      <c r="D85" s="73">
        <v>133</v>
      </c>
      <c r="H85" s="90"/>
      <c r="I85" s="97" t="s">
        <v>618</v>
      </c>
      <c r="J85" s="34" t="s">
        <v>424</v>
      </c>
      <c r="K85" s="97" t="s">
        <v>619</v>
      </c>
      <c r="L85" s="99">
        <v>20</v>
      </c>
      <c r="M85" s="34" t="str">
        <f t="shared" si="26"/>
        <v>222|23</v>
      </c>
      <c r="N85" s="34" t="str">
        <f t="shared" si="27"/>
        <v>1|15|20</v>
      </c>
      <c r="O85" s="73">
        <f t="shared" si="28"/>
        <v>114</v>
      </c>
      <c r="P85" s="100" t="str">
        <f t="shared" si="30"/>
        <v>511,</v>
      </c>
      <c r="Q85" s="55" t="str">
        <f t="shared" si="29"/>
        <v>501,502,503,504,505,506,507,508,509,510,511,</v>
      </c>
    </row>
    <row r="86" spans="1:17">
      <c r="A86" s="85">
        <v>276</v>
      </c>
      <c r="B86" s="85" t="s">
        <v>620</v>
      </c>
      <c r="C86" s="85" t="s">
        <v>621</v>
      </c>
      <c r="D86" s="73">
        <v>133</v>
      </c>
      <c r="H86" s="90"/>
      <c r="I86" s="97" t="s">
        <v>622</v>
      </c>
      <c r="J86" s="34" t="s">
        <v>587</v>
      </c>
      <c r="K86" s="97" t="s">
        <v>428</v>
      </c>
      <c r="L86" s="99">
        <v>10</v>
      </c>
      <c r="M86" s="34" t="str">
        <f>_xlfn.XLOOKUP(J86,B:B,A:A)&amp;"|"&amp;K86</f>
        <v>261|4</v>
      </c>
      <c r="N86" s="34" t="str">
        <f t="shared" si="27"/>
        <v>1|15|10</v>
      </c>
      <c r="O86" s="73">
        <f t="shared" si="28"/>
        <v>129</v>
      </c>
      <c r="P86" s="100" t="str">
        <f t="shared" si="30"/>
        <v>512,</v>
      </c>
      <c r="Q86" s="55" t="str">
        <f t="shared" si="29"/>
        <v>501,502,503,504,505,506,507,508,509,510,511,512,</v>
      </c>
    </row>
    <row r="87" spans="1:17">
      <c r="A87" s="85">
        <v>277</v>
      </c>
      <c r="B87" s="85" t="s">
        <v>623</v>
      </c>
      <c r="C87" s="85" t="s">
        <v>609</v>
      </c>
      <c r="D87" s="73">
        <v>134</v>
      </c>
      <c r="H87" s="90"/>
      <c r="I87" s="97" t="s">
        <v>624</v>
      </c>
      <c r="J87" s="34" t="s">
        <v>590</v>
      </c>
      <c r="K87" s="101">
        <v>40010</v>
      </c>
      <c r="L87" s="99">
        <v>20</v>
      </c>
      <c r="M87" s="34" t="str">
        <f t="shared" si="26"/>
        <v>262|40010</v>
      </c>
      <c r="N87" s="34" t="str">
        <f t="shared" si="27"/>
        <v>1|15|20</v>
      </c>
      <c r="O87" s="73">
        <f t="shared" si="28"/>
        <v>129</v>
      </c>
      <c r="P87" s="100" t="str">
        <f t="shared" si="30"/>
        <v>513,</v>
      </c>
      <c r="Q87" s="55" t="str">
        <f t="shared" si="29"/>
        <v>501,502,503,504,505,506,507,508,509,510,511,512,513,</v>
      </c>
    </row>
    <row r="88" spans="1:17">
      <c r="A88" s="85">
        <v>278</v>
      </c>
      <c r="B88" s="85" t="s">
        <v>625</v>
      </c>
      <c r="C88" s="85" t="s">
        <v>626</v>
      </c>
      <c r="D88" s="73">
        <v>134</v>
      </c>
      <c r="H88" s="90"/>
      <c r="I88" s="97" t="s">
        <v>627</v>
      </c>
      <c r="J88" s="34" t="s">
        <v>617</v>
      </c>
      <c r="K88" s="97" t="s">
        <v>425</v>
      </c>
      <c r="L88" s="99">
        <v>10</v>
      </c>
      <c r="M88" s="34" t="str">
        <f t="shared" si="26"/>
        <v>275|2</v>
      </c>
      <c r="N88" s="34" t="str">
        <f t="shared" si="27"/>
        <v>1|15|10</v>
      </c>
      <c r="O88" s="73">
        <f t="shared" si="28"/>
        <v>133</v>
      </c>
      <c r="P88" s="100" t="str">
        <f t="shared" si="30"/>
        <v>514,</v>
      </c>
      <c r="Q88" s="55" t="str">
        <f t="shared" si="29"/>
        <v>501,502,503,504,505,506,507,508,509,510,511,512,513,514,</v>
      </c>
    </row>
    <row r="89" spans="1:16">
      <c r="A89" s="85">
        <v>301</v>
      </c>
      <c r="B89" s="85" t="s">
        <v>628</v>
      </c>
      <c r="C89" s="85"/>
      <c r="H89" s="95"/>
      <c r="I89" s="97" t="s">
        <v>629</v>
      </c>
      <c r="J89" s="34" t="s">
        <v>523</v>
      </c>
      <c r="K89" s="97" t="s">
        <v>432</v>
      </c>
      <c r="L89" s="99">
        <v>20</v>
      </c>
      <c r="M89" s="34" t="str">
        <f t="shared" si="26"/>
        <v>136|10</v>
      </c>
      <c r="N89" s="34" t="str">
        <f t="shared" si="27"/>
        <v>1|15|20</v>
      </c>
      <c r="O89" s="73">
        <f t="shared" si="28"/>
        <v>117</v>
      </c>
      <c r="P89" s="100" t="str">
        <f t="shared" si="30"/>
        <v>515,</v>
      </c>
    </row>
    <row r="90" spans="1:17">
      <c r="A90" s="85">
        <v>302</v>
      </c>
      <c r="B90" s="85" t="s">
        <v>630</v>
      </c>
      <c r="C90" s="85"/>
      <c r="H90" s="56" t="s">
        <v>631</v>
      </c>
      <c r="I90" s="96" t="s">
        <v>632</v>
      </c>
      <c r="J90" s="105" t="s">
        <v>391</v>
      </c>
      <c r="K90" s="103" t="s">
        <v>633</v>
      </c>
      <c r="L90" s="74">
        <v>10</v>
      </c>
      <c r="M90" s="6" t="str">
        <f t="shared" si="26"/>
        <v>22|80</v>
      </c>
      <c r="N90" s="6" t="str">
        <f t="shared" si="27"/>
        <v>1|15|10</v>
      </c>
      <c r="O90" s="73">
        <f t="shared" si="28"/>
        <v>102</v>
      </c>
      <c r="P90" s="100" t="str">
        <f t="shared" si="30"/>
        <v>601,</v>
      </c>
      <c r="Q90" s="55" t="str">
        <f t="shared" si="29"/>
        <v>601,</v>
      </c>
    </row>
    <row r="91" spans="1:17">
      <c r="A91" s="85">
        <v>401</v>
      </c>
      <c r="B91" s="85" t="s">
        <v>634</v>
      </c>
      <c r="C91" s="85"/>
      <c r="H91" s="93"/>
      <c r="I91" s="96" t="s">
        <v>635</v>
      </c>
      <c r="J91" s="105" t="s">
        <v>402</v>
      </c>
      <c r="K91" s="96" t="s">
        <v>636</v>
      </c>
      <c r="L91" s="74">
        <v>10</v>
      </c>
      <c r="M91" s="6" t="str">
        <f t="shared" si="26"/>
        <v>202|1010</v>
      </c>
      <c r="N91" s="6" t="str">
        <f t="shared" si="27"/>
        <v>1|15|10</v>
      </c>
      <c r="O91" s="73">
        <f t="shared" si="28"/>
        <v>100</v>
      </c>
      <c r="P91" s="100" t="str">
        <f t="shared" si="30"/>
        <v>602,</v>
      </c>
      <c r="Q91" s="55" t="str">
        <f t="shared" si="29"/>
        <v>601,602,</v>
      </c>
    </row>
    <row r="92" spans="1:17">
      <c r="A92" s="88">
        <v>402</v>
      </c>
      <c r="B92" s="88" t="s">
        <v>637</v>
      </c>
      <c r="C92" s="85"/>
      <c r="H92" s="93"/>
      <c r="I92" s="96" t="s">
        <v>638</v>
      </c>
      <c r="J92" s="105" t="s">
        <v>402</v>
      </c>
      <c r="K92" s="96" t="s">
        <v>639</v>
      </c>
      <c r="L92" s="74">
        <v>20</v>
      </c>
      <c r="M92" s="6" t="str">
        <f t="shared" si="26"/>
        <v>202|1110</v>
      </c>
      <c r="N92" s="6" t="str">
        <f t="shared" si="27"/>
        <v>1|15|20</v>
      </c>
      <c r="O92" s="73">
        <f t="shared" si="28"/>
        <v>100</v>
      </c>
      <c r="P92" s="100" t="str">
        <f t="shared" si="30"/>
        <v>603,</v>
      </c>
      <c r="Q92" s="55" t="str">
        <f t="shared" si="29"/>
        <v>601,602,603,</v>
      </c>
    </row>
    <row r="93" spans="8:17">
      <c r="H93" s="93"/>
      <c r="I93" s="96" t="s">
        <v>640</v>
      </c>
      <c r="J93" s="105" t="s">
        <v>369</v>
      </c>
      <c r="K93" s="96" t="s">
        <v>641</v>
      </c>
      <c r="L93" s="74">
        <v>10</v>
      </c>
      <c r="M93" s="6" t="str">
        <f t="shared" si="26"/>
        <v>1|12000</v>
      </c>
      <c r="N93" s="6" t="str">
        <f t="shared" si="27"/>
        <v>1|15|10</v>
      </c>
      <c r="O93" s="73">
        <f t="shared" si="28"/>
        <v>102</v>
      </c>
      <c r="P93" s="100" t="str">
        <f t="shared" si="30"/>
        <v>604,</v>
      </c>
      <c r="Q93" s="55" t="str">
        <f t="shared" si="29"/>
        <v>601,602,603,604,</v>
      </c>
    </row>
    <row r="94" spans="8:17">
      <c r="H94" s="93"/>
      <c r="I94" s="96" t="s">
        <v>516</v>
      </c>
      <c r="J94" s="105" t="s">
        <v>411</v>
      </c>
      <c r="K94" s="96" t="s">
        <v>642</v>
      </c>
      <c r="L94" s="74">
        <v>10</v>
      </c>
      <c r="M94" s="6" t="str">
        <f t="shared" si="26"/>
        <v>213|10010</v>
      </c>
      <c r="N94" s="6" t="str">
        <f t="shared" si="27"/>
        <v>1|15|10</v>
      </c>
      <c r="O94" s="73">
        <f t="shared" si="28"/>
        <v>103</v>
      </c>
      <c r="P94" s="100" t="str">
        <f t="shared" si="30"/>
        <v>605,</v>
      </c>
      <c r="Q94" s="55" t="str">
        <f t="shared" si="29"/>
        <v>601,602,603,604,605,</v>
      </c>
    </row>
    <row r="95" spans="8:17">
      <c r="H95" s="93"/>
      <c r="I95" s="96" t="s">
        <v>643</v>
      </c>
      <c r="J95" s="105" t="s">
        <v>417</v>
      </c>
      <c r="K95" s="96" t="s">
        <v>644</v>
      </c>
      <c r="L95" s="74">
        <v>20</v>
      </c>
      <c r="M95" s="6" t="str">
        <f t="shared" si="26"/>
        <v>212|22</v>
      </c>
      <c r="N95" s="6" t="str">
        <f t="shared" si="27"/>
        <v>1|15|20</v>
      </c>
      <c r="O95" s="73">
        <f t="shared" si="28"/>
        <v>103</v>
      </c>
      <c r="P95" s="100" t="str">
        <f t="shared" si="30"/>
        <v>606,</v>
      </c>
      <c r="Q95" s="55" t="str">
        <f t="shared" si="29"/>
        <v>601,602,603,604,605,606,</v>
      </c>
    </row>
    <row r="96" spans="8:17">
      <c r="H96" s="93"/>
      <c r="I96" s="96" t="s">
        <v>645</v>
      </c>
      <c r="J96" s="105" t="s">
        <v>419</v>
      </c>
      <c r="K96" s="96" t="s">
        <v>510</v>
      </c>
      <c r="L96" s="74">
        <v>10</v>
      </c>
      <c r="M96" s="6" t="str">
        <f t="shared" si="26"/>
        <v>221|50</v>
      </c>
      <c r="N96" s="6" t="str">
        <f t="shared" si="27"/>
        <v>1|15|10</v>
      </c>
      <c r="O96" s="73">
        <f t="shared" si="28"/>
        <v>114</v>
      </c>
      <c r="P96" s="100" t="str">
        <f t="shared" si="30"/>
        <v>607,</v>
      </c>
      <c r="Q96" s="55" t="str">
        <f t="shared" si="29"/>
        <v>601,602,603,604,605,606,607,</v>
      </c>
    </row>
    <row r="97" spans="8:17">
      <c r="H97" s="93"/>
      <c r="I97" s="96" t="s">
        <v>646</v>
      </c>
      <c r="J97" s="105" t="s">
        <v>419</v>
      </c>
      <c r="K97" s="96" t="s">
        <v>647</v>
      </c>
      <c r="L97" s="74">
        <v>20</v>
      </c>
      <c r="M97" s="6" t="str">
        <f t="shared" si="26"/>
        <v>221|55</v>
      </c>
      <c r="N97" s="6" t="str">
        <f t="shared" si="27"/>
        <v>1|15|20</v>
      </c>
      <c r="O97" s="73">
        <f t="shared" si="28"/>
        <v>114</v>
      </c>
      <c r="P97" s="100" t="str">
        <f t="shared" si="30"/>
        <v>608,</v>
      </c>
      <c r="Q97" s="55" t="str">
        <f t="shared" si="29"/>
        <v>601,602,603,604,605,606,607,608,</v>
      </c>
    </row>
    <row r="98" spans="8:17">
      <c r="H98" s="93"/>
      <c r="I98" s="96" t="s">
        <v>648</v>
      </c>
      <c r="J98" s="105" t="s">
        <v>424</v>
      </c>
      <c r="K98" s="96" t="s">
        <v>531</v>
      </c>
      <c r="L98" s="74">
        <v>10</v>
      </c>
      <c r="M98" s="6" t="str">
        <f t="shared" si="26"/>
        <v>222|25</v>
      </c>
      <c r="N98" s="6" t="str">
        <f t="shared" si="27"/>
        <v>1|15|10</v>
      </c>
      <c r="O98" s="73">
        <f t="shared" si="28"/>
        <v>114</v>
      </c>
      <c r="P98" s="100" t="str">
        <f t="shared" si="30"/>
        <v>609,</v>
      </c>
      <c r="Q98" s="55" t="str">
        <f t="shared" si="29"/>
        <v>601,602,603,604,605,606,607,608,609,</v>
      </c>
    </row>
    <row r="99" spans="8:17">
      <c r="H99" s="93"/>
      <c r="I99" s="96" t="s">
        <v>519</v>
      </c>
      <c r="J99" s="105" t="s">
        <v>424</v>
      </c>
      <c r="K99" s="96" t="s">
        <v>649</v>
      </c>
      <c r="L99" s="74">
        <v>20</v>
      </c>
      <c r="M99" s="6" t="str">
        <f t="shared" si="26"/>
        <v>222|28</v>
      </c>
      <c r="N99" s="6" t="str">
        <f t="shared" si="27"/>
        <v>1|15|20</v>
      </c>
      <c r="O99" s="73">
        <f t="shared" si="28"/>
        <v>114</v>
      </c>
      <c r="P99" s="100" t="str">
        <f t="shared" si="30"/>
        <v>610,</v>
      </c>
      <c r="Q99" s="55" t="str">
        <f t="shared" si="29"/>
        <v>601,602,603,604,605,606,607,608,609,610,</v>
      </c>
    </row>
    <row r="100" spans="8:17">
      <c r="H100" s="93"/>
      <c r="I100" s="96" t="s">
        <v>650</v>
      </c>
      <c r="J100" s="6" t="s">
        <v>590</v>
      </c>
      <c r="K100" s="96" t="s">
        <v>651</v>
      </c>
      <c r="L100" s="74">
        <v>20</v>
      </c>
      <c r="M100" s="6" t="str">
        <f t="shared" si="26"/>
        <v>262|60010</v>
      </c>
      <c r="N100" s="6" t="str">
        <f t="shared" si="27"/>
        <v>1|15|20</v>
      </c>
      <c r="O100" s="73">
        <f t="shared" si="28"/>
        <v>129</v>
      </c>
      <c r="P100" s="100" t="str">
        <f t="shared" si="30"/>
        <v>611,</v>
      </c>
      <c r="Q100" s="55" t="str">
        <f t="shared" si="29"/>
        <v>601,602,603,604,605,606,607,608,609,610,611,</v>
      </c>
    </row>
    <row r="101" spans="8:17">
      <c r="H101" s="93"/>
      <c r="I101" s="96" t="s">
        <v>652</v>
      </c>
      <c r="J101" s="6" t="s">
        <v>617</v>
      </c>
      <c r="K101" s="103" t="s">
        <v>428</v>
      </c>
      <c r="L101" s="74">
        <v>10</v>
      </c>
      <c r="M101" s="6" t="str">
        <f t="shared" ref="M101:M127" si="31">_xlfn.XLOOKUP(J101,B:B,A:A)&amp;"|"&amp;K101</f>
        <v>275|4</v>
      </c>
      <c r="N101" s="6" t="str">
        <f t="shared" ref="N101:N164" si="32">"1|15|"&amp;L101</f>
        <v>1|15|10</v>
      </c>
      <c r="O101" s="73">
        <f t="shared" si="28"/>
        <v>133</v>
      </c>
      <c r="P101" s="100" t="str">
        <f t="shared" si="30"/>
        <v>612,</v>
      </c>
      <c r="Q101" s="55" t="str">
        <f t="shared" si="29"/>
        <v>601,602,603,604,605,606,607,608,609,610,611,612,</v>
      </c>
    </row>
    <row r="102" spans="8:17">
      <c r="H102" s="93"/>
      <c r="I102" s="96" t="s">
        <v>653</v>
      </c>
      <c r="J102" s="6" t="s">
        <v>523</v>
      </c>
      <c r="K102" s="96" t="s">
        <v>392</v>
      </c>
      <c r="L102" s="74">
        <v>20</v>
      </c>
      <c r="M102" s="6" t="str">
        <f t="shared" si="31"/>
        <v>136|20</v>
      </c>
      <c r="N102" s="6" t="str">
        <f t="shared" si="32"/>
        <v>1|15|20</v>
      </c>
      <c r="O102" s="73">
        <f t="shared" si="28"/>
        <v>117</v>
      </c>
      <c r="P102" s="100" t="str">
        <f t="shared" si="30"/>
        <v>613,</v>
      </c>
      <c r="Q102" s="55" t="str">
        <f t="shared" si="29"/>
        <v>601,602,603,604,605,606,607,608,609,610,611,612,613,</v>
      </c>
    </row>
    <row r="103" spans="8:17">
      <c r="H103" s="93"/>
      <c r="I103" s="96" t="s">
        <v>654</v>
      </c>
      <c r="J103" s="105" t="s">
        <v>506</v>
      </c>
      <c r="K103" s="96" t="s">
        <v>579</v>
      </c>
      <c r="L103" s="74">
        <v>20</v>
      </c>
      <c r="M103" s="6" t="str">
        <f t="shared" si="31"/>
        <v>251|15</v>
      </c>
      <c r="N103" s="6" t="str">
        <f t="shared" si="32"/>
        <v>1|15|20</v>
      </c>
      <c r="O103" s="73">
        <f t="shared" si="28"/>
        <v>109</v>
      </c>
      <c r="P103" s="100" t="str">
        <f t="shared" si="30"/>
        <v>614,</v>
      </c>
      <c r="Q103" s="55" t="str">
        <f t="shared" si="29"/>
        <v>601,602,603,604,605,606,607,608,609,610,611,612,613,614,</v>
      </c>
    </row>
    <row r="104" spans="8:16">
      <c r="H104" s="94"/>
      <c r="I104" s="96" t="s">
        <v>655</v>
      </c>
      <c r="J104" s="6" t="s">
        <v>599</v>
      </c>
      <c r="K104" s="96" t="s">
        <v>432</v>
      </c>
      <c r="L104" s="74">
        <v>20</v>
      </c>
      <c r="M104" s="6" t="str">
        <f t="shared" si="31"/>
        <v>254|10</v>
      </c>
      <c r="N104" s="6" t="str">
        <f t="shared" si="32"/>
        <v>1|15|20</v>
      </c>
      <c r="O104" s="73">
        <f t="shared" si="28"/>
        <v>109</v>
      </c>
      <c r="P104" s="100" t="str">
        <f t="shared" si="30"/>
        <v>615,</v>
      </c>
    </row>
    <row r="105" spans="8:17">
      <c r="H105" s="87" t="s">
        <v>656</v>
      </c>
      <c r="I105" s="97" t="s">
        <v>657</v>
      </c>
      <c r="J105" s="34" t="s">
        <v>391</v>
      </c>
      <c r="K105" s="97" t="s">
        <v>658</v>
      </c>
      <c r="L105" s="99">
        <v>10</v>
      </c>
      <c r="M105" s="34" t="str">
        <f t="shared" si="31"/>
        <v>22|85</v>
      </c>
      <c r="N105" s="34" t="str">
        <f t="shared" si="32"/>
        <v>1|15|10</v>
      </c>
      <c r="O105" s="73">
        <f t="shared" si="28"/>
        <v>102</v>
      </c>
      <c r="P105" s="100" t="str">
        <f t="shared" si="30"/>
        <v>701,</v>
      </c>
      <c r="Q105" s="55" t="str">
        <f t="shared" si="29"/>
        <v>701,</v>
      </c>
    </row>
    <row r="106" spans="8:17">
      <c r="H106" s="90"/>
      <c r="I106" s="97" t="s">
        <v>659</v>
      </c>
      <c r="J106" s="34" t="s">
        <v>398</v>
      </c>
      <c r="K106" s="97" t="s">
        <v>432</v>
      </c>
      <c r="L106" s="99">
        <v>20</v>
      </c>
      <c r="M106" s="34" t="str">
        <f t="shared" si="31"/>
        <v>23|10</v>
      </c>
      <c r="N106" s="34" t="str">
        <f t="shared" si="32"/>
        <v>1|15|20</v>
      </c>
      <c r="O106" s="73">
        <f t="shared" si="28"/>
        <v>139</v>
      </c>
      <c r="P106" s="100" t="str">
        <f t="shared" si="30"/>
        <v>702,</v>
      </c>
      <c r="Q106" s="55" t="str">
        <f t="shared" si="29"/>
        <v>701,702,</v>
      </c>
    </row>
    <row r="107" spans="8:17">
      <c r="H107" s="90"/>
      <c r="I107" s="97" t="s">
        <v>660</v>
      </c>
      <c r="J107" s="34" t="s">
        <v>402</v>
      </c>
      <c r="K107" s="97" t="s">
        <v>661</v>
      </c>
      <c r="L107" s="99">
        <v>10</v>
      </c>
      <c r="M107" s="34" t="str">
        <f t="shared" si="31"/>
        <v>202|1205</v>
      </c>
      <c r="N107" s="34" t="str">
        <f t="shared" si="32"/>
        <v>1|15|10</v>
      </c>
      <c r="O107" s="73">
        <f t="shared" ref="O107:O138" si="33">_xlfn.XLOOKUP(J107,B:B,D:D)</f>
        <v>100</v>
      </c>
      <c r="P107" s="100" t="str">
        <f t="shared" si="30"/>
        <v>703,</v>
      </c>
      <c r="Q107" s="55" t="str">
        <f t="shared" si="29"/>
        <v>701,702,703,</v>
      </c>
    </row>
    <row r="108" spans="8:17">
      <c r="H108" s="90"/>
      <c r="I108" s="97" t="s">
        <v>662</v>
      </c>
      <c r="J108" s="34" t="s">
        <v>402</v>
      </c>
      <c r="K108" s="97" t="s">
        <v>663</v>
      </c>
      <c r="L108" s="99">
        <v>20</v>
      </c>
      <c r="M108" s="34" t="str">
        <f t="shared" si="31"/>
        <v>202|1210</v>
      </c>
      <c r="N108" s="34" t="str">
        <f t="shared" si="32"/>
        <v>1|15|20</v>
      </c>
      <c r="O108" s="73">
        <f t="shared" si="33"/>
        <v>100</v>
      </c>
      <c r="P108" s="100" t="str">
        <f t="shared" si="30"/>
        <v>704,</v>
      </c>
      <c r="Q108" s="55" t="str">
        <f t="shared" ref="Q108:Q127" si="34">Q107&amp;P108</f>
        <v>701,702,703,704,</v>
      </c>
    </row>
    <row r="109" spans="8:17">
      <c r="H109" s="90"/>
      <c r="I109" s="97" t="s">
        <v>562</v>
      </c>
      <c r="J109" s="34" t="s">
        <v>369</v>
      </c>
      <c r="K109" s="97" t="s">
        <v>664</v>
      </c>
      <c r="L109" s="99">
        <v>10</v>
      </c>
      <c r="M109" s="34" t="str">
        <f t="shared" si="31"/>
        <v>1|15000</v>
      </c>
      <c r="N109" s="34" t="str">
        <f t="shared" si="32"/>
        <v>1|15|10</v>
      </c>
      <c r="O109" s="73">
        <f t="shared" si="33"/>
        <v>102</v>
      </c>
      <c r="P109" s="100" t="str">
        <f t="shared" si="30"/>
        <v>705,</v>
      </c>
      <c r="Q109" s="55" t="str">
        <f t="shared" si="34"/>
        <v>701,702,703,704,705,</v>
      </c>
    </row>
    <row r="110" spans="8:17">
      <c r="H110" s="90"/>
      <c r="I110" s="97" t="s">
        <v>665</v>
      </c>
      <c r="J110" s="34" t="s">
        <v>411</v>
      </c>
      <c r="K110" s="97" t="s">
        <v>666</v>
      </c>
      <c r="L110" s="99">
        <v>10</v>
      </c>
      <c r="M110" s="34" t="str">
        <f t="shared" si="31"/>
        <v>213|10011</v>
      </c>
      <c r="N110" s="34" t="str">
        <f t="shared" si="32"/>
        <v>1|15|10</v>
      </c>
      <c r="O110" s="73">
        <f t="shared" si="33"/>
        <v>103</v>
      </c>
      <c r="P110" s="100" t="str">
        <f t="shared" si="30"/>
        <v>706,</v>
      </c>
      <c r="Q110" s="55" t="str">
        <f t="shared" si="34"/>
        <v>701,702,703,704,705,706,</v>
      </c>
    </row>
    <row r="111" spans="8:17">
      <c r="H111" s="90"/>
      <c r="I111" s="97" t="s">
        <v>667</v>
      </c>
      <c r="J111" s="34" t="s">
        <v>417</v>
      </c>
      <c r="K111" s="97" t="s">
        <v>531</v>
      </c>
      <c r="L111" s="99">
        <v>20</v>
      </c>
      <c r="M111" s="34" t="str">
        <f t="shared" si="31"/>
        <v>212|25</v>
      </c>
      <c r="N111" s="34" t="str">
        <f t="shared" si="32"/>
        <v>1|15|20</v>
      </c>
      <c r="O111" s="73">
        <f t="shared" si="33"/>
        <v>103</v>
      </c>
      <c r="P111" s="100" t="str">
        <f t="shared" si="30"/>
        <v>707,</v>
      </c>
      <c r="Q111" s="55" t="str">
        <f t="shared" si="34"/>
        <v>701,702,703,704,705,706,707,</v>
      </c>
    </row>
    <row r="112" spans="8:17">
      <c r="H112" s="90"/>
      <c r="I112" s="97" t="s">
        <v>668</v>
      </c>
      <c r="J112" s="34" t="s">
        <v>419</v>
      </c>
      <c r="K112" s="97" t="s">
        <v>555</v>
      </c>
      <c r="L112" s="99">
        <v>10</v>
      </c>
      <c r="M112" s="34" t="str">
        <f t="shared" si="31"/>
        <v>221|60</v>
      </c>
      <c r="N112" s="34" t="str">
        <f t="shared" si="32"/>
        <v>1|15|10</v>
      </c>
      <c r="O112" s="73">
        <f t="shared" si="33"/>
        <v>114</v>
      </c>
      <c r="P112" s="100" t="str">
        <f t="shared" si="30"/>
        <v>708,</v>
      </c>
      <c r="Q112" s="55" t="str">
        <f t="shared" si="34"/>
        <v>701,702,703,704,705,706,707,708,</v>
      </c>
    </row>
    <row r="113" spans="8:17">
      <c r="H113" s="90"/>
      <c r="I113" s="97" t="s">
        <v>669</v>
      </c>
      <c r="J113" s="34" t="s">
        <v>419</v>
      </c>
      <c r="K113" s="97" t="s">
        <v>670</v>
      </c>
      <c r="L113" s="99">
        <v>20</v>
      </c>
      <c r="M113" s="34" t="str">
        <f t="shared" si="31"/>
        <v>221|65</v>
      </c>
      <c r="N113" s="34" t="str">
        <f t="shared" si="32"/>
        <v>1|15|20</v>
      </c>
      <c r="O113" s="73">
        <f t="shared" si="33"/>
        <v>114</v>
      </c>
      <c r="P113" s="100" t="str">
        <f t="shared" si="30"/>
        <v>709,</v>
      </c>
      <c r="Q113" s="55" t="str">
        <f t="shared" si="34"/>
        <v>701,702,703,704,705,706,707,708,709,</v>
      </c>
    </row>
    <row r="114" spans="8:17">
      <c r="H114" s="90"/>
      <c r="I114" s="97" t="s">
        <v>565</v>
      </c>
      <c r="J114" s="34" t="s">
        <v>424</v>
      </c>
      <c r="K114" s="97" t="s">
        <v>439</v>
      </c>
      <c r="L114" s="99">
        <v>10</v>
      </c>
      <c r="M114" s="34" t="str">
        <f t="shared" si="31"/>
        <v>222|30</v>
      </c>
      <c r="N114" s="34" t="str">
        <f t="shared" si="32"/>
        <v>1|15|10</v>
      </c>
      <c r="O114" s="73">
        <f t="shared" si="33"/>
        <v>114</v>
      </c>
      <c r="P114" s="100" t="str">
        <f t="shared" si="30"/>
        <v>710,</v>
      </c>
      <c r="Q114" s="55" t="str">
        <f t="shared" si="34"/>
        <v>701,702,703,704,705,706,707,708,709,710,</v>
      </c>
    </row>
    <row r="115" spans="8:17">
      <c r="H115" s="90"/>
      <c r="I115" s="97" t="s">
        <v>671</v>
      </c>
      <c r="J115" s="34" t="s">
        <v>424</v>
      </c>
      <c r="K115" s="97" t="s">
        <v>672</v>
      </c>
      <c r="L115" s="99">
        <v>20</v>
      </c>
      <c r="M115" s="34" t="str">
        <f t="shared" si="31"/>
        <v>222|33</v>
      </c>
      <c r="N115" s="34" t="str">
        <f t="shared" si="32"/>
        <v>1|15|20</v>
      </c>
      <c r="O115" s="73">
        <f t="shared" si="33"/>
        <v>114</v>
      </c>
      <c r="P115" s="100" t="str">
        <f t="shared" si="30"/>
        <v>711,</v>
      </c>
      <c r="Q115" s="55" t="str">
        <f t="shared" si="34"/>
        <v>701,702,703,704,705,706,707,708,709,710,711,</v>
      </c>
    </row>
    <row r="116" spans="8:17">
      <c r="H116" s="90"/>
      <c r="I116" s="97" t="s">
        <v>673</v>
      </c>
      <c r="J116" s="102" t="s">
        <v>623</v>
      </c>
      <c r="K116" s="97" t="s">
        <v>425</v>
      </c>
      <c r="L116" s="99">
        <v>10</v>
      </c>
      <c r="M116" s="34" t="str">
        <f t="shared" si="31"/>
        <v>277|2</v>
      </c>
      <c r="N116" s="34" t="str">
        <f t="shared" si="32"/>
        <v>1|15|10</v>
      </c>
      <c r="O116" s="73">
        <f t="shared" si="33"/>
        <v>134</v>
      </c>
      <c r="P116" s="100" t="str">
        <f t="shared" si="30"/>
        <v>712,</v>
      </c>
      <c r="Q116" s="55" t="str">
        <f t="shared" si="34"/>
        <v>701,702,703,704,705,706,707,708,709,710,711,712,</v>
      </c>
    </row>
    <row r="117" spans="8:17">
      <c r="H117" s="90"/>
      <c r="I117" s="97" t="s">
        <v>674</v>
      </c>
      <c r="J117" s="102" t="s">
        <v>465</v>
      </c>
      <c r="K117" s="97" t="s">
        <v>432</v>
      </c>
      <c r="L117" s="99">
        <v>20</v>
      </c>
      <c r="M117" s="34" t="str">
        <f t="shared" si="31"/>
        <v>113|10</v>
      </c>
      <c r="N117" s="34" t="str">
        <f t="shared" si="32"/>
        <v>1|15|20</v>
      </c>
      <c r="O117" s="73">
        <f t="shared" si="33"/>
        <v>128</v>
      </c>
      <c r="P117" s="100" t="str">
        <f t="shared" si="30"/>
        <v>713,</v>
      </c>
      <c r="Q117" s="55" t="str">
        <f t="shared" si="34"/>
        <v>701,702,703,704,705,706,707,708,709,710,711,712,713,</v>
      </c>
    </row>
    <row r="118" spans="8:17">
      <c r="H118" s="90"/>
      <c r="I118" s="97" t="s">
        <v>675</v>
      </c>
      <c r="J118" s="102" t="s">
        <v>472</v>
      </c>
      <c r="K118" s="97" t="s">
        <v>399</v>
      </c>
      <c r="L118" s="99">
        <v>10</v>
      </c>
      <c r="M118" s="34" t="str">
        <f t="shared" si="31"/>
        <v>115|5</v>
      </c>
      <c r="N118" s="34" t="str">
        <f t="shared" si="32"/>
        <v>1|15|10</v>
      </c>
      <c r="O118" s="73">
        <f t="shared" si="33"/>
        <v>118</v>
      </c>
      <c r="P118" s="100" t="str">
        <f t="shared" si="30"/>
        <v>714,</v>
      </c>
      <c r="Q118" s="55" t="str">
        <f t="shared" si="34"/>
        <v>701,702,703,704,705,706,707,708,709,710,711,712,713,714,</v>
      </c>
    </row>
    <row r="119" spans="8:16">
      <c r="H119" s="95"/>
      <c r="I119" s="97" t="s">
        <v>676</v>
      </c>
      <c r="J119" s="102" t="s">
        <v>588</v>
      </c>
      <c r="K119" s="97" t="s">
        <v>432</v>
      </c>
      <c r="L119" s="99">
        <v>20</v>
      </c>
      <c r="M119" s="34" t="str">
        <f t="shared" si="31"/>
        <v>244|10</v>
      </c>
      <c r="N119" s="34" t="str">
        <f t="shared" si="32"/>
        <v>1|15|20</v>
      </c>
      <c r="O119" s="73">
        <f t="shared" si="33"/>
        <v>123</v>
      </c>
      <c r="P119" s="100" t="str">
        <f t="shared" si="30"/>
        <v>715,</v>
      </c>
    </row>
    <row r="120" spans="8:17">
      <c r="H120" s="56" t="s">
        <v>677</v>
      </c>
      <c r="I120" s="96" t="s">
        <v>678</v>
      </c>
      <c r="J120" s="105" t="s">
        <v>391</v>
      </c>
      <c r="K120" s="103" t="s">
        <v>679</v>
      </c>
      <c r="L120" s="74">
        <v>10</v>
      </c>
      <c r="M120" s="6" t="str">
        <f>_xlfn.XLOOKUP(J120,B:B,A:A)&amp;"|"&amp;K120</f>
        <v>22|90</v>
      </c>
      <c r="N120" s="6" t="str">
        <f t="shared" si="32"/>
        <v>1|15|10</v>
      </c>
      <c r="O120" s="73">
        <f t="shared" si="33"/>
        <v>102</v>
      </c>
      <c r="P120" s="100" t="str">
        <f t="shared" ref="P120:P151" si="35">I120&amp;","</f>
        <v>801,</v>
      </c>
      <c r="Q120" s="55" t="str">
        <f>Q119&amp;P120</f>
        <v>801,</v>
      </c>
    </row>
    <row r="121" spans="8:17">
      <c r="H121" s="93"/>
      <c r="I121" s="96" t="s">
        <v>680</v>
      </c>
      <c r="J121" s="105" t="s">
        <v>402</v>
      </c>
      <c r="K121" s="96" t="s">
        <v>681</v>
      </c>
      <c r="L121" s="74">
        <v>10</v>
      </c>
      <c r="M121" s="6" t="str">
        <f>_xlfn.XLOOKUP(J121,B:B,A:A)&amp;"|"&amp;K121</f>
        <v>202|1305</v>
      </c>
      <c r="N121" s="6" t="str">
        <f t="shared" si="32"/>
        <v>1|15|10</v>
      </c>
      <c r="O121" s="73">
        <f t="shared" si="33"/>
        <v>100</v>
      </c>
      <c r="P121" s="100" t="str">
        <f t="shared" si="35"/>
        <v>802,</v>
      </c>
      <c r="Q121" s="55" t="str">
        <f t="shared" si="34"/>
        <v>801,802,</v>
      </c>
    </row>
    <row r="122" spans="8:17">
      <c r="H122" s="93"/>
      <c r="I122" s="96" t="s">
        <v>682</v>
      </c>
      <c r="J122" s="105" t="s">
        <v>402</v>
      </c>
      <c r="K122" s="96" t="s">
        <v>683</v>
      </c>
      <c r="L122" s="74">
        <v>20</v>
      </c>
      <c r="M122" s="6" t="str">
        <f>_xlfn.XLOOKUP(J122,B:B,A:A)&amp;"|"&amp;K122</f>
        <v>202|1310</v>
      </c>
      <c r="N122" s="6" t="str">
        <f t="shared" si="32"/>
        <v>1|15|20</v>
      </c>
      <c r="O122" s="73">
        <f t="shared" si="33"/>
        <v>100</v>
      </c>
      <c r="P122" s="100" t="str">
        <f t="shared" si="35"/>
        <v>803,</v>
      </c>
      <c r="Q122" s="55" t="str">
        <f t="shared" si="34"/>
        <v>801,802,803,</v>
      </c>
    </row>
    <row r="123" spans="8:17">
      <c r="H123" s="93"/>
      <c r="I123" s="96" t="s">
        <v>684</v>
      </c>
      <c r="J123" s="105" t="s">
        <v>369</v>
      </c>
      <c r="K123" s="96" t="s">
        <v>464</v>
      </c>
      <c r="L123" s="74">
        <v>10</v>
      </c>
      <c r="M123" s="6" t="str">
        <f>_xlfn.XLOOKUP(J123,B:B,A:A)&amp;"|"&amp;K123</f>
        <v>1|3000</v>
      </c>
      <c r="N123" s="6" t="str">
        <f t="shared" si="32"/>
        <v>1|15|10</v>
      </c>
      <c r="O123" s="73">
        <f t="shared" si="33"/>
        <v>102</v>
      </c>
      <c r="P123" s="100" t="str">
        <f t="shared" si="35"/>
        <v>804,</v>
      </c>
      <c r="Q123" s="55" t="str">
        <f t="shared" si="34"/>
        <v>801,802,803,804,</v>
      </c>
    </row>
    <row r="124" spans="8:17">
      <c r="H124" s="93"/>
      <c r="I124" s="96" t="s">
        <v>685</v>
      </c>
      <c r="J124" s="105" t="s">
        <v>411</v>
      </c>
      <c r="K124" s="96" t="s">
        <v>686</v>
      </c>
      <c r="L124" s="74">
        <v>10</v>
      </c>
      <c r="M124" s="6" t="str">
        <f>_xlfn.XLOOKUP(J124,B:B,A:A)&amp;"|"&amp;K124</f>
        <v>213|10012</v>
      </c>
      <c r="N124" s="6" t="str">
        <f t="shared" si="32"/>
        <v>1|15|10</v>
      </c>
      <c r="O124" s="73">
        <f t="shared" si="33"/>
        <v>103</v>
      </c>
      <c r="P124" s="100" t="str">
        <f t="shared" si="35"/>
        <v>805,</v>
      </c>
      <c r="Q124" s="55" t="str">
        <f t="shared" si="34"/>
        <v>801,802,803,804,805,</v>
      </c>
    </row>
    <row r="125" spans="8:17">
      <c r="H125" s="93"/>
      <c r="I125" s="96" t="s">
        <v>687</v>
      </c>
      <c r="J125" s="105" t="s">
        <v>417</v>
      </c>
      <c r="K125" s="96" t="s">
        <v>551</v>
      </c>
      <c r="L125" s="74">
        <v>20</v>
      </c>
      <c r="M125" s="6" t="str">
        <f>_xlfn.XLOOKUP(J125,B:B,A:A)&amp;"|"&amp;K125</f>
        <v>212|3</v>
      </c>
      <c r="N125" s="6" t="str">
        <f t="shared" si="32"/>
        <v>1|15|20</v>
      </c>
      <c r="O125" s="73">
        <f t="shared" si="33"/>
        <v>103</v>
      </c>
      <c r="P125" s="100" t="str">
        <f t="shared" si="35"/>
        <v>806,</v>
      </c>
      <c r="Q125" s="55" t="str">
        <f t="shared" si="34"/>
        <v>801,802,803,804,805,806,</v>
      </c>
    </row>
    <row r="126" spans="8:17">
      <c r="H126" s="93"/>
      <c r="I126" s="96" t="s">
        <v>688</v>
      </c>
      <c r="J126" s="105" t="s">
        <v>419</v>
      </c>
      <c r="K126" s="96" t="s">
        <v>399</v>
      </c>
      <c r="L126" s="74">
        <v>10</v>
      </c>
      <c r="M126" s="6" t="str">
        <f>_xlfn.XLOOKUP(J126,B:B,A:A)&amp;"|"&amp;K126</f>
        <v>221|5</v>
      </c>
      <c r="N126" s="6" t="str">
        <f t="shared" si="32"/>
        <v>1|15|10</v>
      </c>
      <c r="O126" s="73">
        <f t="shared" si="33"/>
        <v>114</v>
      </c>
      <c r="P126" s="100" t="str">
        <f t="shared" si="35"/>
        <v>807,</v>
      </c>
      <c r="Q126" s="55" t="str">
        <f t="shared" si="34"/>
        <v>801,802,803,804,805,806,807,</v>
      </c>
    </row>
    <row r="127" spans="8:17">
      <c r="H127" s="93"/>
      <c r="I127" s="96" t="s">
        <v>689</v>
      </c>
      <c r="J127" s="105" t="s">
        <v>419</v>
      </c>
      <c r="K127" s="96" t="s">
        <v>432</v>
      </c>
      <c r="L127" s="74">
        <v>20</v>
      </c>
      <c r="M127" s="6" t="str">
        <f>_xlfn.XLOOKUP(J127,B:B,A:A)&amp;"|"&amp;K127</f>
        <v>221|10</v>
      </c>
      <c r="N127" s="6" t="str">
        <f t="shared" si="32"/>
        <v>1|15|20</v>
      </c>
      <c r="O127" s="73">
        <f t="shared" si="33"/>
        <v>114</v>
      </c>
      <c r="P127" s="100" t="str">
        <f t="shared" si="35"/>
        <v>808,</v>
      </c>
      <c r="Q127" s="55" t="str">
        <f t="shared" si="34"/>
        <v>801,802,803,804,805,806,807,808,</v>
      </c>
    </row>
    <row r="128" spans="8:17">
      <c r="H128" s="93"/>
      <c r="I128" s="96" t="s">
        <v>690</v>
      </c>
      <c r="J128" s="105" t="s">
        <v>424</v>
      </c>
      <c r="K128" s="96" t="s">
        <v>551</v>
      </c>
      <c r="L128" s="74">
        <v>10</v>
      </c>
      <c r="M128" s="6" t="str">
        <f>_xlfn.XLOOKUP(J128,B:B,A:A)&amp;"|"&amp;K128</f>
        <v>222|3</v>
      </c>
      <c r="N128" s="6" t="str">
        <f t="shared" si="32"/>
        <v>1|15|10</v>
      </c>
      <c r="O128" s="73">
        <f t="shared" si="33"/>
        <v>114</v>
      </c>
      <c r="P128" s="100" t="str">
        <f t="shared" si="35"/>
        <v>809,</v>
      </c>
      <c r="Q128" s="55" t="str">
        <f t="shared" ref="Q128:Q159" si="36">Q127&amp;P128</f>
        <v>801,802,803,804,805,806,807,808,809,</v>
      </c>
    </row>
    <row r="129" spans="8:17">
      <c r="H129" s="93"/>
      <c r="I129" s="96" t="s">
        <v>601</v>
      </c>
      <c r="J129" s="105" t="s">
        <v>424</v>
      </c>
      <c r="K129" s="96" t="s">
        <v>399</v>
      </c>
      <c r="L129" s="74">
        <v>20</v>
      </c>
      <c r="M129" s="6" t="str">
        <f>_xlfn.XLOOKUP(J129,B:B,A:A)&amp;"|"&amp;K129</f>
        <v>222|5</v>
      </c>
      <c r="N129" s="6" t="str">
        <f t="shared" si="32"/>
        <v>1|15|20</v>
      </c>
      <c r="O129" s="73">
        <f t="shared" si="33"/>
        <v>114</v>
      </c>
      <c r="P129" s="100" t="str">
        <f t="shared" si="35"/>
        <v>810,</v>
      </c>
      <c r="Q129" s="55" t="str">
        <f t="shared" si="36"/>
        <v>801,802,803,804,805,806,807,808,809,810,</v>
      </c>
    </row>
    <row r="130" spans="8:17">
      <c r="H130" s="93"/>
      <c r="I130" s="96" t="s">
        <v>691</v>
      </c>
      <c r="J130" s="114" t="s">
        <v>588</v>
      </c>
      <c r="K130" s="96" t="s">
        <v>551</v>
      </c>
      <c r="L130" s="74">
        <v>20</v>
      </c>
      <c r="M130" s="6" t="str">
        <f>_xlfn.XLOOKUP(J130,B:B,A:A)&amp;"|"&amp;K130</f>
        <v>244|3</v>
      </c>
      <c r="N130" s="6" t="str">
        <f t="shared" si="32"/>
        <v>1|15|20</v>
      </c>
      <c r="O130" s="73">
        <f t="shared" si="33"/>
        <v>123</v>
      </c>
      <c r="P130" s="100" t="str">
        <f t="shared" si="35"/>
        <v>811,</v>
      </c>
      <c r="Q130" s="55" t="str">
        <f t="shared" si="36"/>
        <v>801,802,803,804,805,806,807,808,809,810,811,</v>
      </c>
    </row>
    <row r="131" spans="8:17">
      <c r="H131" s="93"/>
      <c r="I131" s="96" t="s">
        <v>692</v>
      </c>
      <c r="J131" s="114" t="s">
        <v>472</v>
      </c>
      <c r="K131" s="96" t="s">
        <v>551</v>
      </c>
      <c r="L131" s="74">
        <v>10</v>
      </c>
      <c r="M131" s="6" t="str">
        <f>_xlfn.XLOOKUP(J131,B:B,A:A)&amp;"|"&amp;K131</f>
        <v>115|3</v>
      </c>
      <c r="N131" s="6" t="str">
        <f t="shared" si="32"/>
        <v>1|15|10</v>
      </c>
      <c r="O131" s="73">
        <f t="shared" si="33"/>
        <v>118</v>
      </c>
      <c r="P131" s="100" t="str">
        <f t="shared" si="35"/>
        <v>812,</v>
      </c>
      <c r="Q131" s="55" t="str">
        <f t="shared" si="36"/>
        <v>801,802,803,804,805,806,807,808,809,810,811,812,</v>
      </c>
    </row>
    <row r="132" spans="8:17">
      <c r="H132" s="93"/>
      <c r="I132" s="96" t="s">
        <v>693</v>
      </c>
      <c r="J132" s="114" t="s">
        <v>381</v>
      </c>
      <c r="K132" s="96" t="s">
        <v>694</v>
      </c>
      <c r="L132" s="74">
        <v>20</v>
      </c>
      <c r="M132" s="6" t="str">
        <f>_xlfn.XLOOKUP(J132,B:B,A:A)&amp;"|"&amp;K132</f>
        <v>4|500</v>
      </c>
      <c r="N132" s="6" t="str">
        <f t="shared" si="32"/>
        <v>1|15|20</v>
      </c>
      <c r="O132" s="73">
        <f t="shared" si="33"/>
        <v>102</v>
      </c>
      <c r="P132" s="100" t="str">
        <f t="shared" si="35"/>
        <v>813,</v>
      </c>
      <c r="Q132" s="55" t="str">
        <f t="shared" si="36"/>
        <v>801,802,803,804,805,806,807,808,809,810,811,812,813,</v>
      </c>
    </row>
    <row r="133" spans="8:17">
      <c r="H133" s="93"/>
      <c r="I133" s="96" t="s">
        <v>695</v>
      </c>
      <c r="J133" s="114" t="s">
        <v>396</v>
      </c>
      <c r="K133" s="96" t="s">
        <v>551</v>
      </c>
      <c r="L133" s="74">
        <v>10</v>
      </c>
      <c r="M133" s="6" t="str">
        <f>_xlfn.XLOOKUP(J133,B:B,A:A)&amp;"|"&amp;K133</f>
        <v>7|3</v>
      </c>
      <c r="N133" s="6" t="str">
        <f t="shared" si="32"/>
        <v>1|15|10</v>
      </c>
      <c r="O133" s="73">
        <f t="shared" si="33"/>
        <v>125</v>
      </c>
      <c r="P133" s="100" t="str">
        <f t="shared" si="35"/>
        <v>814,</v>
      </c>
      <c r="Q133" s="55" t="str">
        <f t="shared" si="36"/>
        <v>801,802,803,804,805,806,807,808,809,810,811,812,813,814,</v>
      </c>
    </row>
    <row r="134" spans="8:16">
      <c r="H134" s="94"/>
      <c r="I134" s="96" t="s">
        <v>696</v>
      </c>
      <c r="J134" s="114" t="s">
        <v>396</v>
      </c>
      <c r="K134" s="96" t="s">
        <v>421</v>
      </c>
      <c r="L134" s="74">
        <v>20</v>
      </c>
      <c r="M134" s="6" t="str">
        <f>_xlfn.XLOOKUP(J134,B:B,A:A)&amp;"|"&amp;K134</f>
        <v>7|6</v>
      </c>
      <c r="N134" s="6" t="str">
        <f t="shared" si="32"/>
        <v>1|15|20</v>
      </c>
      <c r="O134" s="73">
        <f t="shared" si="33"/>
        <v>125</v>
      </c>
      <c r="P134" s="100" t="str">
        <f t="shared" si="35"/>
        <v>815,</v>
      </c>
    </row>
    <row r="135" spans="8:17">
      <c r="H135" s="87" t="s">
        <v>697</v>
      </c>
      <c r="I135" s="97" t="s">
        <v>698</v>
      </c>
      <c r="J135" s="34" t="s">
        <v>391</v>
      </c>
      <c r="K135" s="97" t="s">
        <v>699</v>
      </c>
      <c r="L135" s="99">
        <v>10</v>
      </c>
      <c r="M135" s="34" t="str">
        <f>_xlfn.XLOOKUP(J135,B:B,A:A)&amp;"|"&amp;K135</f>
        <v>22|93</v>
      </c>
      <c r="N135" s="34" t="str">
        <f t="shared" si="32"/>
        <v>1|15|10</v>
      </c>
      <c r="O135" s="73">
        <f t="shared" si="33"/>
        <v>102</v>
      </c>
      <c r="P135" s="100" t="str">
        <f t="shared" si="35"/>
        <v>901,</v>
      </c>
      <c r="Q135" s="55" t="str">
        <f t="shared" si="36"/>
        <v>901,</v>
      </c>
    </row>
    <row r="136" spans="8:17">
      <c r="H136" s="90"/>
      <c r="I136" s="97" t="s">
        <v>700</v>
      </c>
      <c r="J136" s="34" t="s">
        <v>398</v>
      </c>
      <c r="K136" s="97" t="s">
        <v>701</v>
      </c>
      <c r="L136" s="99">
        <v>20</v>
      </c>
      <c r="M136" s="34" t="str">
        <f>_xlfn.XLOOKUP(J136,B:B,A:A)&amp;"|"&amp;K136</f>
        <v>23|11</v>
      </c>
      <c r="N136" s="34" t="str">
        <f t="shared" si="32"/>
        <v>1|15|20</v>
      </c>
      <c r="O136" s="73">
        <f t="shared" si="33"/>
        <v>139</v>
      </c>
      <c r="P136" s="100" t="str">
        <f t="shared" si="35"/>
        <v>902,</v>
      </c>
      <c r="Q136" s="55" t="str">
        <f t="shared" si="36"/>
        <v>901,902,</v>
      </c>
    </row>
    <row r="137" spans="8:17">
      <c r="H137" s="90"/>
      <c r="I137" s="97" t="s">
        <v>702</v>
      </c>
      <c r="J137" s="34" t="s">
        <v>402</v>
      </c>
      <c r="K137" s="97" t="s">
        <v>703</v>
      </c>
      <c r="L137" s="99">
        <v>10</v>
      </c>
      <c r="M137" s="34" t="str">
        <f>_xlfn.XLOOKUP(J137,B:B,A:A)&amp;"|"&amp;K137</f>
        <v>202|1405</v>
      </c>
      <c r="N137" s="34" t="str">
        <f t="shared" si="32"/>
        <v>1|15|10</v>
      </c>
      <c r="O137" s="73">
        <f t="shared" si="33"/>
        <v>100</v>
      </c>
      <c r="P137" s="100" t="str">
        <f t="shared" si="35"/>
        <v>903,</v>
      </c>
      <c r="Q137" s="55" t="str">
        <f t="shared" si="36"/>
        <v>901,902,903,</v>
      </c>
    </row>
    <row r="138" spans="8:17">
      <c r="H138" s="90"/>
      <c r="I138" s="97" t="s">
        <v>704</v>
      </c>
      <c r="J138" s="34" t="s">
        <v>402</v>
      </c>
      <c r="K138" s="97" t="s">
        <v>705</v>
      </c>
      <c r="L138" s="99">
        <v>20</v>
      </c>
      <c r="M138" s="34" t="str">
        <f>_xlfn.XLOOKUP(J138,B:B,A:A)&amp;"|"&amp;K138</f>
        <v>202|1410</v>
      </c>
      <c r="N138" s="34" t="str">
        <f t="shared" si="32"/>
        <v>1|15|20</v>
      </c>
      <c r="O138" s="73">
        <f t="shared" si="33"/>
        <v>100</v>
      </c>
      <c r="P138" s="100" t="str">
        <f t="shared" si="35"/>
        <v>904,</v>
      </c>
      <c r="Q138" s="55" t="str">
        <f t="shared" si="36"/>
        <v>901,902,903,904,</v>
      </c>
    </row>
    <row r="139" spans="8:17">
      <c r="H139" s="90"/>
      <c r="I139" s="97" t="s">
        <v>706</v>
      </c>
      <c r="J139" s="34" t="s">
        <v>369</v>
      </c>
      <c r="K139" s="97" t="s">
        <v>707</v>
      </c>
      <c r="L139" s="99">
        <v>10</v>
      </c>
      <c r="M139" s="34" t="str">
        <f>_xlfn.XLOOKUP(J139,B:B,A:A)&amp;"|"&amp;K139</f>
        <v>1|6000</v>
      </c>
      <c r="N139" s="34" t="str">
        <f t="shared" si="32"/>
        <v>1|15|10</v>
      </c>
      <c r="O139" s="73">
        <f t="shared" ref="O139:O170" si="37">_xlfn.XLOOKUP(J139,B:B,D:D)</f>
        <v>102</v>
      </c>
      <c r="P139" s="100" t="str">
        <f t="shared" si="35"/>
        <v>905,</v>
      </c>
      <c r="Q139" s="55" t="str">
        <f t="shared" si="36"/>
        <v>901,902,903,904,905,</v>
      </c>
    </row>
    <row r="140" spans="8:17">
      <c r="H140" s="90"/>
      <c r="I140" s="97" t="s">
        <v>708</v>
      </c>
      <c r="J140" s="34" t="s">
        <v>417</v>
      </c>
      <c r="K140" s="97" t="s">
        <v>421</v>
      </c>
      <c r="L140" s="99">
        <v>20</v>
      </c>
      <c r="M140" s="34" t="str">
        <f>_xlfn.XLOOKUP(J140,B:B,A:A)&amp;"|"&amp;K140</f>
        <v>212|6</v>
      </c>
      <c r="N140" s="34" t="str">
        <f t="shared" si="32"/>
        <v>1|15|20</v>
      </c>
      <c r="O140" s="73">
        <f t="shared" si="37"/>
        <v>103</v>
      </c>
      <c r="P140" s="100" t="str">
        <f t="shared" si="35"/>
        <v>906,</v>
      </c>
      <c r="Q140" s="55" t="str">
        <f t="shared" si="36"/>
        <v>901,902,903,904,905,906,</v>
      </c>
    </row>
    <row r="141" spans="8:17">
      <c r="H141" s="90"/>
      <c r="I141" s="97" t="s">
        <v>709</v>
      </c>
      <c r="J141" s="34" t="s">
        <v>419</v>
      </c>
      <c r="K141" s="97" t="s">
        <v>579</v>
      </c>
      <c r="L141" s="99">
        <v>10</v>
      </c>
      <c r="M141" s="34" t="str">
        <f>_xlfn.XLOOKUP(J141,B:B,A:A)&amp;"|"&amp;K141</f>
        <v>221|15</v>
      </c>
      <c r="N141" s="34" t="str">
        <f t="shared" si="32"/>
        <v>1|15|10</v>
      </c>
      <c r="O141" s="73">
        <f t="shared" si="37"/>
        <v>114</v>
      </c>
      <c r="P141" s="100" t="str">
        <f t="shared" si="35"/>
        <v>907,</v>
      </c>
      <c r="Q141" s="55" t="str">
        <f t="shared" si="36"/>
        <v>901,902,903,904,905,906,907,</v>
      </c>
    </row>
    <row r="142" spans="8:17">
      <c r="H142" s="90"/>
      <c r="I142" s="97" t="s">
        <v>710</v>
      </c>
      <c r="J142" s="34" t="s">
        <v>419</v>
      </c>
      <c r="K142" s="97" t="s">
        <v>392</v>
      </c>
      <c r="L142" s="99">
        <v>20</v>
      </c>
      <c r="M142" s="34" t="str">
        <f>_xlfn.XLOOKUP(J142,B:B,A:A)&amp;"|"&amp;K142</f>
        <v>221|20</v>
      </c>
      <c r="N142" s="34" t="str">
        <f t="shared" si="32"/>
        <v>1|15|20</v>
      </c>
      <c r="O142" s="73">
        <f t="shared" si="37"/>
        <v>114</v>
      </c>
      <c r="P142" s="100" t="str">
        <f t="shared" si="35"/>
        <v>908,</v>
      </c>
      <c r="Q142" s="55" t="str">
        <f t="shared" si="36"/>
        <v>901,902,903,904,905,906,907,908,</v>
      </c>
    </row>
    <row r="143" spans="8:17">
      <c r="H143" s="90"/>
      <c r="I143" s="97" t="s">
        <v>711</v>
      </c>
      <c r="J143" s="34" t="s">
        <v>424</v>
      </c>
      <c r="K143" s="97" t="s">
        <v>513</v>
      </c>
      <c r="L143" s="99">
        <v>10</v>
      </c>
      <c r="M143" s="34" t="str">
        <f>_xlfn.XLOOKUP(J143,B:B,A:A)&amp;"|"&amp;K143</f>
        <v>222|7</v>
      </c>
      <c r="N143" s="34" t="str">
        <f t="shared" si="32"/>
        <v>1|15|10</v>
      </c>
      <c r="O143" s="73">
        <f t="shared" si="37"/>
        <v>114</v>
      </c>
      <c r="P143" s="100" t="str">
        <f t="shared" si="35"/>
        <v>909,</v>
      </c>
      <c r="Q143" s="55" t="str">
        <f t="shared" si="36"/>
        <v>901,902,903,904,905,906,907,908,909,</v>
      </c>
    </row>
    <row r="144" spans="8:17">
      <c r="H144" s="90"/>
      <c r="I144" s="97" t="s">
        <v>604</v>
      </c>
      <c r="J144" s="34" t="s">
        <v>424</v>
      </c>
      <c r="K144" s="97" t="s">
        <v>432</v>
      </c>
      <c r="L144" s="99">
        <v>20</v>
      </c>
      <c r="M144" s="34" t="str">
        <f>_xlfn.XLOOKUP(J144,B:B,A:A)&amp;"|"&amp;K144</f>
        <v>222|10</v>
      </c>
      <c r="N144" s="34" t="str">
        <f t="shared" si="32"/>
        <v>1|15|20</v>
      </c>
      <c r="O144" s="73">
        <f t="shared" si="37"/>
        <v>114</v>
      </c>
      <c r="P144" s="100" t="str">
        <f t="shared" si="35"/>
        <v>910,</v>
      </c>
      <c r="Q144" s="55" t="str">
        <f t="shared" si="36"/>
        <v>901,902,903,904,905,906,907,908,909,910,</v>
      </c>
    </row>
    <row r="145" spans="8:17">
      <c r="H145" s="90"/>
      <c r="I145" s="97" t="s">
        <v>712</v>
      </c>
      <c r="J145" s="102" t="s">
        <v>400</v>
      </c>
      <c r="K145" s="97" t="s">
        <v>551</v>
      </c>
      <c r="L145" s="99">
        <v>10</v>
      </c>
      <c r="M145" s="34" t="str">
        <f>_xlfn.XLOOKUP(J145,B:B,A:A)&amp;"|"&amp;K145</f>
        <v>8|3</v>
      </c>
      <c r="N145" s="34" t="str">
        <f t="shared" si="32"/>
        <v>1|15|10</v>
      </c>
      <c r="O145" s="73">
        <f t="shared" si="37"/>
        <v>125</v>
      </c>
      <c r="P145" s="100" t="str">
        <f t="shared" si="35"/>
        <v>911,</v>
      </c>
      <c r="Q145" s="55" t="str">
        <f t="shared" si="36"/>
        <v>901,902,903,904,905,906,907,908,909,910,911,</v>
      </c>
    </row>
    <row r="146" spans="8:17">
      <c r="H146" s="90"/>
      <c r="I146" s="97" t="s">
        <v>713</v>
      </c>
      <c r="J146" s="102" t="s">
        <v>400</v>
      </c>
      <c r="K146" s="97" t="s">
        <v>399</v>
      </c>
      <c r="L146" s="99">
        <v>20</v>
      </c>
      <c r="M146" s="34" t="str">
        <f>_xlfn.XLOOKUP(J146,B:B,A:A)&amp;"|"&amp;K146</f>
        <v>8|5</v>
      </c>
      <c r="N146" s="34" t="str">
        <f t="shared" si="32"/>
        <v>1|15|20</v>
      </c>
      <c r="O146" s="73">
        <f t="shared" si="37"/>
        <v>125</v>
      </c>
      <c r="P146" s="100" t="str">
        <f t="shared" si="35"/>
        <v>912,</v>
      </c>
      <c r="Q146" s="55" t="str">
        <f t="shared" si="36"/>
        <v>901,902,903,904,905,906,907,908,909,910,911,912,</v>
      </c>
    </row>
    <row r="147" spans="8:17">
      <c r="H147" s="90"/>
      <c r="I147" s="97" t="s">
        <v>714</v>
      </c>
      <c r="J147" s="102" t="s">
        <v>495</v>
      </c>
      <c r="K147" s="97" t="s">
        <v>399</v>
      </c>
      <c r="L147" s="99">
        <v>10</v>
      </c>
      <c r="M147" s="34" t="str">
        <f>_xlfn.XLOOKUP(J147,B:B,A:A)&amp;"|"&amp;K147</f>
        <v>234|5</v>
      </c>
      <c r="N147" s="34" t="str">
        <f t="shared" si="32"/>
        <v>1|15|10</v>
      </c>
      <c r="O147" s="73">
        <f t="shared" si="37"/>
        <v>1</v>
      </c>
      <c r="P147" s="100" t="str">
        <f t="shared" si="35"/>
        <v>913,</v>
      </c>
      <c r="Q147" s="55" t="str">
        <f t="shared" si="36"/>
        <v>901,902,903,904,905,906,907,908,909,910,911,912,913,</v>
      </c>
    </row>
    <row r="148" spans="8:17">
      <c r="H148" s="90"/>
      <c r="I148" s="97" t="s">
        <v>715</v>
      </c>
      <c r="J148" s="102" t="s">
        <v>495</v>
      </c>
      <c r="K148" s="97" t="s">
        <v>432</v>
      </c>
      <c r="L148" s="99">
        <v>20</v>
      </c>
      <c r="M148" s="34" t="str">
        <f>_xlfn.XLOOKUP(J148,B:B,A:A)&amp;"|"&amp;K148</f>
        <v>234|10</v>
      </c>
      <c r="N148" s="34" t="str">
        <f t="shared" si="32"/>
        <v>1|15|20</v>
      </c>
      <c r="O148" s="73">
        <f t="shared" si="37"/>
        <v>1</v>
      </c>
      <c r="P148" s="100" t="str">
        <f t="shared" si="35"/>
        <v>914,</v>
      </c>
      <c r="Q148" s="55" t="str">
        <f t="shared" si="36"/>
        <v>901,902,903,904,905,906,907,908,909,910,911,912,913,914,</v>
      </c>
    </row>
    <row r="149" spans="8:16">
      <c r="H149" s="95"/>
      <c r="I149" s="97" t="s">
        <v>716</v>
      </c>
      <c r="J149" s="102" t="s">
        <v>442</v>
      </c>
      <c r="K149" s="97" t="s">
        <v>428</v>
      </c>
      <c r="L149" s="99">
        <v>10</v>
      </c>
      <c r="M149" s="34" t="str">
        <f>_xlfn.XLOOKUP(J149,B:B,A:A)&amp;"|"&amp;K149</f>
        <v>271|4</v>
      </c>
      <c r="N149" s="34" t="str">
        <f t="shared" si="32"/>
        <v>1|15|10</v>
      </c>
      <c r="O149" s="73">
        <f t="shared" si="37"/>
        <v>132</v>
      </c>
      <c r="P149" s="100" t="str">
        <f t="shared" si="35"/>
        <v>915,</v>
      </c>
    </row>
    <row r="150" spans="8:17">
      <c r="H150" s="56" t="s">
        <v>717</v>
      </c>
      <c r="I150" s="96" t="s">
        <v>718</v>
      </c>
      <c r="J150" s="105" t="s">
        <v>391</v>
      </c>
      <c r="K150" s="103" t="s">
        <v>719</v>
      </c>
      <c r="L150" s="74">
        <v>10</v>
      </c>
      <c r="M150" s="6" t="str">
        <f>_xlfn.XLOOKUP(J150,B:B,A:A)&amp;"|"&amp;K150</f>
        <v>22|95</v>
      </c>
      <c r="N150" s="6" t="str">
        <f t="shared" si="32"/>
        <v>1|15|10</v>
      </c>
      <c r="O150" s="73">
        <f t="shared" si="37"/>
        <v>102</v>
      </c>
      <c r="P150" s="100" t="str">
        <f t="shared" si="35"/>
        <v>1001,</v>
      </c>
      <c r="Q150" s="55" t="str">
        <f t="shared" si="36"/>
        <v>1001,</v>
      </c>
    </row>
    <row r="151" spans="8:17">
      <c r="H151" s="93"/>
      <c r="I151" s="96" t="s">
        <v>720</v>
      </c>
      <c r="J151" s="105" t="s">
        <v>398</v>
      </c>
      <c r="K151" s="103" t="s">
        <v>474</v>
      </c>
      <c r="L151" s="74">
        <v>20</v>
      </c>
      <c r="M151" s="6" t="str">
        <f>_xlfn.XLOOKUP(J151,B:B,A:A)&amp;"|"&amp;K151</f>
        <v>23|12</v>
      </c>
      <c r="N151" s="6" t="str">
        <f t="shared" si="32"/>
        <v>1|15|20</v>
      </c>
      <c r="O151" s="73">
        <f t="shared" si="37"/>
        <v>139</v>
      </c>
      <c r="P151" s="100" t="str">
        <f t="shared" si="35"/>
        <v>1002,</v>
      </c>
      <c r="Q151" s="55" t="str">
        <f t="shared" si="36"/>
        <v>1001,1002,</v>
      </c>
    </row>
    <row r="152" spans="8:17">
      <c r="H152" s="93"/>
      <c r="I152" s="96" t="s">
        <v>721</v>
      </c>
      <c r="J152" s="105" t="s">
        <v>402</v>
      </c>
      <c r="K152" s="96" t="s">
        <v>722</v>
      </c>
      <c r="L152" s="74">
        <v>10</v>
      </c>
      <c r="M152" s="6" t="str">
        <f>_xlfn.XLOOKUP(J152,B:B,A:A)&amp;"|"&amp;K152</f>
        <v>202|1505</v>
      </c>
      <c r="N152" s="6" t="str">
        <f t="shared" si="32"/>
        <v>1|15|10</v>
      </c>
      <c r="O152" s="73">
        <f t="shared" si="37"/>
        <v>100</v>
      </c>
      <c r="P152" s="100" t="str">
        <f t="shared" ref="P152:P183" si="38">I152&amp;","</f>
        <v>1003,</v>
      </c>
      <c r="Q152" s="55" t="str">
        <f t="shared" si="36"/>
        <v>1001,1002,1003,</v>
      </c>
    </row>
    <row r="153" spans="8:17">
      <c r="H153" s="93"/>
      <c r="I153" s="96" t="s">
        <v>723</v>
      </c>
      <c r="J153" s="105" t="s">
        <v>402</v>
      </c>
      <c r="K153" s="96" t="s">
        <v>724</v>
      </c>
      <c r="L153" s="74">
        <v>20</v>
      </c>
      <c r="M153" s="6" t="str">
        <f>_xlfn.XLOOKUP(J153,B:B,A:A)&amp;"|"&amp;K153</f>
        <v>202|1510</v>
      </c>
      <c r="N153" s="6" t="str">
        <f t="shared" si="32"/>
        <v>1|15|20</v>
      </c>
      <c r="O153" s="73">
        <f t="shared" si="37"/>
        <v>100</v>
      </c>
      <c r="P153" s="100" t="str">
        <f t="shared" si="38"/>
        <v>1004,</v>
      </c>
      <c r="Q153" s="55" t="str">
        <f t="shared" si="36"/>
        <v>1001,1002,1003,1004,</v>
      </c>
    </row>
    <row r="154" spans="8:17">
      <c r="H154" s="93"/>
      <c r="I154" s="96" t="s">
        <v>725</v>
      </c>
      <c r="J154" s="105" t="s">
        <v>369</v>
      </c>
      <c r="K154" s="96" t="s">
        <v>605</v>
      </c>
      <c r="L154" s="74">
        <v>10</v>
      </c>
      <c r="M154" s="6" t="str">
        <f>_xlfn.XLOOKUP(J154,B:B,A:A)&amp;"|"&amp;K154</f>
        <v>1|9000</v>
      </c>
      <c r="N154" s="6" t="str">
        <f t="shared" si="32"/>
        <v>1|15|10</v>
      </c>
      <c r="O154" s="73">
        <f t="shared" si="37"/>
        <v>102</v>
      </c>
      <c r="P154" s="100" t="str">
        <f t="shared" si="38"/>
        <v>1005,</v>
      </c>
      <c r="Q154" s="55" t="str">
        <f t="shared" si="36"/>
        <v>1001,1002,1003,1004,1005,</v>
      </c>
    </row>
    <row r="155" spans="8:17">
      <c r="H155" s="93"/>
      <c r="I155" s="96" t="s">
        <v>726</v>
      </c>
      <c r="J155" s="105" t="s">
        <v>411</v>
      </c>
      <c r="K155" s="96" t="s">
        <v>727</v>
      </c>
      <c r="L155" s="74">
        <v>10</v>
      </c>
      <c r="M155" s="6" t="str">
        <f>_xlfn.XLOOKUP(J155,B:B,A:A)&amp;"|"&amp;K155</f>
        <v>213|10013</v>
      </c>
      <c r="N155" s="6" t="str">
        <f t="shared" si="32"/>
        <v>1|15|10</v>
      </c>
      <c r="O155" s="73">
        <f t="shared" si="37"/>
        <v>103</v>
      </c>
      <c r="P155" s="100" t="str">
        <f t="shared" si="38"/>
        <v>1006,</v>
      </c>
      <c r="Q155" s="55" t="str">
        <f t="shared" si="36"/>
        <v>1001,1002,1003,1004,1005,1006,</v>
      </c>
    </row>
    <row r="156" spans="8:17">
      <c r="H156" s="93"/>
      <c r="I156" s="96" t="s">
        <v>728</v>
      </c>
      <c r="J156" s="105" t="s">
        <v>417</v>
      </c>
      <c r="K156" s="96" t="s">
        <v>598</v>
      </c>
      <c r="L156" s="74">
        <v>20</v>
      </c>
      <c r="M156" s="6" t="str">
        <f>_xlfn.XLOOKUP(J156,B:B,A:A)&amp;"|"&amp;K156</f>
        <v>212|9</v>
      </c>
      <c r="N156" s="6" t="str">
        <f t="shared" si="32"/>
        <v>1|15|20</v>
      </c>
      <c r="O156" s="73">
        <f t="shared" si="37"/>
        <v>103</v>
      </c>
      <c r="P156" s="100" t="str">
        <f t="shared" si="38"/>
        <v>1007,</v>
      </c>
      <c r="Q156" s="55" t="str">
        <f t="shared" si="36"/>
        <v>1001,1002,1003,1004,1005,1006,1007,</v>
      </c>
    </row>
    <row r="157" spans="8:17">
      <c r="H157" s="93"/>
      <c r="I157" s="96" t="s">
        <v>729</v>
      </c>
      <c r="J157" s="105" t="s">
        <v>419</v>
      </c>
      <c r="K157" s="96" t="s">
        <v>531</v>
      </c>
      <c r="L157" s="74">
        <v>10</v>
      </c>
      <c r="M157" s="6" t="str">
        <f>_xlfn.XLOOKUP(J157,B:B,A:A)&amp;"|"&amp;K157</f>
        <v>221|25</v>
      </c>
      <c r="N157" s="6" t="str">
        <f t="shared" si="32"/>
        <v>1|15|10</v>
      </c>
      <c r="O157" s="73">
        <f t="shared" si="37"/>
        <v>114</v>
      </c>
      <c r="P157" s="100" t="str">
        <f t="shared" si="38"/>
        <v>1008,</v>
      </c>
      <c r="Q157" s="55" t="str">
        <f t="shared" si="36"/>
        <v>1001,1002,1003,1004,1005,1006,1007,1008,</v>
      </c>
    </row>
    <row r="158" spans="8:17">
      <c r="H158" s="93"/>
      <c r="I158" s="96" t="s">
        <v>730</v>
      </c>
      <c r="J158" s="105" t="s">
        <v>419</v>
      </c>
      <c r="K158" s="96" t="s">
        <v>439</v>
      </c>
      <c r="L158" s="74">
        <v>20</v>
      </c>
      <c r="M158" s="6" t="str">
        <f>_xlfn.XLOOKUP(J158,B:B,A:A)&amp;"|"&amp;K158</f>
        <v>221|30</v>
      </c>
      <c r="N158" s="6" t="str">
        <f t="shared" si="32"/>
        <v>1|15|20</v>
      </c>
      <c r="O158" s="73">
        <f t="shared" si="37"/>
        <v>114</v>
      </c>
      <c r="P158" s="100" t="str">
        <f t="shared" si="38"/>
        <v>1009,</v>
      </c>
      <c r="Q158" s="55" t="str">
        <f t="shared" si="36"/>
        <v>1001,1002,1003,1004,1005,1006,1007,1008,1009,</v>
      </c>
    </row>
    <row r="159" spans="8:17">
      <c r="H159" s="93"/>
      <c r="I159" s="96" t="s">
        <v>636</v>
      </c>
      <c r="J159" s="105" t="s">
        <v>424</v>
      </c>
      <c r="K159" s="96" t="s">
        <v>474</v>
      </c>
      <c r="L159" s="74">
        <v>10</v>
      </c>
      <c r="M159" s="6" t="str">
        <f>_xlfn.XLOOKUP(J159,B:B,A:A)&amp;"|"&amp;K159</f>
        <v>222|12</v>
      </c>
      <c r="N159" s="6" t="str">
        <f t="shared" si="32"/>
        <v>1|15|10</v>
      </c>
      <c r="O159" s="73">
        <f t="shared" si="37"/>
        <v>114</v>
      </c>
      <c r="P159" s="100" t="str">
        <f t="shared" si="38"/>
        <v>1010,</v>
      </c>
      <c r="Q159" s="55" t="str">
        <f t="shared" si="36"/>
        <v>1001,1002,1003,1004,1005,1006,1007,1008,1009,1010,</v>
      </c>
    </row>
    <row r="160" spans="8:17">
      <c r="H160" s="93"/>
      <c r="I160" s="96" t="s">
        <v>731</v>
      </c>
      <c r="J160" s="105" t="s">
        <v>424</v>
      </c>
      <c r="K160" s="96" t="s">
        <v>579</v>
      </c>
      <c r="L160" s="74">
        <v>20</v>
      </c>
      <c r="M160" s="6" t="str">
        <f>_xlfn.XLOOKUP(J160,B:B,A:A)&amp;"|"&amp;K160</f>
        <v>222|15</v>
      </c>
      <c r="N160" s="6" t="str">
        <f t="shared" si="32"/>
        <v>1|15|20</v>
      </c>
      <c r="O160" s="73">
        <f t="shared" si="37"/>
        <v>114</v>
      </c>
      <c r="P160" s="100" t="str">
        <f t="shared" si="38"/>
        <v>1011,</v>
      </c>
      <c r="Q160" s="55" t="str">
        <f t="shared" ref="Q160:Q191" si="39">Q159&amp;P160</f>
        <v>1001,1002,1003,1004,1005,1006,1007,1008,1009,1010,1011,</v>
      </c>
    </row>
    <row r="161" spans="8:17">
      <c r="H161" s="93"/>
      <c r="I161" s="96" t="s">
        <v>732</v>
      </c>
      <c r="J161" s="114" t="s">
        <v>585</v>
      </c>
      <c r="K161" s="96" t="s">
        <v>483</v>
      </c>
      <c r="L161" s="74">
        <v>10</v>
      </c>
      <c r="M161" s="6" t="str">
        <f>_xlfn.XLOOKUP(J161,B:B,A:A)&amp;"|"&amp;K161</f>
        <v>243|8</v>
      </c>
      <c r="N161" s="6" t="str">
        <f t="shared" si="32"/>
        <v>1|15|10</v>
      </c>
      <c r="O161" s="73">
        <f t="shared" si="37"/>
        <v>123</v>
      </c>
      <c r="P161" s="100" t="str">
        <f t="shared" si="38"/>
        <v>1012,</v>
      </c>
      <c r="Q161" s="55" t="str">
        <f t="shared" si="39"/>
        <v>1001,1002,1003,1004,1005,1006,1007,1008,1009,1010,1011,1012,</v>
      </c>
    </row>
    <row r="162" spans="8:17">
      <c r="H162" s="93"/>
      <c r="I162" s="96" t="s">
        <v>733</v>
      </c>
      <c r="J162" s="114" t="s">
        <v>548</v>
      </c>
      <c r="K162" s="96" t="s">
        <v>399</v>
      </c>
      <c r="L162" s="74">
        <v>20</v>
      </c>
      <c r="M162" s="6" t="str">
        <f>_xlfn.XLOOKUP(J162,B:B,A:A)&amp;"|"&amp;K162</f>
        <v>273|5</v>
      </c>
      <c r="N162" s="6" t="str">
        <f t="shared" si="32"/>
        <v>1|15|20</v>
      </c>
      <c r="O162" s="73">
        <f t="shared" si="37"/>
        <v>131</v>
      </c>
      <c r="P162" s="100" t="str">
        <f t="shared" si="38"/>
        <v>1013,</v>
      </c>
      <c r="Q162" s="55" t="str">
        <f t="shared" si="39"/>
        <v>1001,1002,1003,1004,1005,1006,1007,1008,1009,1010,1011,1012,1013,</v>
      </c>
    </row>
    <row r="163" spans="8:17">
      <c r="H163" s="93"/>
      <c r="I163" s="96" t="s">
        <v>734</v>
      </c>
      <c r="J163" s="114" t="s">
        <v>556</v>
      </c>
      <c r="K163" s="96" t="s">
        <v>735</v>
      </c>
      <c r="L163" s="74">
        <v>20</v>
      </c>
      <c r="M163" s="6" t="str">
        <f>_xlfn.XLOOKUP(J163,B:B,A:A)&amp;"|"&amp;K163</f>
        <v>223|1400</v>
      </c>
      <c r="N163" s="6" t="str">
        <f t="shared" si="32"/>
        <v>1|15|20</v>
      </c>
      <c r="O163" s="73">
        <f t="shared" si="37"/>
        <v>114</v>
      </c>
      <c r="P163" s="100" t="str">
        <f t="shared" si="38"/>
        <v>1014,</v>
      </c>
      <c r="Q163" s="55" t="str">
        <f t="shared" si="39"/>
        <v>1001,1002,1003,1004,1005,1006,1007,1008,1009,1010,1011,1012,1013,1014,</v>
      </c>
    </row>
    <row r="164" spans="8:16">
      <c r="H164" s="94"/>
      <c r="I164" s="96" t="s">
        <v>736</v>
      </c>
      <c r="J164" s="114" t="s">
        <v>566</v>
      </c>
      <c r="K164" s="96" t="s">
        <v>551</v>
      </c>
      <c r="L164" s="74">
        <v>20</v>
      </c>
      <c r="M164" s="6" t="str">
        <f>_xlfn.XLOOKUP(J164,B:B,A:A)&amp;"|"&amp;K164</f>
        <v>231|3</v>
      </c>
      <c r="N164" s="6" t="str">
        <f t="shared" si="32"/>
        <v>1|15|20</v>
      </c>
      <c r="O164" s="73">
        <f t="shared" si="37"/>
        <v>1</v>
      </c>
      <c r="P164" s="100" t="str">
        <f t="shared" si="38"/>
        <v>1015,</v>
      </c>
    </row>
    <row r="165" spans="8:17">
      <c r="H165" s="87" t="s">
        <v>737</v>
      </c>
      <c r="I165" s="97" t="s">
        <v>738</v>
      </c>
      <c r="J165" s="34" t="s">
        <v>391</v>
      </c>
      <c r="K165" s="97" t="s">
        <v>739</v>
      </c>
      <c r="L165" s="99">
        <v>10</v>
      </c>
      <c r="M165" s="34" t="str">
        <f>_xlfn.XLOOKUP(J165,B:B,A:A)&amp;"|"&amp;K165</f>
        <v>22|97</v>
      </c>
      <c r="N165" s="34" t="str">
        <f t="shared" ref="N165:N224" si="40">"1|15|"&amp;L165</f>
        <v>1|15|10</v>
      </c>
      <c r="O165" s="73">
        <f t="shared" si="37"/>
        <v>102</v>
      </c>
      <c r="P165" s="100" t="str">
        <f t="shared" si="38"/>
        <v>1101,</v>
      </c>
      <c r="Q165" s="55" t="str">
        <f t="shared" si="39"/>
        <v>1101,</v>
      </c>
    </row>
    <row r="166" spans="8:17">
      <c r="H166" s="90"/>
      <c r="I166" s="97" t="s">
        <v>740</v>
      </c>
      <c r="J166" s="34" t="s">
        <v>402</v>
      </c>
      <c r="K166" s="97" t="s">
        <v>741</v>
      </c>
      <c r="L166" s="99">
        <v>10</v>
      </c>
      <c r="M166" s="34" t="str">
        <f>_xlfn.XLOOKUP(J166,B:B,A:A)&amp;"|"&amp;K166</f>
        <v>202|1602</v>
      </c>
      <c r="N166" s="34" t="str">
        <f t="shared" si="40"/>
        <v>1|15|10</v>
      </c>
      <c r="O166" s="73">
        <f t="shared" si="37"/>
        <v>100</v>
      </c>
      <c r="P166" s="100" t="str">
        <f t="shared" si="38"/>
        <v>1102,</v>
      </c>
      <c r="Q166" s="55" t="str">
        <f t="shared" si="39"/>
        <v>1101,1102,</v>
      </c>
    </row>
    <row r="167" spans="8:17">
      <c r="H167" s="90"/>
      <c r="I167" s="97" t="s">
        <v>742</v>
      </c>
      <c r="J167" s="34" t="s">
        <v>402</v>
      </c>
      <c r="K167" s="97" t="s">
        <v>743</v>
      </c>
      <c r="L167" s="99">
        <v>20</v>
      </c>
      <c r="M167" s="34" t="str">
        <f>_xlfn.XLOOKUP(J167,B:B,A:A)&amp;"|"&amp;K167</f>
        <v>202|1604</v>
      </c>
      <c r="N167" s="34" t="str">
        <f t="shared" si="40"/>
        <v>1|15|20</v>
      </c>
      <c r="O167" s="73">
        <f t="shared" si="37"/>
        <v>100</v>
      </c>
      <c r="P167" s="100" t="str">
        <f t="shared" si="38"/>
        <v>1103,</v>
      </c>
      <c r="Q167" s="55" t="str">
        <f t="shared" si="39"/>
        <v>1101,1102,1103,</v>
      </c>
    </row>
    <row r="168" spans="8:17">
      <c r="H168" s="90"/>
      <c r="I168" s="97" t="s">
        <v>744</v>
      </c>
      <c r="J168" s="34" t="s">
        <v>369</v>
      </c>
      <c r="K168" s="97" t="s">
        <v>641</v>
      </c>
      <c r="L168" s="99">
        <v>10</v>
      </c>
      <c r="M168" s="34" t="str">
        <f>_xlfn.XLOOKUP(J168,B:B,A:A)&amp;"|"&amp;K168</f>
        <v>1|12000</v>
      </c>
      <c r="N168" s="34" t="str">
        <f t="shared" si="40"/>
        <v>1|15|10</v>
      </c>
      <c r="O168" s="73">
        <f t="shared" si="37"/>
        <v>102</v>
      </c>
      <c r="P168" s="100" t="str">
        <f t="shared" si="38"/>
        <v>1104,</v>
      </c>
      <c r="Q168" s="55" t="str">
        <f t="shared" si="39"/>
        <v>1101,1102,1103,1104,</v>
      </c>
    </row>
    <row r="169" spans="8:17">
      <c r="H169" s="90"/>
      <c r="I169" s="97" t="s">
        <v>745</v>
      </c>
      <c r="J169" s="34" t="s">
        <v>417</v>
      </c>
      <c r="K169" s="97" t="s">
        <v>474</v>
      </c>
      <c r="L169" s="99">
        <v>20</v>
      </c>
      <c r="M169" s="34" t="str">
        <f>_xlfn.XLOOKUP(J169,B:B,A:A)&amp;"|"&amp;K169</f>
        <v>212|12</v>
      </c>
      <c r="N169" s="34" t="str">
        <f t="shared" si="40"/>
        <v>1|15|20</v>
      </c>
      <c r="O169" s="73">
        <f t="shared" si="37"/>
        <v>103</v>
      </c>
      <c r="P169" s="100" t="str">
        <f t="shared" si="38"/>
        <v>1105,</v>
      </c>
      <c r="Q169" s="55" t="str">
        <f t="shared" si="39"/>
        <v>1101,1102,1103,1104,1105,</v>
      </c>
    </row>
    <row r="170" spans="8:17">
      <c r="H170" s="90"/>
      <c r="I170" s="97" t="s">
        <v>746</v>
      </c>
      <c r="J170" s="34" t="s">
        <v>419</v>
      </c>
      <c r="K170" s="97" t="s">
        <v>577</v>
      </c>
      <c r="L170" s="99">
        <v>10</v>
      </c>
      <c r="M170" s="34" t="str">
        <f>_xlfn.XLOOKUP(J170,B:B,A:A)&amp;"|"&amp;K170</f>
        <v>221|35</v>
      </c>
      <c r="N170" s="34" t="str">
        <f t="shared" si="40"/>
        <v>1|15|10</v>
      </c>
      <c r="O170" s="73">
        <f t="shared" si="37"/>
        <v>114</v>
      </c>
      <c r="P170" s="100" t="str">
        <f t="shared" si="38"/>
        <v>1106,</v>
      </c>
      <c r="Q170" s="55" t="str">
        <f t="shared" si="39"/>
        <v>1101,1102,1103,1104,1105,1106,</v>
      </c>
    </row>
    <row r="171" spans="8:17">
      <c r="H171" s="90"/>
      <c r="I171" s="97" t="s">
        <v>747</v>
      </c>
      <c r="J171" s="34" t="s">
        <v>419</v>
      </c>
      <c r="K171" s="97" t="s">
        <v>453</v>
      </c>
      <c r="L171" s="99">
        <v>20</v>
      </c>
      <c r="M171" s="34" t="str">
        <f>_xlfn.XLOOKUP(J171,B:B,A:A)&amp;"|"&amp;K171</f>
        <v>221|40</v>
      </c>
      <c r="N171" s="34" t="str">
        <f t="shared" si="40"/>
        <v>1|15|20</v>
      </c>
      <c r="O171" s="73">
        <f t="shared" ref="O171:O202" si="41">_xlfn.XLOOKUP(J171,B:B,D:D)</f>
        <v>114</v>
      </c>
      <c r="P171" s="100" t="str">
        <f t="shared" si="38"/>
        <v>1107,</v>
      </c>
      <c r="Q171" s="55" t="str">
        <f t="shared" si="39"/>
        <v>1101,1102,1103,1104,1105,1106,1107,</v>
      </c>
    </row>
    <row r="172" spans="8:17">
      <c r="H172" s="90"/>
      <c r="I172" s="97" t="s">
        <v>748</v>
      </c>
      <c r="J172" s="34" t="s">
        <v>424</v>
      </c>
      <c r="K172" s="97" t="s">
        <v>749</v>
      </c>
      <c r="L172" s="99">
        <v>10</v>
      </c>
      <c r="M172" s="34" t="str">
        <f>_xlfn.XLOOKUP(J172,B:B,A:A)&amp;"|"&amp;K172</f>
        <v>222|17</v>
      </c>
      <c r="N172" s="34" t="str">
        <f t="shared" si="40"/>
        <v>1|15|10</v>
      </c>
      <c r="O172" s="73">
        <f t="shared" si="41"/>
        <v>114</v>
      </c>
      <c r="P172" s="100" t="str">
        <f t="shared" si="38"/>
        <v>1108,</v>
      </c>
      <c r="Q172" s="55" t="str">
        <f t="shared" si="39"/>
        <v>1101,1102,1103,1104,1105,1106,1107,1108,</v>
      </c>
    </row>
    <row r="173" spans="8:17">
      <c r="H173" s="90"/>
      <c r="I173" s="97" t="s">
        <v>750</v>
      </c>
      <c r="J173" s="34" t="s">
        <v>424</v>
      </c>
      <c r="K173" s="97" t="s">
        <v>392</v>
      </c>
      <c r="L173" s="99">
        <v>20</v>
      </c>
      <c r="M173" s="34" t="str">
        <f>_xlfn.XLOOKUP(J173,B:B,A:A)&amp;"|"&amp;K173</f>
        <v>222|20</v>
      </c>
      <c r="N173" s="34" t="str">
        <f t="shared" si="40"/>
        <v>1|15|20</v>
      </c>
      <c r="O173" s="73">
        <f t="shared" si="41"/>
        <v>114</v>
      </c>
      <c r="P173" s="100" t="str">
        <f t="shared" si="38"/>
        <v>1109,</v>
      </c>
      <c r="Q173" s="55" t="str">
        <f t="shared" si="39"/>
        <v>1101,1102,1103,1104,1105,1106,1107,1108,1109,</v>
      </c>
    </row>
    <row r="174" spans="8:17">
      <c r="H174" s="90"/>
      <c r="I174" s="97" t="s">
        <v>639</v>
      </c>
      <c r="J174" s="102" t="s">
        <v>495</v>
      </c>
      <c r="K174" s="97" t="s">
        <v>579</v>
      </c>
      <c r="L174" s="99">
        <v>10</v>
      </c>
      <c r="M174" s="34" t="str">
        <f>_xlfn.XLOOKUP(J174,B:B,A:A)&amp;"|"&amp;K174</f>
        <v>234|15</v>
      </c>
      <c r="N174" s="34" t="str">
        <f t="shared" si="40"/>
        <v>1|15|10</v>
      </c>
      <c r="O174" s="73">
        <f t="shared" si="41"/>
        <v>1</v>
      </c>
      <c r="P174" s="100" t="str">
        <f t="shared" si="38"/>
        <v>1110,</v>
      </c>
      <c r="Q174" s="55" t="str">
        <f t="shared" si="39"/>
        <v>1101,1102,1103,1104,1105,1106,1107,1108,1109,1110,</v>
      </c>
    </row>
    <row r="175" spans="8:17">
      <c r="H175" s="90"/>
      <c r="I175" s="97" t="s">
        <v>751</v>
      </c>
      <c r="J175" s="102" t="s">
        <v>495</v>
      </c>
      <c r="K175" s="97" t="s">
        <v>392</v>
      </c>
      <c r="L175" s="99">
        <v>20</v>
      </c>
      <c r="M175" s="34" t="str">
        <f>_xlfn.XLOOKUP(J175,B:B,A:A)&amp;"|"&amp;K175</f>
        <v>234|20</v>
      </c>
      <c r="N175" s="34" t="str">
        <f t="shared" si="40"/>
        <v>1|15|20</v>
      </c>
      <c r="O175" s="73">
        <f t="shared" si="41"/>
        <v>1</v>
      </c>
      <c r="P175" s="100" t="str">
        <f t="shared" si="38"/>
        <v>1111,</v>
      </c>
      <c r="Q175" s="55" t="str">
        <f t="shared" si="39"/>
        <v>1101,1102,1103,1104,1105,1106,1107,1108,1109,1110,1111,</v>
      </c>
    </row>
    <row r="176" spans="8:17">
      <c r="H176" s="90"/>
      <c r="I176" s="97" t="s">
        <v>752</v>
      </c>
      <c r="J176" s="102" t="s">
        <v>617</v>
      </c>
      <c r="K176" s="97" t="s">
        <v>483</v>
      </c>
      <c r="L176" s="99">
        <v>20</v>
      </c>
      <c r="M176" s="34" t="str">
        <f>_xlfn.XLOOKUP(J176,B:B,A:A)&amp;"|"&amp;K176</f>
        <v>275|8</v>
      </c>
      <c r="N176" s="34" t="str">
        <f t="shared" si="40"/>
        <v>1|15|20</v>
      </c>
      <c r="O176" s="73">
        <f t="shared" si="41"/>
        <v>133</v>
      </c>
      <c r="P176" s="100" t="str">
        <f t="shared" si="38"/>
        <v>1112,</v>
      </c>
      <c r="Q176" s="55" t="str">
        <f t="shared" si="39"/>
        <v>1101,1102,1103,1104,1105,1106,1107,1108,1109,1110,1111,1112,</v>
      </c>
    </row>
    <row r="177" spans="8:17">
      <c r="H177" s="90"/>
      <c r="I177" s="97" t="s">
        <v>753</v>
      </c>
      <c r="J177" s="102" t="s">
        <v>623</v>
      </c>
      <c r="K177" s="97" t="s">
        <v>483</v>
      </c>
      <c r="L177" s="99">
        <v>20</v>
      </c>
      <c r="M177" s="34" t="str">
        <f>_xlfn.XLOOKUP(J177,B:B,A:A)&amp;"|"&amp;K177</f>
        <v>277|8</v>
      </c>
      <c r="N177" s="34" t="str">
        <f t="shared" si="40"/>
        <v>1|15|20</v>
      </c>
      <c r="O177" s="73">
        <f t="shared" si="41"/>
        <v>134</v>
      </c>
      <c r="P177" s="100" t="str">
        <f t="shared" si="38"/>
        <v>1113,</v>
      </c>
      <c r="Q177" s="55" t="str">
        <f t="shared" si="39"/>
        <v>1101,1102,1103,1104,1105,1106,1107,1108,1109,1110,1111,1112,1113,</v>
      </c>
    </row>
    <row r="178" spans="8:17">
      <c r="H178" s="90"/>
      <c r="I178" s="97" t="s">
        <v>754</v>
      </c>
      <c r="J178" s="98" t="s">
        <v>506</v>
      </c>
      <c r="K178" s="97" t="s">
        <v>432</v>
      </c>
      <c r="L178" s="99">
        <v>20</v>
      </c>
      <c r="M178" s="34" t="str">
        <f>_xlfn.XLOOKUP(J178,B:B,A:A)&amp;"|"&amp;K178</f>
        <v>251|10</v>
      </c>
      <c r="N178" s="34" t="str">
        <f t="shared" si="40"/>
        <v>1|15|20</v>
      </c>
      <c r="O178" s="73">
        <f t="shared" si="41"/>
        <v>109</v>
      </c>
      <c r="P178" s="100" t="str">
        <f t="shared" si="38"/>
        <v>1114,</v>
      </c>
      <c r="Q178" s="55" t="str">
        <f t="shared" si="39"/>
        <v>1101,1102,1103,1104,1105,1106,1107,1108,1109,1110,1111,1112,1113,1114,</v>
      </c>
    </row>
    <row r="179" spans="8:16">
      <c r="H179" s="95"/>
      <c r="I179" s="97" t="s">
        <v>755</v>
      </c>
      <c r="J179" s="115" t="s">
        <v>585</v>
      </c>
      <c r="K179" s="97" t="s">
        <v>701</v>
      </c>
      <c r="L179" s="99">
        <v>20</v>
      </c>
      <c r="M179" s="34" t="str">
        <f>_xlfn.XLOOKUP(J179,B:B,A:A)&amp;"|"&amp;K179</f>
        <v>243|11</v>
      </c>
      <c r="N179" s="34" t="str">
        <f t="shared" si="40"/>
        <v>1|15|20</v>
      </c>
      <c r="O179" s="73">
        <f t="shared" si="41"/>
        <v>123</v>
      </c>
      <c r="P179" s="100" t="str">
        <f t="shared" si="38"/>
        <v>1115,</v>
      </c>
    </row>
    <row r="180" spans="8:17">
      <c r="H180" s="56" t="s">
        <v>756</v>
      </c>
      <c r="I180" s="96" t="s">
        <v>757</v>
      </c>
      <c r="J180" s="105" t="s">
        <v>391</v>
      </c>
      <c r="K180" s="103" t="s">
        <v>758</v>
      </c>
      <c r="L180" s="74">
        <v>10</v>
      </c>
      <c r="M180" s="6" t="str">
        <f>_xlfn.XLOOKUP(J180,B:B,A:A)&amp;"|"&amp;K180</f>
        <v>22|98</v>
      </c>
      <c r="N180" s="6" t="str">
        <f t="shared" si="40"/>
        <v>1|15|10</v>
      </c>
      <c r="O180" s="73">
        <f t="shared" si="41"/>
        <v>102</v>
      </c>
      <c r="P180" s="100" t="str">
        <f t="shared" si="38"/>
        <v>1201,</v>
      </c>
      <c r="Q180" s="55" t="str">
        <f t="shared" si="39"/>
        <v>1201,</v>
      </c>
    </row>
    <row r="181" spans="8:17">
      <c r="H181" s="93"/>
      <c r="I181" s="96" t="s">
        <v>759</v>
      </c>
      <c r="J181" s="105" t="s">
        <v>398</v>
      </c>
      <c r="K181" s="103" t="s">
        <v>536</v>
      </c>
      <c r="L181" s="74">
        <v>20</v>
      </c>
      <c r="M181" s="6" t="str">
        <f>_xlfn.XLOOKUP(J181,B:B,A:A)&amp;"|"&amp;K181</f>
        <v>23|13</v>
      </c>
      <c r="N181" s="6" t="str">
        <f t="shared" si="40"/>
        <v>1|15|20</v>
      </c>
      <c r="O181" s="73">
        <f t="shared" si="41"/>
        <v>139</v>
      </c>
      <c r="P181" s="100" t="str">
        <f t="shared" si="38"/>
        <v>1202,</v>
      </c>
      <c r="Q181" s="55" t="str">
        <f t="shared" si="39"/>
        <v>1201,1202,</v>
      </c>
    </row>
    <row r="182" spans="8:17">
      <c r="H182" s="93"/>
      <c r="I182" s="96" t="s">
        <v>760</v>
      </c>
      <c r="J182" s="105" t="s">
        <v>402</v>
      </c>
      <c r="K182" s="96" t="s">
        <v>761</v>
      </c>
      <c r="L182" s="74">
        <v>10</v>
      </c>
      <c r="M182" s="6" t="str">
        <f>_xlfn.XLOOKUP(J182,B:B,A:A)&amp;"|"&amp;K182</f>
        <v>202|1606</v>
      </c>
      <c r="N182" s="6" t="str">
        <f t="shared" si="40"/>
        <v>1|15|10</v>
      </c>
      <c r="O182" s="73">
        <f t="shared" si="41"/>
        <v>100</v>
      </c>
      <c r="P182" s="100" t="str">
        <f t="shared" si="38"/>
        <v>1203,</v>
      </c>
      <c r="Q182" s="55" t="str">
        <f t="shared" si="39"/>
        <v>1201,1202,1203,</v>
      </c>
    </row>
    <row r="183" spans="8:17">
      <c r="H183" s="93"/>
      <c r="I183" s="96" t="s">
        <v>762</v>
      </c>
      <c r="J183" s="105" t="s">
        <v>402</v>
      </c>
      <c r="K183" s="96" t="s">
        <v>763</v>
      </c>
      <c r="L183" s="74">
        <v>20</v>
      </c>
      <c r="M183" s="6" t="str">
        <f>_xlfn.XLOOKUP(J183,B:B,A:A)&amp;"|"&amp;K183</f>
        <v>202|1608</v>
      </c>
      <c r="N183" s="6" t="str">
        <f t="shared" si="40"/>
        <v>1|15|20</v>
      </c>
      <c r="O183" s="73">
        <f t="shared" si="41"/>
        <v>100</v>
      </c>
      <c r="P183" s="100" t="str">
        <f t="shared" si="38"/>
        <v>1204,</v>
      </c>
      <c r="Q183" s="55" t="str">
        <f t="shared" si="39"/>
        <v>1201,1202,1203,1204,</v>
      </c>
    </row>
    <row r="184" spans="8:17">
      <c r="H184" s="93"/>
      <c r="I184" s="96" t="s">
        <v>661</v>
      </c>
      <c r="J184" s="105" t="s">
        <v>369</v>
      </c>
      <c r="K184" s="96" t="s">
        <v>664</v>
      </c>
      <c r="L184" s="74">
        <v>10</v>
      </c>
      <c r="M184" s="6" t="str">
        <f>_xlfn.XLOOKUP(J184,B:B,A:A)&amp;"|"&amp;K184</f>
        <v>1|15000</v>
      </c>
      <c r="N184" s="6" t="str">
        <f t="shared" si="40"/>
        <v>1|15|10</v>
      </c>
      <c r="O184" s="73">
        <f t="shared" si="41"/>
        <v>102</v>
      </c>
      <c r="P184" s="100" t="str">
        <f t="shared" ref="P184:P224" si="42">I184&amp;","</f>
        <v>1205,</v>
      </c>
      <c r="Q184" s="55" t="str">
        <f t="shared" si="39"/>
        <v>1201,1202,1203,1204,1205,</v>
      </c>
    </row>
    <row r="185" spans="8:17">
      <c r="H185" s="93"/>
      <c r="I185" s="96" t="s">
        <v>764</v>
      </c>
      <c r="J185" s="105" t="s">
        <v>417</v>
      </c>
      <c r="K185" s="96" t="s">
        <v>579</v>
      </c>
      <c r="L185" s="74">
        <v>20</v>
      </c>
      <c r="M185" s="6" t="str">
        <f>_xlfn.XLOOKUP(J185,B:B,A:A)&amp;"|"&amp;K185</f>
        <v>212|15</v>
      </c>
      <c r="N185" s="6" t="str">
        <f t="shared" si="40"/>
        <v>1|15|20</v>
      </c>
      <c r="O185" s="73">
        <f t="shared" si="41"/>
        <v>103</v>
      </c>
      <c r="P185" s="100" t="str">
        <f t="shared" si="42"/>
        <v>1206,</v>
      </c>
      <c r="Q185" s="55" t="str">
        <f t="shared" si="39"/>
        <v>1201,1202,1203,1204,1205,1206,</v>
      </c>
    </row>
    <row r="186" spans="8:17">
      <c r="H186" s="93"/>
      <c r="I186" s="96" t="s">
        <v>765</v>
      </c>
      <c r="J186" s="105" t="s">
        <v>419</v>
      </c>
      <c r="K186" s="96" t="s">
        <v>615</v>
      </c>
      <c r="L186" s="74">
        <v>10</v>
      </c>
      <c r="M186" s="6" t="str">
        <f>_xlfn.XLOOKUP(J186,B:B,A:A)&amp;"|"&amp;K186</f>
        <v>221|45</v>
      </c>
      <c r="N186" s="6" t="str">
        <f t="shared" si="40"/>
        <v>1|15|10</v>
      </c>
      <c r="O186" s="73">
        <f t="shared" si="41"/>
        <v>114</v>
      </c>
      <c r="P186" s="100" t="str">
        <f t="shared" si="42"/>
        <v>1207,</v>
      </c>
      <c r="Q186" s="55" t="str">
        <f t="shared" si="39"/>
        <v>1201,1202,1203,1204,1205,1206,1207,</v>
      </c>
    </row>
    <row r="187" spans="8:17">
      <c r="H187" s="93"/>
      <c r="I187" s="96" t="s">
        <v>766</v>
      </c>
      <c r="J187" s="105" t="s">
        <v>419</v>
      </c>
      <c r="K187" s="96" t="s">
        <v>510</v>
      </c>
      <c r="L187" s="74">
        <v>20</v>
      </c>
      <c r="M187" s="6" t="str">
        <f>_xlfn.XLOOKUP(J187,B:B,A:A)&amp;"|"&amp;K187</f>
        <v>221|50</v>
      </c>
      <c r="N187" s="6" t="str">
        <f t="shared" si="40"/>
        <v>1|15|20</v>
      </c>
      <c r="O187" s="73">
        <f t="shared" si="41"/>
        <v>114</v>
      </c>
      <c r="P187" s="100" t="str">
        <f t="shared" si="42"/>
        <v>1208,</v>
      </c>
      <c r="Q187" s="55" t="str">
        <f t="shared" si="39"/>
        <v>1201,1202,1203,1204,1205,1206,1207,1208,</v>
      </c>
    </row>
    <row r="188" spans="8:17">
      <c r="H188" s="93"/>
      <c r="I188" s="96" t="s">
        <v>767</v>
      </c>
      <c r="J188" s="105" t="s">
        <v>424</v>
      </c>
      <c r="K188" s="96" t="s">
        <v>644</v>
      </c>
      <c r="L188" s="74">
        <v>10</v>
      </c>
      <c r="M188" s="6" t="str">
        <f>_xlfn.XLOOKUP(J188,B:B,A:A)&amp;"|"&amp;K188</f>
        <v>222|22</v>
      </c>
      <c r="N188" s="6" t="str">
        <f t="shared" si="40"/>
        <v>1|15|10</v>
      </c>
      <c r="O188" s="73">
        <f t="shared" si="41"/>
        <v>114</v>
      </c>
      <c r="P188" s="100" t="str">
        <f t="shared" si="42"/>
        <v>1209,</v>
      </c>
      <c r="Q188" s="55" t="str">
        <f t="shared" si="39"/>
        <v>1201,1202,1203,1204,1205,1206,1207,1208,1209,</v>
      </c>
    </row>
    <row r="189" spans="8:17">
      <c r="H189" s="93"/>
      <c r="I189" s="96" t="s">
        <v>663</v>
      </c>
      <c r="J189" s="105" t="s">
        <v>424</v>
      </c>
      <c r="K189" s="96" t="s">
        <v>531</v>
      </c>
      <c r="L189" s="74">
        <v>20</v>
      </c>
      <c r="M189" s="6" t="str">
        <f>_xlfn.XLOOKUP(J189,B:B,A:A)&amp;"|"&amp;K189</f>
        <v>222|25</v>
      </c>
      <c r="N189" s="6" t="str">
        <f t="shared" si="40"/>
        <v>1|15|20</v>
      </c>
      <c r="O189" s="73">
        <f t="shared" si="41"/>
        <v>114</v>
      </c>
      <c r="P189" s="100" t="str">
        <f t="shared" si="42"/>
        <v>1210,</v>
      </c>
      <c r="Q189" s="55" t="str">
        <f t="shared" si="39"/>
        <v>1201,1202,1203,1204,1205,1206,1207,1208,1209,1210,</v>
      </c>
    </row>
    <row r="190" spans="8:17">
      <c r="H190" s="93"/>
      <c r="I190" s="96" t="s">
        <v>768</v>
      </c>
      <c r="J190" s="105" t="s">
        <v>486</v>
      </c>
      <c r="K190" s="103" t="s">
        <v>392</v>
      </c>
      <c r="L190" s="74">
        <v>10</v>
      </c>
      <c r="M190" s="6" t="str">
        <f>_xlfn.XLOOKUP(J190,B:B,A:A)&amp;"|"&amp;K190</f>
        <v>232|20</v>
      </c>
      <c r="N190" s="6" t="str">
        <f t="shared" si="40"/>
        <v>1|15|10</v>
      </c>
      <c r="O190" s="73">
        <f t="shared" si="41"/>
        <v>1</v>
      </c>
      <c r="P190" s="100" t="str">
        <f t="shared" si="42"/>
        <v>1211,</v>
      </c>
      <c r="Q190" s="55" t="str">
        <f t="shared" si="39"/>
        <v>1201,1202,1203,1204,1205,1206,1207,1208,1209,1210,1211,</v>
      </c>
    </row>
    <row r="191" spans="8:17">
      <c r="H191" s="93"/>
      <c r="I191" s="96" t="s">
        <v>769</v>
      </c>
      <c r="J191" s="105" t="s">
        <v>486</v>
      </c>
      <c r="K191" s="103" t="s">
        <v>439</v>
      </c>
      <c r="L191" s="74">
        <v>20</v>
      </c>
      <c r="M191" s="6" t="str">
        <f>_xlfn.XLOOKUP(J191,B:B,A:A)&amp;"|"&amp;K191</f>
        <v>232|30</v>
      </c>
      <c r="N191" s="6" t="str">
        <f t="shared" si="40"/>
        <v>1|15|20</v>
      </c>
      <c r="O191" s="73">
        <f t="shared" si="41"/>
        <v>1</v>
      </c>
      <c r="P191" s="100" t="str">
        <f t="shared" si="42"/>
        <v>1212,</v>
      </c>
      <c r="Q191" s="55" t="str">
        <f t="shared" si="39"/>
        <v>1201,1202,1203,1204,1205,1206,1207,1208,1209,1210,1211,1212,</v>
      </c>
    </row>
    <row r="192" spans="8:17">
      <c r="H192" s="93"/>
      <c r="I192" s="96" t="s">
        <v>770</v>
      </c>
      <c r="J192" s="85" t="s">
        <v>442</v>
      </c>
      <c r="K192" s="96" t="s">
        <v>432</v>
      </c>
      <c r="L192" s="74">
        <v>20</v>
      </c>
      <c r="M192" s="6" t="str">
        <f>_xlfn.XLOOKUP(J192,B:B,A:A)&amp;"|"&amp;K192</f>
        <v>271|10</v>
      </c>
      <c r="N192" s="6" t="str">
        <f t="shared" si="40"/>
        <v>1|15|20</v>
      </c>
      <c r="O192" s="73">
        <f t="shared" si="41"/>
        <v>132</v>
      </c>
      <c r="P192" s="100" t="str">
        <f t="shared" si="42"/>
        <v>1213,</v>
      </c>
      <c r="Q192" s="55" t="str">
        <f t="shared" ref="Q192:Q224" si="43">Q191&amp;P192</f>
        <v>1201,1202,1203,1204,1205,1206,1207,1208,1209,1210,1211,1212,1213,</v>
      </c>
    </row>
    <row r="193" spans="8:17">
      <c r="H193" s="93"/>
      <c r="I193" s="96" t="s">
        <v>771</v>
      </c>
      <c r="J193" s="114" t="s">
        <v>548</v>
      </c>
      <c r="K193" s="96" t="s">
        <v>432</v>
      </c>
      <c r="L193" s="74">
        <v>20</v>
      </c>
      <c r="M193" s="6" t="str">
        <f>_xlfn.XLOOKUP(J193,B:B,A:A)&amp;"|"&amp;K193</f>
        <v>273|10</v>
      </c>
      <c r="N193" s="6" t="str">
        <f t="shared" si="40"/>
        <v>1|15|20</v>
      </c>
      <c r="O193" s="73">
        <f t="shared" si="41"/>
        <v>131</v>
      </c>
      <c r="P193" s="100" t="str">
        <f t="shared" si="42"/>
        <v>1214,</v>
      </c>
      <c r="Q193" s="55" t="str">
        <f t="shared" si="43"/>
        <v>1201,1202,1203,1204,1205,1206,1207,1208,1209,1210,1211,1212,1213,1214,</v>
      </c>
    </row>
    <row r="194" spans="8:16">
      <c r="H194" s="94"/>
      <c r="I194" s="96" t="s">
        <v>772</v>
      </c>
      <c r="J194" s="104" t="s">
        <v>506</v>
      </c>
      <c r="K194" s="96" t="s">
        <v>536</v>
      </c>
      <c r="L194" s="74">
        <v>20</v>
      </c>
      <c r="M194" s="6" t="str">
        <f>_xlfn.XLOOKUP(J194,B:B,A:A)&amp;"|"&amp;K194</f>
        <v>251|13</v>
      </c>
      <c r="N194" s="6" t="str">
        <f t="shared" si="40"/>
        <v>1|15|20</v>
      </c>
      <c r="O194" s="73">
        <f t="shared" si="41"/>
        <v>109</v>
      </c>
      <c r="P194" s="100" t="str">
        <f t="shared" si="42"/>
        <v>1215,</v>
      </c>
    </row>
    <row r="195" spans="8:17">
      <c r="H195" s="87" t="s">
        <v>773</v>
      </c>
      <c r="I195" s="97" t="s">
        <v>774</v>
      </c>
      <c r="J195" s="34" t="s">
        <v>391</v>
      </c>
      <c r="K195" s="97" t="s">
        <v>775</v>
      </c>
      <c r="L195" s="99">
        <v>10</v>
      </c>
      <c r="M195" s="34" t="str">
        <f>_xlfn.XLOOKUP(J195,B:B,A:A)&amp;"|"&amp;K195</f>
        <v>22|99</v>
      </c>
      <c r="N195" s="34" t="str">
        <f t="shared" si="40"/>
        <v>1|15|10</v>
      </c>
      <c r="O195" s="73">
        <f t="shared" si="41"/>
        <v>102</v>
      </c>
      <c r="P195" s="100" t="str">
        <f t="shared" si="42"/>
        <v>1301,</v>
      </c>
      <c r="Q195" s="55" t="str">
        <f t="shared" si="43"/>
        <v>1301,</v>
      </c>
    </row>
    <row r="196" spans="8:17">
      <c r="H196" s="90"/>
      <c r="I196" s="97" t="s">
        <v>776</v>
      </c>
      <c r="J196" s="34" t="s">
        <v>402</v>
      </c>
      <c r="K196" s="97" t="s">
        <v>777</v>
      </c>
      <c r="L196" s="99">
        <v>10</v>
      </c>
      <c r="M196" s="34" t="str">
        <f>_xlfn.XLOOKUP(J196,B:B,A:A)&amp;"|"&amp;K196</f>
        <v>202|1609</v>
      </c>
      <c r="N196" s="34" t="str">
        <f t="shared" si="40"/>
        <v>1|15|10</v>
      </c>
      <c r="O196" s="73">
        <f t="shared" si="41"/>
        <v>100</v>
      </c>
      <c r="P196" s="100" t="str">
        <f t="shared" si="42"/>
        <v>1302,</v>
      </c>
      <c r="Q196" s="55" t="str">
        <f t="shared" si="43"/>
        <v>1301,1302,</v>
      </c>
    </row>
    <row r="197" spans="8:17">
      <c r="H197" s="90"/>
      <c r="I197" s="97" t="s">
        <v>778</v>
      </c>
      <c r="J197" s="34" t="s">
        <v>402</v>
      </c>
      <c r="K197" s="97" t="s">
        <v>779</v>
      </c>
      <c r="L197" s="99">
        <v>20</v>
      </c>
      <c r="M197" s="34" t="str">
        <f>_xlfn.XLOOKUP(J197,B:B,A:A)&amp;"|"&amp;K197</f>
        <v>202|1610</v>
      </c>
      <c r="N197" s="34" t="str">
        <f t="shared" si="40"/>
        <v>1|15|20</v>
      </c>
      <c r="O197" s="73">
        <f t="shared" si="41"/>
        <v>100</v>
      </c>
      <c r="P197" s="100" t="str">
        <f t="shared" si="42"/>
        <v>1303,</v>
      </c>
      <c r="Q197" s="55" t="str">
        <f t="shared" si="43"/>
        <v>1301,1302,1303,</v>
      </c>
    </row>
    <row r="198" spans="8:17">
      <c r="H198" s="90"/>
      <c r="I198" s="97" t="s">
        <v>780</v>
      </c>
      <c r="J198" s="34" t="s">
        <v>369</v>
      </c>
      <c r="K198" s="97" t="s">
        <v>781</v>
      </c>
      <c r="L198" s="99">
        <v>10</v>
      </c>
      <c r="M198" s="34" t="str">
        <f>_xlfn.XLOOKUP(J198,B:B,A:A)&amp;"|"&amp;K198</f>
        <v>1|18000</v>
      </c>
      <c r="N198" s="34" t="str">
        <f t="shared" si="40"/>
        <v>1|15|10</v>
      </c>
      <c r="O198" s="73">
        <f t="shared" si="41"/>
        <v>102</v>
      </c>
      <c r="P198" s="100" t="str">
        <f t="shared" si="42"/>
        <v>1304,</v>
      </c>
      <c r="Q198" s="55" t="str">
        <f t="shared" si="43"/>
        <v>1301,1302,1303,1304,</v>
      </c>
    </row>
    <row r="199" spans="8:17">
      <c r="H199" s="90"/>
      <c r="I199" s="97" t="s">
        <v>681</v>
      </c>
      <c r="J199" s="34" t="s">
        <v>417</v>
      </c>
      <c r="K199" s="97" t="s">
        <v>543</v>
      </c>
      <c r="L199" s="99">
        <v>20</v>
      </c>
      <c r="M199" s="34" t="str">
        <f>_xlfn.XLOOKUP(J199,B:B,A:A)&amp;"|"&amp;K199</f>
        <v>212|18</v>
      </c>
      <c r="N199" s="34" t="str">
        <f t="shared" si="40"/>
        <v>1|15|20</v>
      </c>
      <c r="O199" s="73">
        <f t="shared" si="41"/>
        <v>103</v>
      </c>
      <c r="P199" s="100" t="str">
        <f t="shared" si="42"/>
        <v>1305,</v>
      </c>
      <c r="Q199" s="55" t="str">
        <f t="shared" si="43"/>
        <v>1301,1302,1303,1304,1305,</v>
      </c>
    </row>
    <row r="200" spans="8:17">
      <c r="H200" s="90"/>
      <c r="I200" s="97" t="s">
        <v>782</v>
      </c>
      <c r="J200" s="34" t="s">
        <v>419</v>
      </c>
      <c r="K200" s="97" t="s">
        <v>647</v>
      </c>
      <c r="L200" s="99">
        <v>10</v>
      </c>
      <c r="M200" s="34" t="str">
        <f>_xlfn.XLOOKUP(J200,B:B,A:A)&amp;"|"&amp;K200</f>
        <v>221|55</v>
      </c>
      <c r="N200" s="34" t="str">
        <f t="shared" si="40"/>
        <v>1|15|10</v>
      </c>
      <c r="O200" s="73">
        <f t="shared" si="41"/>
        <v>114</v>
      </c>
      <c r="P200" s="100" t="str">
        <f t="shared" si="42"/>
        <v>1306,</v>
      </c>
      <c r="Q200" s="55" t="str">
        <f t="shared" si="43"/>
        <v>1301,1302,1303,1304,1305,1306,</v>
      </c>
    </row>
    <row r="201" spans="8:17">
      <c r="H201" s="90"/>
      <c r="I201" s="97" t="s">
        <v>783</v>
      </c>
      <c r="J201" s="34" t="s">
        <v>419</v>
      </c>
      <c r="K201" s="97" t="s">
        <v>555</v>
      </c>
      <c r="L201" s="99">
        <v>20</v>
      </c>
      <c r="M201" s="34" t="str">
        <f>_xlfn.XLOOKUP(J201,B:B,A:A)&amp;"|"&amp;K201</f>
        <v>221|60</v>
      </c>
      <c r="N201" s="34" t="str">
        <f t="shared" si="40"/>
        <v>1|15|20</v>
      </c>
      <c r="O201" s="73">
        <f t="shared" si="41"/>
        <v>114</v>
      </c>
      <c r="P201" s="100" t="str">
        <f t="shared" si="42"/>
        <v>1307,</v>
      </c>
      <c r="Q201" s="55" t="str">
        <f t="shared" si="43"/>
        <v>1301,1302,1303,1304,1305,1306,1307,</v>
      </c>
    </row>
    <row r="202" spans="8:17">
      <c r="H202" s="90"/>
      <c r="I202" s="97" t="s">
        <v>784</v>
      </c>
      <c r="J202" s="34" t="s">
        <v>424</v>
      </c>
      <c r="K202" s="97" t="s">
        <v>785</v>
      </c>
      <c r="L202" s="99">
        <v>10</v>
      </c>
      <c r="M202" s="34" t="str">
        <f>_xlfn.XLOOKUP(J202,B:B,A:A)&amp;"|"&amp;K202</f>
        <v>222|27</v>
      </c>
      <c r="N202" s="34" t="str">
        <f t="shared" si="40"/>
        <v>1|15|10</v>
      </c>
      <c r="O202" s="73">
        <f t="shared" si="41"/>
        <v>114</v>
      </c>
      <c r="P202" s="100" t="str">
        <f t="shared" si="42"/>
        <v>1308,</v>
      </c>
      <c r="Q202" s="55" t="str">
        <f t="shared" si="43"/>
        <v>1301,1302,1303,1304,1305,1306,1307,1308,</v>
      </c>
    </row>
    <row r="203" spans="8:17">
      <c r="H203" s="90"/>
      <c r="I203" s="97" t="s">
        <v>786</v>
      </c>
      <c r="J203" s="34" t="s">
        <v>424</v>
      </c>
      <c r="K203" s="97" t="s">
        <v>439</v>
      </c>
      <c r="L203" s="99">
        <v>20</v>
      </c>
      <c r="M203" s="34" t="str">
        <f>_xlfn.XLOOKUP(J203,B:B,A:A)&amp;"|"&amp;K203</f>
        <v>222|30</v>
      </c>
      <c r="N203" s="34" t="str">
        <f t="shared" si="40"/>
        <v>1|15|20</v>
      </c>
      <c r="O203" s="73">
        <f t="shared" ref="O203:O224" si="44">_xlfn.XLOOKUP(J203,B:B,D:D)</f>
        <v>114</v>
      </c>
      <c r="P203" s="100" t="str">
        <f t="shared" si="42"/>
        <v>1309,</v>
      </c>
      <c r="Q203" s="55" t="str">
        <f t="shared" si="43"/>
        <v>1301,1302,1303,1304,1305,1306,1307,1308,1309,</v>
      </c>
    </row>
    <row r="204" spans="8:17">
      <c r="H204" s="90"/>
      <c r="I204" s="97" t="s">
        <v>683</v>
      </c>
      <c r="J204" s="102" t="s">
        <v>495</v>
      </c>
      <c r="K204" s="97" t="s">
        <v>439</v>
      </c>
      <c r="L204" s="99">
        <v>10</v>
      </c>
      <c r="M204" s="34" t="str">
        <f>_xlfn.XLOOKUP(J204,B:B,A:A)&amp;"|"&amp;K204</f>
        <v>234|30</v>
      </c>
      <c r="N204" s="34" t="str">
        <f t="shared" si="40"/>
        <v>1|15|10</v>
      </c>
      <c r="O204" s="73">
        <f t="shared" si="44"/>
        <v>1</v>
      </c>
      <c r="P204" s="100" t="str">
        <f t="shared" si="42"/>
        <v>1310,</v>
      </c>
      <c r="Q204" s="55" t="str">
        <f t="shared" si="43"/>
        <v>1301,1302,1303,1304,1305,1306,1307,1308,1309,1310,</v>
      </c>
    </row>
    <row r="205" spans="8:17">
      <c r="H205" s="90"/>
      <c r="I205" s="97" t="s">
        <v>787</v>
      </c>
      <c r="J205" s="102" t="s">
        <v>495</v>
      </c>
      <c r="K205" s="97" t="s">
        <v>577</v>
      </c>
      <c r="L205" s="99">
        <v>20</v>
      </c>
      <c r="M205" s="34" t="str">
        <f>_xlfn.XLOOKUP(J205,B:B,A:A)&amp;"|"&amp;K205</f>
        <v>234|35</v>
      </c>
      <c r="N205" s="34" t="str">
        <f t="shared" si="40"/>
        <v>1|15|20</v>
      </c>
      <c r="O205" s="73">
        <f t="shared" si="44"/>
        <v>1</v>
      </c>
      <c r="P205" s="100" t="str">
        <f t="shared" si="42"/>
        <v>1311,</v>
      </c>
      <c r="Q205" s="55" t="str">
        <f t="shared" si="43"/>
        <v>1301,1302,1303,1304,1305,1306,1307,1308,1309,1310,1311,</v>
      </c>
    </row>
    <row r="206" spans="8:17">
      <c r="H206" s="90"/>
      <c r="I206" s="97" t="s">
        <v>788</v>
      </c>
      <c r="J206" s="102" t="s">
        <v>617</v>
      </c>
      <c r="K206" s="97" t="s">
        <v>474</v>
      </c>
      <c r="L206" s="99">
        <v>20</v>
      </c>
      <c r="M206" s="34" t="str">
        <f>_xlfn.XLOOKUP(J206,B:B,A:A)&amp;"|"&amp;K206</f>
        <v>275|12</v>
      </c>
      <c r="N206" s="34" t="str">
        <f t="shared" si="40"/>
        <v>1|15|20</v>
      </c>
      <c r="O206" s="73">
        <f t="shared" si="44"/>
        <v>133</v>
      </c>
      <c r="P206" s="100" t="str">
        <f t="shared" si="42"/>
        <v>1312,</v>
      </c>
      <c r="Q206" s="55" t="str">
        <f t="shared" si="43"/>
        <v>1301,1302,1303,1304,1305,1306,1307,1308,1309,1310,1311,1312,</v>
      </c>
    </row>
    <row r="207" spans="8:17">
      <c r="H207" s="90"/>
      <c r="I207" s="97" t="s">
        <v>789</v>
      </c>
      <c r="J207" s="102" t="s">
        <v>623</v>
      </c>
      <c r="K207" s="97" t="s">
        <v>474</v>
      </c>
      <c r="L207" s="99">
        <v>20</v>
      </c>
      <c r="M207" s="34" t="str">
        <f>_xlfn.XLOOKUP(J207,B:B,A:A)&amp;"|"&amp;K207</f>
        <v>277|12</v>
      </c>
      <c r="N207" s="34" t="str">
        <f t="shared" si="40"/>
        <v>1|15|20</v>
      </c>
      <c r="O207" s="73">
        <f t="shared" si="44"/>
        <v>134</v>
      </c>
      <c r="P207" s="100" t="str">
        <f t="shared" si="42"/>
        <v>1313,</v>
      </c>
      <c r="Q207" s="55" t="str">
        <f t="shared" si="43"/>
        <v>1301,1302,1303,1304,1305,1306,1307,1308,1309,1310,1311,1312,1313,</v>
      </c>
    </row>
    <row r="208" spans="8:17">
      <c r="H208" s="90"/>
      <c r="I208" s="97" t="s">
        <v>790</v>
      </c>
      <c r="J208" s="98" t="s">
        <v>506</v>
      </c>
      <c r="K208" s="97" t="s">
        <v>477</v>
      </c>
      <c r="L208" s="99">
        <v>20</v>
      </c>
      <c r="M208" s="34" t="str">
        <f>_xlfn.XLOOKUP(J208,B:B,A:A)&amp;"|"&amp;K208</f>
        <v>251|16</v>
      </c>
      <c r="N208" s="34" t="str">
        <f t="shared" si="40"/>
        <v>1|15|20</v>
      </c>
      <c r="O208" s="73">
        <f t="shared" si="44"/>
        <v>109</v>
      </c>
      <c r="P208" s="100" t="str">
        <f t="shared" si="42"/>
        <v>1314,</v>
      </c>
      <c r="Q208" s="55" t="str">
        <f t="shared" si="43"/>
        <v>1301,1302,1303,1304,1305,1306,1307,1308,1309,1310,1311,1312,1313,1314,</v>
      </c>
    </row>
    <row r="209" spans="8:16">
      <c r="H209" s="95"/>
      <c r="I209" s="97" t="s">
        <v>791</v>
      </c>
      <c r="J209" s="102" t="s">
        <v>585</v>
      </c>
      <c r="K209" s="97" t="s">
        <v>579</v>
      </c>
      <c r="L209" s="99">
        <v>20</v>
      </c>
      <c r="M209" s="34" t="str">
        <f>_xlfn.XLOOKUP(J209,B:B,A:A)&amp;"|"&amp;K209</f>
        <v>243|15</v>
      </c>
      <c r="N209" s="34" t="str">
        <f t="shared" si="40"/>
        <v>1|15|20</v>
      </c>
      <c r="O209" s="73">
        <f t="shared" si="44"/>
        <v>123</v>
      </c>
      <c r="P209" s="100" t="str">
        <f t="shared" si="42"/>
        <v>1315,</v>
      </c>
    </row>
    <row r="210" spans="8:17">
      <c r="H210" s="56" t="s">
        <v>792</v>
      </c>
      <c r="I210" s="96" t="s">
        <v>793</v>
      </c>
      <c r="J210" s="105" t="s">
        <v>391</v>
      </c>
      <c r="K210" s="103" t="s">
        <v>794</v>
      </c>
      <c r="L210" s="74">
        <v>10</v>
      </c>
      <c r="M210" s="6" t="str">
        <f>_xlfn.XLOOKUP(J210,B:B,A:A)&amp;"|"&amp;K210</f>
        <v>22|100</v>
      </c>
      <c r="N210" s="6" t="str">
        <f t="shared" si="40"/>
        <v>1|15|10</v>
      </c>
      <c r="O210" s="73">
        <f t="shared" si="44"/>
        <v>102</v>
      </c>
      <c r="P210" s="100" t="str">
        <f t="shared" si="42"/>
        <v>1401,</v>
      </c>
      <c r="Q210" s="55" t="str">
        <f t="shared" si="43"/>
        <v>1401,</v>
      </c>
    </row>
    <row r="211" spans="8:17">
      <c r="H211" s="93"/>
      <c r="I211" s="96" t="s">
        <v>795</v>
      </c>
      <c r="J211" s="105" t="s">
        <v>398</v>
      </c>
      <c r="K211" s="103" t="s">
        <v>573</v>
      </c>
      <c r="L211" s="74">
        <v>20</v>
      </c>
      <c r="M211" s="6" t="str">
        <f>_xlfn.XLOOKUP(J211,B:B,A:A)&amp;"|"&amp;K211</f>
        <v>23|14</v>
      </c>
      <c r="N211" s="6" t="str">
        <f t="shared" si="40"/>
        <v>1|15|20</v>
      </c>
      <c r="O211" s="73">
        <f t="shared" si="44"/>
        <v>139</v>
      </c>
      <c r="P211" s="100" t="str">
        <f t="shared" si="42"/>
        <v>1402,</v>
      </c>
      <c r="Q211" s="55" t="str">
        <f t="shared" si="43"/>
        <v>1401,1402,</v>
      </c>
    </row>
    <row r="212" spans="8:17">
      <c r="H212" s="93"/>
      <c r="I212" s="96" t="s">
        <v>796</v>
      </c>
      <c r="J212" s="105" t="s">
        <v>402</v>
      </c>
      <c r="K212" s="96" t="s">
        <v>797</v>
      </c>
      <c r="L212" s="74">
        <v>10</v>
      </c>
      <c r="M212" s="6" t="str">
        <f>_xlfn.XLOOKUP(J212,B:B,A:A)&amp;"|"&amp;K212</f>
        <v>202|1702</v>
      </c>
      <c r="N212" s="6" t="str">
        <f t="shared" si="40"/>
        <v>1|15|10</v>
      </c>
      <c r="O212" s="73">
        <f t="shared" si="44"/>
        <v>100</v>
      </c>
      <c r="P212" s="100" t="str">
        <f t="shared" si="42"/>
        <v>1403,</v>
      </c>
      <c r="Q212" s="55" t="str">
        <f t="shared" si="43"/>
        <v>1401,1402,1403,</v>
      </c>
    </row>
    <row r="213" spans="8:17">
      <c r="H213" s="93"/>
      <c r="I213" s="96" t="s">
        <v>798</v>
      </c>
      <c r="J213" s="105" t="s">
        <v>402</v>
      </c>
      <c r="K213" s="96" t="s">
        <v>799</v>
      </c>
      <c r="L213" s="74">
        <v>20</v>
      </c>
      <c r="M213" s="6" t="str">
        <f>_xlfn.XLOOKUP(J213,B:B,A:A)&amp;"|"&amp;K213</f>
        <v>202|1705</v>
      </c>
      <c r="N213" s="6" t="str">
        <f t="shared" si="40"/>
        <v>1|15|20</v>
      </c>
      <c r="O213" s="73">
        <f t="shared" si="44"/>
        <v>100</v>
      </c>
      <c r="P213" s="100" t="str">
        <f t="shared" si="42"/>
        <v>1404,</v>
      </c>
      <c r="Q213" s="55" t="str">
        <f t="shared" si="43"/>
        <v>1401,1402,1403,1404,</v>
      </c>
    </row>
    <row r="214" spans="8:17">
      <c r="H214" s="93"/>
      <c r="I214" s="96" t="s">
        <v>703</v>
      </c>
      <c r="J214" s="105" t="s">
        <v>369</v>
      </c>
      <c r="K214" s="96" t="s">
        <v>800</v>
      </c>
      <c r="L214" s="74">
        <v>10</v>
      </c>
      <c r="M214" s="6" t="str">
        <f>_xlfn.XLOOKUP(J214,B:B,A:A)&amp;"|"&amp;K214</f>
        <v>1|22000</v>
      </c>
      <c r="N214" s="6" t="str">
        <f t="shared" si="40"/>
        <v>1|15|10</v>
      </c>
      <c r="O214" s="73">
        <f t="shared" si="44"/>
        <v>102</v>
      </c>
      <c r="P214" s="100" t="str">
        <f t="shared" si="42"/>
        <v>1405,</v>
      </c>
      <c r="Q214" s="55" t="str">
        <f t="shared" si="43"/>
        <v>1401,1402,1403,1404,1405,</v>
      </c>
    </row>
    <row r="215" spans="8:17">
      <c r="H215" s="93"/>
      <c r="I215" s="96" t="s">
        <v>801</v>
      </c>
      <c r="J215" s="105" t="s">
        <v>417</v>
      </c>
      <c r="K215" s="96" t="s">
        <v>802</v>
      </c>
      <c r="L215" s="74">
        <v>20</v>
      </c>
      <c r="M215" s="6" t="str">
        <f>_xlfn.XLOOKUP(J215,B:B,A:A)&amp;"|"&amp;K215</f>
        <v>212|21</v>
      </c>
      <c r="N215" s="6" t="str">
        <f t="shared" si="40"/>
        <v>1|15|20</v>
      </c>
      <c r="O215" s="73">
        <f t="shared" si="44"/>
        <v>103</v>
      </c>
      <c r="P215" s="100" t="str">
        <f t="shared" si="42"/>
        <v>1406,</v>
      </c>
      <c r="Q215" s="55" t="str">
        <f t="shared" si="43"/>
        <v>1401,1402,1403,1404,1405,1406,</v>
      </c>
    </row>
    <row r="216" spans="8:17">
      <c r="H216" s="93"/>
      <c r="I216" s="96" t="s">
        <v>803</v>
      </c>
      <c r="J216" s="105" t="s">
        <v>419</v>
      </c>
      <c r="K216" s="96" t="s">
        <v>804</v>
      </c>
      <c r="L216" s="74">
        <v>10</v>
      </c>
      <c r="M216" s="6" t="str">
        <f>_xlfn.XLOOKUP(J216,B:B,A:A)&amp;"|"&amp;K216</f>
        <v>221|62</v>
      </c>
      <c r="N216" s="6" t="str">
        <f t="shared" si="40"/>
        <v>1|15|10</v>
      </c>
      <c r="O216" s="73">
        <f t="shared" si="44"/>
        <v>114</v>
      </c>
      <c r="P216" s="100" t="str">
        <f t="shared" si="42"/>
        <v>1407,</v>
      </c>
      <c r="Q216" s="55" t="str">
        <f t="shared" si="43"/>
        <v>1401,1402,1403,1404,1405,1406,1407,</v>
      </c>
    </row>
    <row r="217" spans="8:17">
      <c r="H217" s="93"/>
      <c r="I217" s="96" t="s">
        <v>805</v>
      </c>
      <c r="J217" s="105" t="s">
        <v>419</v>
      </c>
      <c r="K217" s="96" t="s">
        <v>670</v>
      </c>
      <c r="L217" s="74">
        <v>20</v>
      </c>
      <c r="M217" s="6" t="str">
        <f>_xlfn.XLOOKUP(J217,B:B,A:A)&amp;"|"&amp;K217</f>
        <v>221|65</v>
      </c>
      <c r="N217" s="6" t="str">
        <f t="shared" si="40"/>
        <v>1|15|20</v>
      </c>
      <c r="O217" s="73">
        <f t="shared" si="44"/>
        <v>114</v>
      </c>
      <c r="P217" s="100" t="str">
        <f t="shared" si="42"/>
        <v>1408,</v>
      </c>
      <c r="Q217" s="55" t="str">
        <f t="shared" si="43"/>
        <v>1401,1402,1403,1404,1405,1406,1407,1408,</v>
      </c>
    </row>
    <row r="218" spans="8:17">
      <c r="H218" s="93"/>
      <c r="I218" s="96" t="s">
        <v>806</v>
      </c>
      <c r="J218" s="105" t="s">
        <v>424</v>
      </c>
      <c r="K218" s="96" t="s">
        <v>807</v>
      </c>
      <c r="L218" s="74">
        <v>10</v>
      </c>
      <c r="M218" s="6" t="str">
        <f>_xlfn.XLOOKUP(J218,B:B,A:A)&amp;"|"&amp;K218</f>
        <v>222|32</v>
      </c>
      <c r="N218" s="6" t="str">
        <f t="shared" si="40"/>
        <v>1|15|10</v>
      </c>
      <c r="O218" s="73">
        <f t="shared" si="44"/>
        <v>114</v>
      </c>
      <c r="P218" s="100" t="str">
        <f t="shared" si="42"/>
        <v>1409,</v>
      </c>
      <c r="Q218" s="55" t="str">
        <f t="shared" si="43"/>
        <v>1401,1402,1403,1404,1405,1406,1407,1408,1409,</v>
      </c>
    </row>
    <row r="219" spans="8:17">
      <c r="H219" s="93"/>
      <c r="I219" s="96" t="s">
        <v>705</v>
      </c>
      <c r="J219" s="105" t="s">
        <v>424</v>
      </c>
      <c r="K219" s="96" t="s">
        <v>808</v>
      </c>
      <c r="L219" s="74">
        <v>20</v>
      </c>
      <c r="M219" s="6" t="str">
        <f>_xlfn.XLOOKUP(J219,B:B,A:A)&amp;"|"&amp;K219</f>
        <v>222|34</v>
      </c>
      <c r="N219" s="6" t="str">
        <f t="shared" si="40"/>
        <v>1|15|20</v>
      </c>
      <c r="O219" s="73">
        <f t="shared" si="44"/>
        <v>114</v>
      </c>
      <c r="P219" s="100" t="str">
        <f t="shared" si="42"/>
        <v>1410,</v>
      </c>
      <c r="Q219" s="55" t="str">
        <f t="shared" si="43"/>
        <v>1401,1402,1403,1404,1405,1406,1407,1408,1409,1410,</v>
      </c>
    </row>
    <row r="220" spans="8:17">
      <c r="H220" s="93"/>
      <c r="I220" s="96" t="s">
        <v>809</v>
      </c>
      <c r="J220" s="105" t="s">
        <v>486</v>
      </c>
      <c r="K220" s="103" t="s">
        <v>453</v>
      </c>
      <c r="L220" s="74">
        <v>10</v>
      </c>
      <c r="M220" s="6" t="str">
        <f>_xlfn.XLOOKUP(J220,B:B,A:A)&amp;"|"&amp;K220</f>
        <v>232|40</v>
      </c>
      <c r="N220" s="6" t="str">
        <f t="shared" si="40"/>
        <v>1|15|10</v>
      </c>
      <c r="O220" s="73">
        <f t="shared" si="44"/>
        <v>1</v>
      </c>
      <c r="P220" s="100" t="str">
        <f t="shared" si="42"/>
        <v>1411,</v>
      </c>
      <c r="Q220" s="55" t="str">
        <f t="shared" si="43"/>
        <v>1401,1402,1403,1404,1405,1406,1407,1408,1409,1410,1411,</v>
      </c>
    </row>
    <row r="221" spans="8:17">
      <c r="H221" s="93"/>
      <c r="I221" s="96" t="s">
        <v>810</v>
      </c>
      <c r="J221" s="105" t="s">
        <v>486</v>
      </c>
      <c r="K221" s="103" t="s">
        <v>615</v>
      </c>
      <c r="L221" s="74">
        <v>20</v>
      </c>
      <c r="M221" s="6" t="str">
        <f>_xlfn.XLOOKUP(J221,B:B,A:A)&amp;"|"&amp;K221</f>
        <v>232|45</v>
      </c>
      <c r="N221" s="6" t="str">
        <f t="shared" si="40"/>
        <v>1|15|20</v>
      </c>
      <c r="O221" s="73">
        <f t="shared" si="44"/>
        <v>1</v>
      </c>
      <c r="P221" s="100" t="str">
        <f t="shared" si="42"/>
        <v>1412,</v>
      </c>
      <c r="Q221" s="55" t="str">
        <f t="shared" si="43"/>
        <v>1401,1402,1403,1404,1405,1406,1407,1408,1409,1410,1411,1412,</v>
      </c>
    </row>
    <row r="222" spans="8:17">
      <c r="H222" s="93"/>
      <c r="I222" s="96" t="s">
        <v>811</v>
      </c>
      <c r="J222" s="85" t="s">
        <v>442</v>
      </c>
      <c r="K222" s="96" t="s">
        <v>474</v>
      </c>
      <c r="L222" s="74">
        <v>20</v>
      </c>
      <c r="M222" s="6" t="str">
        <f>_xlfn.XLOOKUP(J222,B:B,A:A)&amp;"|"&amp;K222</f>
        <v>271|12</v>
      </c>
      <c r="N222" s="6" t="str">
        <f t="shared" si="40"/>
        <v>1|15|20</v>
      </c>
      <c r="O222" s="73">
        <f t="shared" si="44"/>
        <v>132</v>
      </c>
      <c r="P222" s="100" t="str">
        <f t="shared" si="42"/>
        <v>1413,</v>
      </c>
      <c r="Q222" s="55" t="str">
        <f t="shared" si="43"/>
        <v>1401,1402,1403,1404,1405,1406,1407,1408,1409,1410,1411,1412,1413,</v>
      </c>
    </row>
    <row r="223" spans="8:17">
      <c r="H223" s="93"/>
      <c r="I223" s="96" t="s">
        <v>812</v>
      </c>
      <c r="J223" s="114" t="s">
        <v>548</v>
      </c>
      <c r="K223" s="96" t="s">
        <v>474</v>
      </c>
      <c r="L223" s="74">
        <v>20</v>
      </c>
      <c r="M223" s="6" t="str">
        <f>_xlfn.XLOOKUP(J223,B:B,A:A)&amp;"|"&amp;K223</f>
        <v>273|12</v>
      </c>
      <c r="N223" s="6" t="str">
        <f t="shared" si="40"/>
        <v>1|15|20</v>
      </c>
      <c r="O223" s="73">
        <f t="shared" si="44"/>
        <v>131</v>
      </c>
      <c r="P223" s="100" t="str">
        <f t="shared" si="42"/>
        <v>1414,</v>
      </c>
      <c r="Q223" s="55" t="str">
        <f t="shared" si="43"/>
        <v>1401,1402,1403,1404,1405,1406,1407,1408,1409,1410,1411,1412,1413,1414,</v>
      </c>
    </row>
    <row r="224" spans="8:17">
      <c r="H224" s="94"/>
      <c r="I224" s="96" t="s">
        <v>813</v>
      </c>
      <c r="J224" s="104" t="s">
        <v>506</v>
      </c>
      <c r="K224" s="96" t="s">
        <v>579</v>
      </c>
      <c r="L224" s="74">
        <v>20</v>
      </c>
      <c r="M224" s="6" t="str">
        <f>_xlfn.XLOOKUP(J224,B:B,A:A)&amp;"|"&amp;K224</f>
        <v>251|15</v>
      </c>
      <c r="N224" s="6" t="str">
        <f t="shared" si="40"/>
        <v>1|15|20</v>
      </c>
      <c r="O224" s="73">
        <f t="shared" si="44"/>
        <v>109</v>
      </c>
      <c r="P224" s="100" t="str">
        <f t="shared" si="42"/>
        <v>1415,</v>
      </c>
      <c r="Q224" s="55" t="str">
        <f t="shared" si="43"/>
        <v>1401,1402,1403,1404,1405,1406,1407,1408,1409,1410,1411,1412,1413,1414,1415,</v>
      </c>
    </row>
  </sheetData>
  <mergeCells count="16">
    <mergeCell ref="H6:H23"/>
    <mergeCell ref="H24:H42"/>
    <mergeCell ref="H43:H59"/>
    <mergeCell ref="H60:H74"/>
    <mergeCell ref="H75:H89"/>
    <mergeCell ref="H90:H104"/>
    <mergeCell ref="H105:H119"/>
    <mergeCell ref="H120:H134"/>
    <mergeCell ref="H135:H149"/>
    <mergeCell ref="H150:H164"/>
    <mergeCell ref="H165:H179"/>
    <mergeCell ref="H180:H194"/>
    <mergeCell ref="H195:H209"/>
    <mergeCell ref="H210:H224"/>
    <mergeCell ref="X5:X11"/>
    <mergeCell ref="X12:X17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2:Q24"/>
  <sheetViews>
    <sheetView workbookViewId="0">
      <selection activeCell="S10" sqref="S10"/>
    </sheetView>
  </sheetViews>
  <sheetFormatPr defaultColWidth="8.88888888888889" defaultRowHeight="14.4"/>
  <cols>
    <col min="6" max="6" width="20.6666666666667" customWidth="1"/>
    <col min="12" max="12" width="13.5555555555556" customWidth="1"/>
  </cols>
  <sheetData>
    <row r="2" spans="6:17">
      <c r="F2" s="9" t="s">
        <v>383</v>
      </c>
      <c r="G2" s="9" t="s">
        <v>814</v>
      </c>
      <c r="H2" s="9" t="s">
        <v>815</v>
      </c>
      <c r="I2" s="9" t="s">
        <v>323</v>
      </c>
      <c r="J2" s="9" t="s">
        <v>816</v>
      </c>
      <c r="K2" s="9" t="s">
        <v>323</v>
      </c>
      <c r="L2" s="9" t="s">
        <v>817</v>
      </c>
      <c r="M2" s="9" t="s">
        <v>323</v>
      </c>
      <c r="N2" s="9" t="s">
        <v>339</v>
      </c>
      <c r="O2" s="9" t="s">
        <v>340</v>
      </c>
      <c r="P2" s="9" t="s">
        <v>818</v>
      </c>
      <c r="Q2" s="9" t="s">
        <v>341</v>
      </c>
    </row>
    <row r="3" ht="15.6" spans="6:17">
      <c r="F3" s="9" t="s">
        <v>819</v>
      </c>
      <c r="G3" s="9">
        <v>50</v>
      </c>
      <c r="H3" s="9" t="s">
        <v>6</v>
      </c>
      <c r="I3" s="9">
        <v>200</v>
      </c>
      <c r="J3" s="9" t="s">
        <v>67</v>
      </c>
      <c r="K3" s="9">
        <v>10</v>
      </c>
      <c r="L3" s="9"/>
      <c r="M3" s="9"/>
      <c r="N3" s="6">
        <f>_xlfn.XLOOKUP(H3,道具表!$B:$B,道具表!$E:$E)</f>
        <v>1</v>
      </c>
      <c r="O3" s="6">
        <f>_xlfn.XLOOKUP(J3,道具表!$B:$B,道具表!$E:$E)</f>
        <v>50</v>
      </c>
      <c r="P3" s="6">
        <f>_xlfn.XLOOKUP(L3,道具表!$B:$B,道具表!$E:$E)</f>
        <v>0</v>
      </c>
      <c r="Q3" s="9">
        <f>N3*(I3+O3*K3+P3*M3)</f>
        <v>700</v>
      </c>
    </row>
    <row r="4" ht="15.6" spans="6:17">
      <c r="F4" s="9" t="s">
        <v>819</v>
      </c>
      <c r="G4" s="9">
        <v>70</v>
      </c>
      <c r="H4" s="9" t="s">
        <v>6</v>
      </c>
      <c r="I4" s="9">
        <v>300</v>
      </c>
      <c r="J4" s="9" t="s">
        <v>48</v>
      </c>
      <c r="K4" s="9">
        <v>10</v>
      </c>
      <c r="L4" s="9"/>
      <c r="M4" s="9"/>
      <c r="N4" s="6">
        <f>_xlfn.XLOOKUP(H4,道具表!$B:$B,道具表!$E:$E)</f>
        <v>1</v>
      </c>
      <c r="O4" s="6">
        <f>_xlfn.XLOOKUP(J4,道具表!$B:$B,道具表!$E:$E)</f>
        <v>102</v>
      </c>
      <c r="P4" s="6">
        <f>_xlfn.XLOOKUP(L4,道具表!$B:$B,道具表!$E:$E)</f>
        <v>0</v>
      </c>
      <c r="Q4" s="9">
        <f t="shared" ref="Q4:Q10" si="0">N4*(I4+O4*K4+P4*M4)</f>
        <v>1320</v>
      </c>
    </row>
    <row r="5" ht="15.6" spans="6:17">
      <c r="F5" s="9" t="s">
        <v>819</v>
      </c>
      <c r="G5" s="9">
        <v>100</v>
      </c>
      <c r="H5" s="9" t="s">
        <v>6</v>
      </c>
      <c r="I5" s="9">
        <v>400</v>
      </c>
      <c r="J5" s="9" t="s">
        <v>10</v>
      </c>
      <c r="K5" s="9">
        <v>20</v>
      </c>
      <c r="L5" s="9"/>
      <c r="M5" s="9"/>
      <c r="N5" s="6">
        <f>_xlfn.XLOOKUP(H5,道具表!$B:$B,道具表!$E:$E)</f>
        <v>1</v>
      </c>
      <c r="O5" s="6">
        <f>_xlfn.XLOOKUP(J5,道具表!$B:$B,道具表!$E:$E)</f>
        <v>100</v>
      </c>
      <c r="P5" s="6">
        <f>_xlfn.XLOOKUP(L5,道具表!$B:$B,道具表!$E:$E)</f>
        <v>0</v>
      </c>
      <c r="Q5" s="9">
        <f t="shared" si="0"/>
        <v>2400</v>
      </c>
    </row>
    <row r="6" ht="15.6" spans="6:17">
      <c r="F6" s="9" t="s">
        <v>819</v>
      </c>
      <c r="G6" s="9">
        <v>150</v>
      </c>
      <c r="H6" s="9" t="s">
        <v>6</v>
      </c>
      <c r="I6" s="9">
        <v>600</v>
      </c>
      <c r="J6" s="9" t="s">
        <v>198</v>
      </c>
      <c r="K6" s="9">
        <v>1</v>
      </c>
      <c r="L6" s="9" t="s">
        <v>198</v>
      </c>
      <c r="M6" s="9">
        <v>1</v>
      </c>
      <c r="N6" s="6">
        <f>_xlfn.XLOOKUP(H6,道具表!$B:$B,道具表!$E:$E)</f>
        <v>1</v>
      </c>
      <c r="O6" s="6">
        <f>_xlfn.XLOOKUP(J6,道具表!$B:$B,道具表!$E:$E)</f>
        <v>0</v>
      </c>
      <c r="P6" s="6">
        <f>_xlfn.XLOOKUP(L6,道具表!$B:$B,道具表!$E:$E)</f>
        <v>0</v>
      </c>
      <c r="Q6" s="9">
        <f t="shared" si="0"/>
        <v>600</v>
      </c>
    </row>
    <row r="7" ht="15.6" spans="6:17">
      <c r="F7" s="9" t="s">
        <v>820</v>
      </c>
      <c r="G7" s="9">
        <v>40</v>
      </c>
      <c r="H7" s="9" t="s">
        <v>6</v>
      </c>
      <c r="I7" s="9">
        <v>200</v>
      </c>
      <c r="J7" s="9" t="s">
        <v>41</v>
      </c>
      <c r="K7" s="9">
        <v>5</v>
      </c>
      <c r="L7" s="9" t="s">
        <v>42</v>
      </c>
      <c r="M7" s="9">
        <v>10</v>
      </c>
      <c r="N7" s="6">
        <f>_xlfn.XLOOKUP(H7,道具表!$B:$B,道具表!$E:$E)</f>
        <v>1</v>
      </c>
      <c r="O7" s="6">
        <f>_xlfn.XLOOKUP(J7,道具表!$B:$B,道具表!$E:$E)</f>
        <v>100</v>
      </c>
      <c r="P7" s="6">
        <f>_xlfn.XLOOKUP(L7,道具表!$B:$B,道具表!$E:$E)</f>
        <v>40</v>
      </c>
      <c r="Q7" s="9">
        <f t="shared" si="0"/>
        <v>1100</v>
      </c>
    </row>
    <row r="8" ht="15.6" spans="6:17">
      <c r="F8" s="9" t="s">
        <v>820</v>
      </c>
      <c r="G8" s="9">
        <v>60</v>
      </c>
      <c r="H8" s="9" t="s">
        <v>6</v>
      </c>
      <c r="I8" s="9">
        <v>300</v>
      </c>
      <c r="J8" s="9" t="s">
        <v>41</v>
      </c>
      <c r="K8" s="9">
        <v>10</v>
      </c>
      <c r="L8" s="9" t="s">
        <v>42</v>
      </c>
      <c r="M8" s="9">
        <v>20</v>
      </c>
      <c r="N8" s="6">
        <f>_xlfn.XLOOKUP(H8,道具表!$B:$B,道具表!$E:$E)</f>
        <v>1</v>
      </c>
      <c r="O8" s="6">
        <f>_xlfn.XLOOKUP(J8,道具表!$B:$B,道具表!$E:$E)</f>
        <v>100</v>
      </c>
      <c r="P8" s="6">
        <f>_xlfn.XLOOKUP(L8,道具表!$B:$B,道具表!$E:$E)</f>
        <v>40</v>
      </c>
      <c r="Q8" s="9">
        <f t="shared" si="0"/>
        <v>2100</v>
      </c>
    </row>
    <row r="9" ht="15.6" spans="6:17">
      <c r="F9" s="9" t="s">
        <v>820</v>
      </c>
      <c r="G9" s="9">
        <v>80</v>
      </c>
      <c r="H9" s="9" t="s">
        <v>6</v>
      </c>
      <c r="I9" s="9">
        <v>400</v>
      </c>
      <c r="J9" s="9" t="s">
        <v>41</v>
      </c>
      <c r="K9" s="9">
        <v>15</v>
      </c>
      <c r="L9" s="9" t="s">
        <v>42</v>
      </c>
      <c r="M9" s="9">
        <v>30</v>
      </c>
      <c r="N9" s="6">
        <f>_xlfn.XLOOKUP(H9,道具表!$B:$B,道具表!$E:$E)</f>
        <v>1</v>
      </c>
      <c r="O9" s="6">
        <f>_xlfn.XLOOKUP(J9,道具表!$B:$B,道具表!$E:$E)</f>
        <v>100</v>
      </c>
      <c r="P9" s="6">
        <f>_xlfn.XLOOKUP(L9,道具表!$B:$B,道具表!$E:$E)</f>
        <v>40</v>
      </c>
      <c r="Q9" s="9">
        <f t="shared" si="0"/>
        <v>3100</v>
      </c>
    </row>
    <row r="10" ht="15.6" spans="6:17">
      <c r="F10" s="9" t="s">
        <v>820</v>
      </c>
      <c r="G10" s="9">
        <v>100</v>
      </c>
      <c r="H10" s="9" t="s">
        <v>6</v>
      </c>
      <c r="I10" s="9">
        <v>600</v>
      </c>
      <c r="J10" s="9" t="s">
        <v>199</v>
      </c>
      <c r="K10" s="9">
        <v>1</v>
      </c>
      <c r="L10" s="9" t="s">
        <v>41</v>
      </c>
      <c r="M10" s="9">
        <v>25</v>
      </c>
      <c r="N10" s="6">
        <f>_xlfn.XLOOKUP(H10,道具表!$B:$B,道具表!$E:$E)</f>
        <v>1</v>
      </c>
      <c r="O10" s="6">
        <f>_xlfn.XLOOKUP(J10,道具表!$B:$B,道具表!$E:$E)</f>
        <v>0</v>
      </c>
      <c r="P10" s="6">
        <f>_xlfn.XLOOKUP(L10,道具表!$B:$B,道具表!$E:$E)</f>
        <v>100</v>
      </c>
      <c r="Q10" s="9">
        <f t="shared" si="0"/>
        <v>3100</v>
      </c>
    </row>
    <row r="16" spans="8:14">
      <c r="H16" s="9" t="s">
        <v>815</v>
      </c>
      <c r="I16" s="9" t="str">
        <f>I2</f>
        <v>数量</v>
      </c>
      <c r="J16" s="9" t="s">
        <v>816</v>
      </c>
      <c r="K16" s="9" t="str">
        <f t="shared" ref="K16:K24" si="1">K2</f>
        <v>数量</v>
      </c>
      <c r="L16" s="9" t="s">
        <v>817</v>
      </c>
      <c r="M16" s="9" t="str">
        <f t="shared" ref="M16:M24" si="2">M2</f>
        <v>数量</v>
      </c>
      <c r="N16" s="9" t="s">
        <v>327</v>
      </c>
    </row>
    <row r="17" ht="15.6" spans="8:14">
      <c r="H17" s="6" t="str">
        <f>_xlfn.XLOOKUP(H3,道具表!$B:$B,道具表!$C:$C)&amp;"|"&amp;_xlfn.XLOOKUP(H3,道具表!$B:$B,道具表!$A:$A)&amp;"|"</f>
        <v>1|2|</v>
      </c>
      <c r="I17" s="9">
        <f t="shared" ref="I17:I24" si="3">I3</f>
        <v>200</v>
      </c>
      <c r="J17" s="6" t="str">
        <f>_xlfn.XLOOKUP(J3,道具表!$B:$B,道具表!$C:$C)&amp;"|"&amp;_xlfn.XLOOKUP(J3,道具表!$B:$B,道具表!$A:$A)&amp;"|"</f>
        <v>1|10030|</v>
      </c>
      <c r="K17" s="9">
        <f t="shared" si="1"/>
        <v>10</v>
      </c>
      <c r="L17" s="6"/>
      <c r="M17" s="9"/>
      <c r="N17" s="13" t="str">
        <f>H17&amp;I17&amp;","&amp;J17&amp;K17</f>
        <v>1|2|200,1|10030|10</v>
      </c>
    </row>
    <row r="18" ht="15.6" spans="8:14">
      <c r="H18" s="6" t="str">
        <f>_xlfn.XLOOKUP(H4,道具表!$B:$B,道具表!$C:$C)&amp;"|"&amp;_xlfn.XLOOKUP(H4,道具表!$B:$B,道具表!$A:$A)&amp;"|"</f>
        <v>1|2|</v>
      </c>
      <c r="I18" s="9">
        <f t="shared" si="3"/>
        <v>300</v>
      </c>
      <c r="J18" s="6" t="str">
        <f>_xlfn.XLOOKUP(J4,道具表!$B:$B,道具表!$C:$C)&amp;"|"&amp;_xlfn.XLOOKUP(J4,道具表!$B:$B,道具表!$A:$A)&amp;"|"</f>
        <v>1|10009|</v>
      </c>
      <c r="K18" s="9">
        <f t="shared" si="1"/>
        <v>10</v>
      </c>
      <c r="L18" s="6"/>
      <c r="M18" s="9"/>
      <c r="N18" s="13" t="str">
        <f>H18&amp;I18&amp;","&amp;J18&amp;K18</f>
        <v>1|2|300,1|10009|10</v>
      </c>
    </row>
    <row r="19" ht="15.6" spans="8:14">
      <c r="H19" s="6" t="str">
        <f>_xlfn.XLOOKUP(H5,道具表!$B:$B,道具表!$C:$C)&amp;"|"&amp;_xlfn.XLOOKUP(H5,道具表!$B:$B,道具表!$A:$A)&amp;"|"</f>
        <v>1|2|</v>
      </c>
      <c r="I19" s="9">
        <f t="shared" si="3"/>
        <v>400</v>
      </c>
      <c r="J19" s="6" t="str">
        <f>_xlfn.XLOOKUP(J5,道具表!$B:$B,道具表!$C:$C)&amp;"|"&amp;_xlfn.XLOOKUP(J5,道具表!$B:$B,道具表!$A:$A)&amp;"|"</f>
        <v>1|6|</v>
      </c>
      <c r="K19" s="9">
        <f t="shared" si="1"/>
        <v>20</v>
      </c>
      <c r="L19" s="6"/>
      <c r="M19" s="9"/>
      <c r="N19" s="13" t="str">
        <f>H19&amp;I19&amp;","&amp;J19&amp;K19</f>
        <v>1|2|400,1|6|20</v>
      </c>
    </row>
    <row r="20" ht="15.6" spans="8:14">
      <c r="H20" s="6" t="str">
        <f>_xlfn.XLOOKUP(H6,道具表!$B:$B,道具表!$C:$C)&amp;"|"&amp;_xlfn.XLOOKUP(H6,道具表!$B:$B,道具表!$A:$A)&amp;"|"</f>
        <v>1|2|</v>
      </c>
      <c r="I20" s="9">
        <f t="shared" si="3"/>
        <v>600</v>
      </c>
      <c r="J20" s="6" t="str">
        <f>_xlfn.XLOOKUP(J6,道具表!$B:$B,道具表!$C:$C)&amp;"|"&amp;_xlfn.XLOOKUP(J6,道具表!$B:$B,道具表!$A:$A)&amp;"|"</f>
        <v>7|201|</v>
      </c>
      <c r="K20" s="9">
        <f t="shared" si="1"/>
        <v>1</v>
      </c>
      <c r="L20" s="6" t="str">
        <f>_xlfn.XLOOKUP(L6,道具表!$B:$B,道具表!$C:$C)&amp;"|"&amp;_xlfn.XLOOKUP(L6,道具表!$B:$B,道具表!$A:$A)&amp;"|"</f>
        <v>7|201|</v>
      </c>
      <c r="M20" s="9">
        <f t="shared" si="2"/>
        <v>1</v>
      </c>
      <c r="N20" s="13" t="str">
        <f t="shared" ref="N17:N24" si="4">H20&amp;I20&amp;","&amp;J20&amp;K20&amp;","&amp;L20&amp;M20</f>
        <v>1|2|600,7|201|1,7|201|1</v>
      </c>
    </row>
    <row r="21" ht="15.6" spans="8:14">
      <c r="H21" s="6" t="str">
        <f>_xlfn.XLOOKUP(H7,道具表!$B:$B,道具表!$C:$C)&amp;"|"&amp;_xlfn.XLOOKUP(H7,道具表!$B:$B,道具表!$A:$A)&amp;"|"</f>
        <v>1|2|</v>
      </c>
      <c r="I21" s="9">
        <f t="shared" si="3"/>
        <v>200</v>
      </c>
      <c r="J21" s="6" t="str">
        <f>_xlfn.XLOOKUP(J7,道具表!$B:$B,道具表!$C:$C)&amp;"|"&amp;_xlfn.XLOOKUP(J7,道具表!$B:$B,道具表!$A:$A)&amp;"|"</f>
        <v>1|10001|</v>
      </c>
      <c r="K21" s="9">
        <f t="shared" si="1"/>
        <v>5</v>
      </c>
      <c r="L21" s="6" t="str">
        <f>_xlfn.XLOOKUP(L7,道具表!$B:$B,道具表!$C:$C)&amp;"|"&amp;_xlfn.XLOOKUP(L7,道具表!$B:$B,道具表!$A:$A)&amp;"|"</f>
        <v>1|10002|</v>
      </c>
      <c r="M21" s="9">
        <f t="shared" si="2"/>
        <v>10</v>
      </c>
      <c r="N21" s="13" t="str">
        <f t="shared" si="4"/>
        <v>1|2|200,1|10001|5,1|10002|10</v>
      </c>
    </row>
    <row r="22" ht="15.6" spans="8:14">
      <c r="H22" s="6" t="str">
        <f>_xlfn.XLOOKUP(H8,道具表!$B:$B,道具表!$C:$C)&amp;"|"&amp;_xlfn.XLOOKUP(H8,道具表!$B:$B,道具表!$A:$A)&amp;"|"</f>
        <v>1|2|</v>
      </c>
      <c r="I22" s="9">
        <f t="shared" si="3"/>
        <v>300</v>
      </c>
      <c r="J22" s="6" t="str">
        <f>_xlfn.XLOOKUP(J8,道具表!$B:$B,道具表!$C:$C)&amp;"|"&amp;_xlfn.XLOOKUP(J8,道具表!$B:$B,道具表!$A:$A)&amp;"|"</f>
        <v>1|10001|</v>
      </c>
      <c r="K22" s="9">
        <f t="shared" si="1"/>
        <v>10</v>
      </c>
      <c r="L22" s="6" t="str">
        <f>_xlfn.XLOOKUP(L8,道具表!$B:$B,道具表!$C:$C)&amp;"|"&amp;_xlfn.XLOOKUP(L8,道具表!$B:$B,道具表!$A:$A)&amp;"|"</f>
        <v>1|10002|</v>
      </c>
      <c r="M22" s="9">
        <f t="shared" si="2"/>
        <v>20</v>
      </c>
      <c r="N22" s="13" t="str">
        <f t="shared" si="4"/>
        <v>1|2|300,1|10001|10,1|10002|20</v>
      </c>
    </row>
    <row r="23" ht="15.6" spans="8:14">
      <c r="H23" s="6" t="str">
        <f>_xlfn.XLOOKUP(H9,道具表!$B:$B,道具表!$C:$C)&amp;"|"&amp;_xlfn.XLOOKUP(H9,道具表!$B:$B,道具表!$A:$A)&amp;"|"</f>
        <v>1|2|</v>
      </c>
      <c r="I23" s="9">
        <f t="shared" si="3"/>
        <v>400</v>
      </c>
      <c r="J23" s="6" t="str">
        <f>_xlfn.XLOOKUP(J9,道具表!$B:$B,道具表!$C:$C)&amp;"|"&amp;_xlfn.XLOOKUP(J9,道具表!$B:$B,道具表!$A:$A)&amp;"|"</f>
        <v>1|10001|</v>
      </c>
      <c r="K23" s="9">
        <f t="shared" si="1"/>
        <v>15</v>
      </c>
      <c r="L23" s="6" t="str">
        <f>_xlfn.XLOOKUP(L9,道具表!$B:$B,道具表!$C:$C)&amp;"|"&amp;_xlfn.XLOOKUP(L9,道具表!$B:$B,道具表!$A:$A)&amp;"|"</f>
        <v>1|10002|</v>
      </c>
      <c r="M23" s="9">
        <f t="shared" si="2"/>
        <v>30</v>
      </c>
      <c r="N23" s="13" t="str">
        <f t="shared" si="4"/>
        <v>1|2|400,1|10001|15,1|10002|30</v>
      </c>
    </row>
    <row r="24" ht="15.6" spans="8:14">
      <c r="H24" s="6" t="str">
        <f>_xlfn.XLOOKUP(H10,道具表!$B:$B,道具表!$C:$C)&amp;"|"&amp;_xlfn.XLOOKUP(H10,道具表!$B:$B,道具表!$A:$A)&amp;"|"</f>
        <v>1|2|</v>
      </c>
      <c r="I24" s="9">
        <f t="shared" si="3"/>
        <v>600</v>
      </c>
      <c r="J24" s="6" t="str">
        <f>_xlfn.XLOOKUP(J10,道具表!$B:$B,道具表!$C:$C)&amp;"|"&amp;_xlfn.XLOOKUP(J10,道具表!$B:$B,道具表!$A:$A)&amp;"|"</f>
        <v>7|202|</v>
      </c>
      <c r="K24" s="9">
        <f t="shared" si="1"/>
        <v>1</v>
      </c>
      <c r="L24" s="6" t="str">
        <f>_xlfn.XLOOKUP(L10,道具表!$B:$B,道具表!$C:$C)&amp;"|"&amp;_xlfn.XLOOKUP(L10,道具表!$B:$B,道具表!$A:$A)&amp;"|"</f>
        <v>1|10001|</v>
      </c>
      <c r="M24" s="9">
        <f t="shared" si="2"/>
        <v>25</v>
      </c>
      <c r="N24" s="13" t="str">
        <f t="shared" si="4"/>
        <v>1|2|600,7|202|1,1|10001|25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48"/>
  <sheetViews>
    <sheetView zoomScale="115" zoomScaleNormal="115" topLeftCell="B1" workbookViewId="0">
      <selection activeCell="F15" sqref="F15"/>
    </sheetView>
  </sheetViews>
  <sheetFormatPr defaultColWidth="8.88888888888889" defaultRowHeight="14.4"/>
  <cols>
    <col min="4" max="12" width="12.2222222222222" customWidth="1"/>
    <col min="13" max="13" width="13.6666666666667" customWidth="1"/>
  </cols>
  <sheetData>
    <row r="2" spans="9:10">
      <c r="I2" t="s">
        <v>821</v>
      </c>
      <c r="J2" t="s">
        <v>822</v>
      </c>
    </row>
    <row r="3" ht="15.6" spans="2:13">
      <c r="B3" s="16"/>
      <c r="C3" s="16"/>
      <c r="D3" s="6" t="s">
        <v>823</v>
      </c>
      <c r="E3" s="6" t="s">
        <v>322</v>
      </c>
      <c r="F3" s="6" t="s">
        <v>323</v>
      </c>
      <c r="G3" s="6" t="s">
        <v>385</v>
      </c>
      <c r="H3" s="6" t="s">
        <v>327</v>
      </c>
      <c r="I3" s="6" t="s">
        <v>824</v>
      </c>
      <c r="J3" s="6" t="s">
        <v>322</v>
      </c>
      <c r="K3" s="6" t="s">
        <v>323</v>
      </c>
      <c r="L3" s="6" t="s">
        <v>385</v>
      </c>
      <c r="M3" s="6" t="s">
        <v>327</v>
      </c>
    </row>
    <row r="4" ht="15.6" spans="2:13">
      <c r="B4" s="16"/>
      <c r="C4" s="16"/>
      <c r="D4" s="6">
        <v>2</v>
      </c>
      <c r="E4" s="6" t="s">
        <v>6</v>
      </c>
      <c r="F4" s="6">
        <v>10</v>
      </c>
      <c r="G4" s="6" t="str">
        <f>"23|"&amp;D4</f>
        <v>23|2</v>
      </c>
      <c r="H4" s="6" t="str">
        <f>"1|2|"&amp;F4</f>
        <v>1|2|10</v>
      </c>
      <c r="I4" s="6">
        <v>100</v>
      </c>
      <c r="J4" s="6" t="s">
        <v>47</v>
      </c>
      <c r="K4" s="6">
        <v>4</v>
      </c>
      <c r="L4" s="6" t="str">
        <f>"1|"&amp;I4</f>
        <v>1|100</v>
      </c>
      <c r="M4" s="6" t="str">
        <f>"1|10007|"&amp;K4</f>
        <v>1|10007|4</v>
      </c>
    </row>
    <row r="5" ht="15.6" spans="2:13">
      <c r="B5" s="16"/>
      <c r="C5" s="16"/>
      <c r="D5" s="6">
        <v>3</v>
      </c>
      <c r="E5" s="6" t="s">
        <v>6</v>
      </c>
      <c r="F5" s="6">
        <v>20</v>
      </c>
      <c r="G5" s="6" t="str">
        <f t="shared" ref="G5:G17" si="0">"23|"&amp;D5</f>
        <v>23|3</v>
      </c>
      <c r="H5" s="6" t="str">
        <f t="shared" ref="H5:H17" si="1">"1|2|"&amp;F5</f>
        <v>1|2|20</v>
      </c>
      <c r="I5" s="6">
        <v>200</v>
      </c>
      <c r="J5" s="6" t="s">
        <v>47</v>
      </c>
      <c r="K5" s="6">
        <v>8</v>
      </c>
      <c r="L5" s="6" t="str">
        <f t="shared" ref="L5:L14" si="2">"1|"&amp;I5</f>
        <v>1|200</v>
      </c>
      <c r="M5" s="6" t="str">
        <f t="shared" ref="M5:M14" si="3">"1|10007|"&amp;K5</f>
        <v>1|10007|8</v>
      </c>
    </row>
    <row r="6" ht="15.6" spans="2:13">
      <c r="B6" s="16"/>
      <c r="C6" s="16"/>
      <c r="D6" s="6">
        <v>4</v>
      </c>
      <c r="E6" s="6" t="s">
        <v>6</v>
      </c>
      <c r="F6" s="6">
        <v>30</v>
      </c>
      <c r="G6" s="6" t="str">
        <f t="shared" si="0"/>
        <v>23|4</v>
      </c>
      <c r="H6" s="6" t="str">
        <f t="shared" si="1"/>
        <v>1|2|30</v>
      </c>
      <c r="I6" s="6">
        <v>400</v>
      </c>
      <c r="J6" s="6" t="s">
        <v>47</v>
      </c>
      <c r="K6" s="6">
        <v>16</v>
      </c>
      <c r="L6" s="6" t="str">
        <f t="shared" si="2"/>
        <v>1|400</v>
      </c>
      <c r="M6" s="6" t="str">
        <f t="shared" si="3"/>
        <v>1|10007|16</v>
      </c>
    </row>
    <row r="7" ht="15.6" spans="2:13">
      <c r="B7" s="16"/>
      <c r="C7" s="16"/>
      <c r="D7" s="6">
        <v>5</v>
      </c>
      <c r="E7" s="6" t="s">
        <v>6</v>
      </c>
      <c r="F7" s="6">
        <v>40</v>
      </c>
      <c r="G7" s="6" t="str">
        <f t="shared" si="0"/>
        <v>23|5</v>
      </c>
      <c r="H7" s="6" t="str">
        <f t="shared" si="1"/>
        <v>1|2|40</v>
      </c>
      <c r="I7" s="6">
        <v>800</v>
      </c>
      <c r="J7" s="6" t="s">
        <v>47</v>
      </c>
      <c r="K7" s="6">
        <v>20</v>
      </c>
      <c r="L7" s="6" t="str">
        <f t="shared" si="2"/>
        <v>1|800</v>
      </c>
      <c r="M7" s="6" t="str">
        <f t="shared" si="3"/>
        <v>1|10007|20</v>
      </c>
    </row>
    <row r="8" ht="15.6" spans="2:13">
      <c r="B8" s="16"/>
      <c r="C8" s="16"/>
      <c r="D8" s="6">
        <v>6</v>
      </c>
      <c r="E8" s="6" t="s">
        <v>6</v>
      </c>
      <c r="F8" s="6">
        <v>60</v>
      </c>
      <c r="G8" s="6" t="str">
        <f t="shared" si="0"/>
        <v>23|6</v>
      </c>
      <c r="H8" s="6" t="str">
        <f t="shared" si="1"/>
        <v>1|2|60</v>
      </c>
      <c r="I8" s="6">
        <v>1600</v>
      </c>
      <c r="J8" s="6" t="s">
        <v>47</v>
      </c>
      <c r="K8" s="6">
        <v>30</v>
      </c>
      <c r="L8" s="6" t="str">
        <f t="shared" si="2"/>
        <v>1|1600</v>
      </c>
      <c r="M8" s="6" t="str">
        <f t="shared" si="3"/>
        <v>1|10007|30</v>
      </c>
    </row>
    <row r="9" ht="15.6" spans="2:13">
      <c r="B9" s="16"/>
      <c r="C9" s="16"/>
      <c r="D9" s="6">
        <v>7</v>
      </c>
      <c r="E9" s="6" t="s">
        <v>6</v>
      </c>
      <c r="F9" s="6">
        <v>80</v>
      </c>
      <c r="G9" s="6" t="str">
        <f t="shared" si="0"/>
        <v>23|7</v>
      </c>
      <c r="H9" s="6" t="str">
        <f t="shared" si="1"/>
        <v>1|2|80</v>
      </c>
      <c r="I9" s="6">
        <v>3200</v>
      </c>
      <c r="J9" s="6" t="s">
        <v>47</v>
      </c>
      <c r="K9" s="6">
        <v>40</v>
      </c>
      <c r="L9" s="6" t="str">
        <f t="shared" si="2"/>
        <v>1|3200</v>
      </c>
      <c r="M9" s="6" t="str">
        <f t="shared" si="3"/>
        <v>1|10007|40</v>
      </c>
    </row>
    <row r="10" ht="15.6" spans="2:13">
      <c r="B10" s="16"/>
      <c r="C10" s="16"/>
      <c r="D10" s="6">
        <v>8</v>
      </c>
      <c r="E10" s="6" t="s">
        <v>6</v>
      </c>
      <c r="F10" s="6">
        <v>120</v>
      </c>
      <c r="G10" s="6" t="str">
        <f t="shared" si="0"/>
        <v>23|8</v>
      </c>
      <c r="H10" s="6" t="str">
        <f t="shared" si="1"/>
        <v>1|2|120</v>
      </c>
      <c r="I10" s="6">
        <v>6400</v>
      </c>
      <c r="J10" s="6" t="s">
        <v>47</v>
      </c>
      <c r="K10" s="6">
        <v>50</v>
      </c>
      <c r="L10" s="6" t="str">
        <f t="shared" si="2"/>
        <v>1|6400</v>
      </c>
      <c r="M10" s="6" t="str">
        <f t="shared" si="3"/>
        <v>1|10007|50</v>
      </c>
    </row>
    <row r="11" ht="15.6" spans="2:13">
      <c r="B11" s="16"/>
      <c r="C11" s="16"/>
      <c r="D11" s="6">
        <v>9</v>
      </c>
      <c r="E11" s="6" t="s">
        <v>6</v>
      </c>
      <c r="F11" s="6">
        <v>160</v>
      </c>
      <c r="G11" s="6" t="str">
        <f t="shared" si="0"/>
        <v>23|9</v>
      </c>
      <c r="H11" s="6" t="str">
        <f t="shared" si="1"/>
        <v>1|2|160</v>
      </c>
      <c r="I11" s="6">
        <v>12800</v>
      </c>
      <c r="J11" s="6" t="s">
        <v>47</v>
      </c>
      <c r="K11" s="6">
        <v>60</v>
      </c>
      <c r="L11" s="6" t="str">
        <f t="shared" si="2"/>
        <v>1|12800</v>
      </c>
      <c r="M11" s="6" t="str">
        <f t="shared" si="3"/>
        <v>1|10007|60</v>
      </c>
    </row>
    <row r="12" ht="15.6" spans="4:13">
      <c r="D12" s="6">
        <v>10</v>
      </c>
      <c r="E12" s="6" t="s">
        <v>6</v>
      </c>
      <c r="F12" s="6">
        <v>200</v>
      </c>
      <c r="G12" s="6" t="str">
        <f t="shared" si="0"/>
        <v>23|10</v>
      </c>
      <c r="H12" s="6" t="str">
        <f t="shared" si="1"/>
        <v>1|2|200</v>
      </c>
      <c r="I12" s="6">
        <v>20000</v>
      </c>
      <c r="J12" s="6" t="s">
        <v>47</v>
      </c>
      <c r="K12" s="6">
        <v>70</v>
      </c>
      <c r="L12" s="6" t="str">
        <f t="shared" si="2"/>
        <v>1|20000</v>
      </c>
      <c r="M12" s="6" t="str">
        <f t="shared" si="3"/>
        <v>1|10007|70</v>
      </c>
    </row>
    <row r="13" ht="15.6" spans="4:13">
      <c r="D13" s="6">
        <v>11</v>
      </c>
      <c r="E13" s="6" t="s">
        <v>6</v>
      </c>
      <c r="F13" s="6">
        <v>250</v>
      </c>
      <c r="G13" s="6" t="str">
        <f t="shared" si="0"/>
        <v>23|11</v>
      </c>
      <c r="H13" s="6" t="str">
        <f t="shared" si="1"/>
        <v>1|2|250</v>
      </c>
      <c r="I13" s="6">
        <v>30000</v>
      </c>
      <c r="J13" s="6" t="s">
        <v>47</v>
      </c>
      <c r="K13" s="6">
        <v>80</v>
      </c>
      <c r="L13" s="6" t="str">
        <f t="shared" si="2"/>
        <v>1|30000</v>
      </c>
      <c r="M13" s="6" t="str">
        <f t="shared" si="3"/>
        <v>1|10007|80</v>
      </c>
    </row>
    <row r="14" ht="15.6" spans="4:13">
      <c r="D14" s="6">
        <v>12</v>
      </c>
      <c r="E14" s="6" t="s">
        <v>6</v>
      </c>
      <c r="F14" s="6">
        <v>300</v>
      </c>
      <c r="G14" s="6" t="str">
        <f t="shared" si="0"/>
        <v>23|12</v>
      </c>
      <c r="H14" s="6" t="str">
        <f t="shared" si="1"/>
        <v>1|2|300</v>
      </c>
      <c r="I14" s="6">
        <v>50000</v>
      </c>
      <c r="J14" s="6" t="s">
        <v>47</v>
      </c>
      <c r="K14" s="6">
        <v>100</v>
      </c>
      <c r="L14" s="6" t="str">
        <f t="shared" si="2"/>
        <v>1|50000</v>
      </c>
      <c r="M14" s="6" t="str">
        <f t="shared" si="3"/>
        <v>1|10007|100</v>
      </c>
    </row>
    <row r="15" ht="15.6" spans="4:13">
      <c r="D15" s="6">
        <v>13</v>
      </c>
      <c r="E15" s="6" t="s">
        <v>6</v>
      </c>
      <c r="F15" s="6">
        <v>350</v>
      </c>
      <c r="G15" s="6" t="str">
        <f t="shared" si="0"/>
        <v>23|13</v>
      </c>
      <c r="H15" s="6" t="str">
        <f t="shared" si="1"/>
        <v>1|2|350</v>
      </c>
      <c r="I15" s="6"/>
      <c r="J15" s="6"/>
      <c r="K15" s="6"/>
      <c r="L15" s="6"/>
      <c r="M15" s="6"/>
    </row>
    <row r="16" ht="15.6" spans="4:13">
      <c r="D16" s="6">
        <v>15</v>
      </c>
      <c r="E16" s="6" t="s">
        <v>6</v>
      </c>
      <c r="F16" s="6">
        <v>400</v>
      </c>
      <c r="G16" s="6" t="str">
        <f t="shared" si="0"/>
        <v>23|15</v>
      </c>
      <c r="H16" s="6" t="str">
        <f t="shared" si="1"/>
        <v>1|2|400</v>
      </c>
      <c r="I16" s="6"/>
      <c r="J16" s="6"/>
      <c r="K16" s="6"/>
      <c r="L16" s="6"/>
      <c r="M16" s="6"/>
    </row>
    <row r="18" spans="7:9">
      <c r="G18" t="s">
        <v>823</v>
      </c>
      <c r="H18" t="s">
        <v>825</v>
      </c>
      <c r="I18" t="s">
        <v>47</v>
      </c>
    </row>
    <row r="19" spans="7:9">
      <c r="G19">
        <v>1</v>
      </c>
      <c r="H19" t="s">
        <v>826</v>
      </c>
      <c r="I19">
        <f>H19/300</f>
        <v>1</v>
      </c>
    </row>
    <row r="20" spans="7:9">
      <c r="G20">
        <v>2</v>
      </c>
      <c r="H20" t="s">
        <v>827</v>
      </c>
      <c r="I20">
        <f t="shared" ref="I20:I48" si="4">H20/300</f>
        <v>6</v>
      </c>
    </row>
    <row r="21" spans="7:9">
      <c r="G21">
        <v>3</v>
      </c>
      <c r="H21">
        <v>3600</v>
      </c>
      <c r="I21">
        <f t="shared" si="4"/>
        <v>12</v>
      </c>
    </row>
    <row r="22" spans="7:9">
      <c r="G22">
        <v>4</v>
      </c>
      <c r="H22">
        <v>7200</v>
      </c>
      <c r="I22">
        <f t="shared" si="4"/>
        <v>24</v>
      </c>
    </row>
    <row r="23" spans="7:9">
      <c r="G23">
        <v>5</v>
      </c>
      <c r="H23">
        <v>14400</v>
      </c>
      <c r="I23">
        <f t="shared" si="4"/>
        <v>48</v>
      </c>
    </row>
    <row r="24" spans="7:9">
      <c r="G24">
        <v>6</v>
      </c>
      <c r="H24">
        <v>28800</v>
      </c>
      <c r="I24">
        <f t="shared" si="4"/>
        <v>96</v>
      </c>
    </row>
    <row r="25" spans="7:9">
      <c r="G25">
        <v>7</v>
      </c>
      <c r="H25">
        <v>43200</v>
      </c>
      <c r="I25">
        <f t="shared" si="4"/>
        <v>144</v>
      </c>
    </row>
    <row r="26" spans="7:9">
      <c r="G26">
        <v>8</v>
      </c>
      <c r="H26">
        <v>64800</v>
      </c>
      <c r="I26">
        <f t="shared" si="4"/>
        <v>216</v>
      </c>
    </row>
    <row r="27" spans="7:9">
      <c r="G27">
        <v>9</v>
      </c>
      <c r="H27">
        <v>108000</v>
      </c>
      <c r="I27">
        <f t="shared" si="4"/>
        <v>360</v>
      </c>
    </row>
    <row r="28" spans="7:9">
      <c r="G28">
        <v>10</v>
      </c>
      <c r="H28">
        <v>151200</v>
      </c>
      <c r="I28">
        <f t="shared" si="4"/>
        <v>504</v>
      </c>
    </row>
    <row r="29" spans="7:9">
      <c r="G29">
        <v>11</v>
      </c>
      <c r="H29">
        <v>198000</v>
      </c>
      <c r="I29">
        <f t="shared" si="4"/>
        <v>660</v>
      </c>
    </row>
    <row r="30" spans="7:9">
      <c r="G30">
        <v>12</v>
      </c>
      <c r="H30">
        <v>237600</v>
      </c>
      <c r="I30">
        <f t="shared" si="4"/>
        <v>792</v>
      </c>
    </row>
    <row r="31" spans="7:9">
      <c r="G31">
        <v>13</v>
      </c>
      <c r="H31">
        <v>280800</v>
      </c>
      <c r="I31">
        <f t="shared" si="4"/>
        <v>936</v>
      </c>
    </row>
    <row r="32" spans="7:9">
      <c r="G32">
        <v>14</v>
      </c>
      <c r="H32">
        <v>324000</v>
      </c>
      <c r="I32">
        <f t="shared" si="4"/>
        <v>1080</v>
      </c>
    </row>
    <row r="33" spans="7:9">
      <c r="G33">
        <v>15</v>
      </c>
      <c r="H33">
        <v>352800</v>
      </c>
      <c r="I33">
        <f t="shared" si="4"/>
        <v>1176</v>
      </c>
    </row>
    <row r="34" spans="7:9">
      <c r="G34">
        <v>16</v>
      </c>
      <c r="H34">
        <v>410400</v>
      </c>
      <c r="I34">
        <f t="shared" si="4"/>
        <v>1368</v>
      </c>
    </row>
    <row r="35" spans="7:9">
      <c r="G35">
        <v>17</v>
      </c>
      <c r="H35">
        <v>453600</v>
      </c>
      <c r="I35">
        <f t="shared" si="4"/>
        <v>1512</v>
      </c>
    </row>
    <row r="36" spans="7:9">
      <c r="G36">
        <v>18</v>
      </c>
      <c r="H36">
        <v>496800</v>
      </c>
      <c r="I36">
        <f t="shared" si="4"/>
        <v>1656</v>
      </c>
    </row>
    <row r="37" spans="7:9">
      <c r="G37">
        <v>19</v>
      </c>
      <c r="H37">
        <v>540000</v>
      </c>
      <c r="I37">
        <f t="shared" si="4"/>
        <v>1800</v>
      </c>
    </row>
    <row r="38" spans="7:9">
      <c r="G38">
        <v>20</v>
      </c>
      <c r="H38">
        <v>583200</v>
      </c>
      <c r="I38">
        <f t="shared" si="4"/>
        <v>1944</v>
      </c>
    </row>
    <row r="39" spans="7:9">
      <c r="G39">
        <v>21</v>
      </c>
      <c r="H39">
        <v>626400</v>
      </c>
      <c r="I39">
        <f t="shared" si="4"/>
        <v>2088</v>
      </c>
    </row>
    <row r="40" spans="7:9">
      <c r="G40">
        <v>22</v>
      </c>
      <c r="H40">
        <v>669600</v>
      </c>
      <c r="I40">
        <f t="shared" si="4"/>
        <v>2232</v>
      </c>
    </row>
    <row r="41" spans="7:9">
      <c r="G41">
        <v>23</v>
      </c>
      <c r="H41">
        <v>712800</v>
      </c>
      <c r="I41">
        <f t="shared" si="4"/>
        <v>2376</v>
      </c>
    </row>
    <row r="42" spans="7:9">
      <c r="G42">
        <v>24</v>
      </c>
      <c r="H42">
        <v>756000</v>
      </c>
      <c r="I42">
        <f t="shared" si="4"/>
        <v>2520</v>
      </c>
    </row>
    <row r="43" spans="7:9">
      <c r="G43">
        <v>25</v>
      </c>
      <c r="H43">
        <v>799200</v>
      </c>
      <c r="I43">
        <f t="shared" si="4"/>
        <v>2664</v>
      </c>
    </row>
    <row r="44" spans="7:9">
      <c r="G44">
        <v>26</v>
      </c>
      <c r="H44">
        <v>842400</v>
      </c>
      <c r="I44">
        <f t="shared" si="4"/>
        <v>2808</v>
      </c>
    </row>
    <row r="45" spans="7:9">
      <c r="G45">
        <v>27</v>
      </c>
      <c r="H45">
        <v>885600</v>
      </c>
      <c r="I45">
        <f t="shared" si="4"/>
        <v>2952</v>
      </c>
    </row>
    <row r="46" spans="7:9">
      <c r="G46">
        <v>28</v>
      </c>
      <c r="H46">
        <v>928800</v>
      </c>
      <c r="I46">
        <f t="shared" si="4"/>
        <v>3096</v>
      </c>
    </row>
    <row r="47" spans="7:9">
      <c r="G47">
        <v>29</v>
      </c>
      <c r="H47">
        <v>972000</v>
      </c>
      <c r="I47">
        <f t="shared" si="4"/>
        <v>3240</v>
      </c>
    </row>
    <row r="48" spans="7:9">
      <c r="G48">
        <v>30</v>
      </c>
      <c r="I48">
        <f t="shared" si="4"/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R58"/>
  <sheetViews>
    <sheetView zoomScale="110" zoomScaleNormal="110" topLeftCell="C1" workbookViewId="0">
      <selection activeCell="J10" sqref="J10"/>
    </sheetView>
  </sheetViews>
  <sheetFormatPr defaultColWidth="8.88888888888889" defaultRowHeight="14.4"/>
  <cols>
    <col min="4" max="4" width="20" customWidth="1"/>
    <col min="5" max="5" width="17.2685185185185" customWidth="1"/>
    <col min="6" max="6" width="13.2314814814815" customWidth="1"/>
    <col min="14" max="14" width="9"/>
    <col min="16" max="16" width="9"/>
    <col min="17" max="17" width="15.6666666666667"/>
  </cols>
  <sheetData>
    <row r="3" ht="15.6" spans="4:18">
      <c r="D3" s="6" t="s">
        <v>828</v>
      </c>
      <c r="E3" s="6" t="s">
        <v>338</v>
      </c>
      <c r="F3" s="6" t="s">
        <v>379</v>
      </c>
      <c r="G3" s="6" t="s">
        <v>815</v>
      </c>
      <c r="H3" s="6" t="s">
        <v>323</v>
      </c>
      <c r="I3" s="6" t="s">
        <v>816</v>
      </c>
      <c r="J3" s="6" t="s">
        <v>323</v>
      </c>
      <c r="K3" s="6" t="s">
        <v>817</v>
      </c>
      <c r="L3" s="6" t="s">
        <v>323</v>
      </c>
      <c r="M3" s="6" t="s">
        <v>339</v>
      </c>
      <c r="N3" s="6" t="s">
        <v>340</v>
      </c>
      <c r="O3" s="6" t="s">
        <v>818</v>
      </c>
      <c r="P3" s="6" t="s">
        <v>341</v>
      </c>
      <c r="Q3" s="6" t="s">
        <v>342</v>
      </c>
      <c r="R3" s="10" t="s">
        <v>343</v>
      </c>
    </row>
    <row r="4" ht="15.6" spans="2:18">
      <c r="B4" s="79" t="s">
        <v>829</v>
      </c>
      <c r="D4" s="6" t="s">
        <v>830</v>
      </c>
      <c r="E4" s="6">
        <v>0</v>
      </c>
      <c r="F4" s="6">
        <v>1</v>
      </c>
      <c r="G4" s="6" t="s">
        <v>6</v>
      </c>
      <c r="H4" s="6">
        <v>20</v>
      </c>
      <c r="I4" s="6" t="s">
        <v>9</v>
      </c>
      <c r="J4" s="6">
        <v>100</v>
      </c>
      <c r="K4" s="6"/>
      <c r="L4" s="6"/>
      <c r="M4" s="6">
        <f>_xlfn.XLOOKUP(G4,道具表!$B:$B,道具表!$E:$E)</f>
        <v>1</v>
      </c>
      <c r="N4" s="6">
        <f>_xlfn.XLOOKUP(I4,道具表!$B:$B,道具表!$E:$E)</f>
        <v>1</v>
      </c>
      <c r="O4" s="6"/>
      <c r="P4" s="6">
        <f>M4*H4+N4*J4+O4*L4</f>
        <v>120</v>
      </c>
      <c r="Q4" s="11"/>
      <c r="R4" s="10"/>
    </row>
    <row r="5" ht="15.6" spans="2:18">
      <c r="B5" s="79" t="s">
        <v>829</v>
      </c>
      <c r="C5" s="80" t="s">
        <v>831</v>
      </c>
      <c r="D5" s="6" t="s">
        <v>832</v>
      </c>
      <c r="E5" s="6">
        <v>6</v>
      </c>
      <c r="F5" s="6">
        <v>5</v>
      </c>
      <c r="G5" s="6" t="s">
        <v>6</v>
      </c>
      <c r="H5" s="6">
        <v>60</v>
      </c>
      <c r="I5" s="6" t="s">
        <v>9</v>
      </c>
      <c r="J5" s="6">
        <v>300</v>
      </c>
      <c r="K5" s="6"/>
      <c r="L5" s="6"/>
      <c r="M5" s="6">
        <f>_xlfn.XLOOKUP(G5,道具表!$B:$B,道具表!$E:$E)</f>
        <v>1</v>
      </c>
      <c r="N5" s="6">
        <f>_xlfn.XLOOKUP(I5,道具表!$B:$B,道具表!$E:$E)</f>
        <v>1</v>
      </c>
      <c r="O5" s="6"/>
      <c r="P5" s="6">
        <f>M5*H5+N5*J5+O5*L5</f>
        <v>360</v>
      </c>
      <c r="Q5" s="11">
        <f>P5/(E5*10)</f>
        <v>6</v>
      </c>
      <c r="R5" s="12">
        <f>10/Q5</f>
        <v>1.66666666666667</v>
      </c>
    </row>
    <row r="6" ht="15.6" spans="2:18">
      <c r="B6" s="79" t="s">
        <v>833</v>
      </c>
      <c r="C6" s="80" t="s">
        <v>834</v>
      </c>
      <c r="D6" s="6" t="s">
        <v>835</v>
      </c>
      <c r="E6" s="6">
        <v>30</v>
      </c>
      <c r="F6" s="6">
        <v>3</v>
      </c>
      <c r="G6" s="6" t="s">
        <v>6</v>
      </c>
      <c r="H6" s="6">
        <v>300</v>
      </c>
      <c r="I6" s="6" t="s">
        <v>48</v>
      </c>
      <c r="J6" s="6">
        <v>5</v>
      </c>
      <c r="K6" s="6" t="s">
        <v>67</v>
      </c>
      <c r="L6" s="6">
        <v>10</v>
      </c>
      <c r="M6" s="6">
        <f>_xlfn.XLOOKUP(G6,道具表!$B:$B,道具表!$E:$E)</f>
        <v>1</v>
      </c>
      <c r="N6" s="6">
        <f>_xlfn.XLOOKUP(I6,道具表!$B:$B,道具表!$E:$E)</f>
        <v>102</v>
      </c>
      <c r="O6" s="6">
        <f>_xlfn.XLOOKUP(K6,道具表!$B:$B,道具表!$E:$E)</f>
        <v>50</v>
      </c>
      <c r="P6" s="6">
        <f>M6*H6+N6*J6+O6*L6</f>
        <v>1310</v>
      </c>
      <c r="Q6" s="11">
        <f>P6/(E6*10)</f>
        <v>4.36666666666667</v>
      </c>
      <c r="R6" s="12">
        <f>10/Q6</f>
        <v>2.29007633587786</v>
      </c>
    </row>
    <row r="7" ht="15.6" spans="2:18">
      <c r="B7" s="79" t="s">
        <v>836</v>
      </c>
      <c r="C7" s="80" t="s">
        <v>837</v>
      </c>
      <c r="D7" s="6" t="s">
        <v>838</v>
      </c>
      <c r="E7" s="6">
        <v>68</v>
      </c>
      <c r="F7" s="6">
        <v>2</v>
      </c>
      <c r="G7" s="6" t="s">
        <v>6</v>
      </c>
      <c r="H7" s="6">
        <v>680</v>
      </c>
      <c r="I7" s="6" t="s">
        <v>10</v>
      </c>
      <c r="J7" s="6">
        <v>15</v>
      </c>
      <c r="K7" s="6"/>
      <c r="L7" s="6"/>
      <c r="M7" s="6">
        <f>_xlfn.XLOOKUP(G7,道具表!$B:$B,道具表!$E:$E)</f>
        <v>1</v>
      </c>
      <c r="N7" s="6">
        <f>_xlfn.XLOOKUP(I7,道具表!$B:$B,道具表!$E:$E)</f>
        <v>100</v>
      </c>
      <c r="O7" s="6"/>
      <c r="P7" s="6">
        <f>M7*H7+N7*J7+O7*L7</f>
        <v>2180</v>
      </c>
      <c r="Q7" s="11">
        <f t="shared" ref="Q7:Q16" si="0">P7/(E7*10)</f>
        <v>3.20588235294118</v>
      </c>
      <c r="R7" s="12">
        <f t="shared" ref="R7:R19" si="1">10/Q7</f>
        <v>3.11926605504587</v>
      </c>
    </row>
    <row r="8" ht="15.6" spans="2:18">
      <c r="B8" s="79" t="s">
        <v>839</v>
      </c>
      <c r="C8" s="80" t="s">
        <v>840</v>
      </c>
      <c r="D8" s="6" t="s">
        <v>841</v>
      </c>
      <c r="E8" s="6">
        <v>68</v>
      </c>
      <c r="F8" s="6">
        <v>2</v>
      </c>
      <c r="G8" s="6" t="s">
        <v>6</v>
      </c>
      <c r="H8" s="6">
        <v>680</v>
      </c>
      <c r="I8" s="6" t="s">
        <v>45</v>
      </c>
      <c r="J8" s="6">
        <v>15</v>
      </c>
      <c r="K8" s="6"/>
      <c r="L8" s="6"/>
      <c r="M8" s="6">
        <f>_xlfn.XLOOKUP(G8,道具表!$B:$B,道具表!$E:$E)</f>
        <v>1</v>
      </c>
      <c r="N8" s="6">
        <f>_xlfn.XLOOKUP(I8,道具表!$B:$B,道具表!$E:$E)</f>
        <v>100</v>
      </c>
      <c r="O8" s="6"/>
      <c r="P8" s="6">
        <f t="shared" ref="P7:P15" si="2">M8*H8+N8*J8+O8*L8</f>
        <v>2180</v>
      </c>
      <c r="Q8" s="11">
        <f t="shared" si="0"/>
        <v>3.20588235294118</v>
      </c>
      <c r="R8" s="12">
        <f t="shared" si="1"/>
        <v>3.11926605504587</v>
      </c>
    </row>
    <row r="9" ht="15.6" spans="2:18">
      <c r="B9" s="79" t="s">
        <v>829</v>
      </c>
      <c r="C9" s="80" t="s">
        <v>842</v>
      </c>
      <c r="D9" s="6" t="s">
        <v>843</v>
      </c>
      <c r="E9" s="6">
        <v>68</v>
      </c>
      <c r="F9" s="6">
        <v>2</v>
      </c>
      <c r="G9" s="6" t="s">
        <v>6</v>
      </c>
      <c r="H9" s="6">
        <v>680</v>
      </c>
      <c r="I9" s="6" t="s">
        <v>34</v>
      </c>
      <c r="J9" s="6">
        <v>15</v>
      </c>
      <c r="K9" s="6"/>
      <c r="L9" s="6"/>
      <c r="M9" s="6">
        <f>_xlfn.XLOOKUP(G9,道具表!$B:$B,道具表!$E:$E)</f>
        <v>1</v>
      </c>
      <c r="N9" s="6">
        <f>_xlfn.XLOOKUP(I9,道具表!$B:$B,道具表!$E:$E)</f>
        <v>100</v>
      </c>
      <c r="O9" s="6"/>
      <c r="P9" s="6">
        <f t="shared" si="2"/>
        <v>2180</v>
      </c>
      <c r="Q9" s="11">
        <f t="shared" si="0"/>
        <v>3.20588235294118</v>
      </c>
      <c r="R9" s="12">
        <f t="shared" si="1"/>
        <v>3.11926605504587</v>
      </c>
    </row>
    <row r="10" ht="15.6" spans="2:18">
      <c r="B10" s="79" t="s">
        <v>833</v>
      </c>
      <c r="C10" s="80" t="s">
        <v>844</v>
      </c>
      <c r="D10" s="6" t="s">
        <v>845</v>
      </c>
      <c r="E10" s="6">
        <v>128</v>
      </c>
      <c r="F10" s="6">
        <v>3</v>
      </c>
      <c r="G10" s="6" t="s">
        <v>6</v>
      </c>
      <c r="H10" s="6">
        <v>1280</v>
      </c>
      <c r="I10" s="6" t="s">
        <v>49</v>
      </c>
      <c r="J10" s="6">
        <v>2</v>
      </c>
      <c r="K10" s="6" t="s">
        <v>67</v>
      </c>
      <c r="L10" s="6">
        <v>30</v>
      </c>
      <c r="M10" s="6">
        <f>_xlfn.XLOOKUP(G10,道具表!$B:$B,道具表!$E:$E)</f>
        <v>1</v>
      </c>
      <c r="N10" s="6">
        <f>_xlfn.XLOOKUP(I10,道具表!$B:$B,道具表!$E:$E)</f>
        <v>918</v>
      </c>
      <c r="O10" s="6">
        <f>_xlfn.XLOOKUP(K10,道具表!$B:$B,道具表!$E:$E)</f>
        <v>50</v>
      </c>
      <c r="P10" s="6">
        <f t="shared" si="2"/>
        <v>4616</v>
      </c>
      <c r="Q10" s="11">
        <f t="shared" si="0"/>
        <v>3.60625</v>
      </c>
      <c r="R10" s="12">
        <f t="shared" si="1"/>
        <v>2.77296360485269</v>
      </c>
    </row>
    <row r="11" ht="15.6" spans="2:18">
      <c r="B11" s="79" t="s">
        <v>836</v>
      </c>
      <c r="C11" s="80" t="s">
        <v>846</v>
      </c>
      <c r="D11" s="6" t="s">
        <v>847</v>
      </c>
      <c r="E11" s="6">
        <v>198</v>
      </c>
      <c r="F11" s="6">
        <v>3</v>
      </c>
      <c r="G11" s="6" t="s">
        <v>6</v>
      </c>
      <c r="H11" s="6">
        <v>1980</v>
      </c>
      <c r="I11" s="6" t="s">
        <v>10</v>
      </c>
      <c r="J11" s="6">
        <v>40</v>
      </c>
      <c r="K11" s="6"/>
      <c r="L11" s="6"/>
      <c r="M11" s="6">
        <f>_xlfn.XLOOKUP(G11,道具表!$B:$B,道具表!$E:$E)</f>
        <v>1</v>
      </c>
      <c r="N11" s="6">
        <f>_xlfn.XLOOKUP(I11,道具表!$B:$B,道具表!$E:$E)</f>
        <v>100</v>
      </c>
      <c r="O11" s="6"/>
      <c r="P11" s="6">
        <f t="shared" si="2"/>
        <v>5980</v>
      </c>
      <c r="Q11" s="11">
        <f t="shared" si="0"/>
        <v>3.02020202020202</v>
      </c>
      <c r="R11" s="12">
        <f t="shared" si="1"/>
        <v>3.31103678929766</v>
      </c>
    </row>
    <row r="12" ht="15.6" spans="2:18">
      <c r="B12" s="79" t="s">
        <v>839</v>
      </c>
      <c r="C12" s="80" t="s">
        <v>848</v>
      </c>
      <c r="D12" s="6" t="s">
        <v>849</v>
      </c>
      <c r="E12" s="6">
        <v>198</v>
      </c>
      <c r="F12" s="6">
        <v>3</v>
      </c>
      <c r="G12" s="6" t="s">
        <v>6</v>
      </c>
      <c r="H12" s="6">
        <v>1980</v>
      </c>
      <c r="I12" s="6" t="s">
        <v>45</v>
      </c>
      <c r="J12" s="6">
        <v>40</v>
      </c>
      <c r="K12" s="6"/>
      <c r="L12" s="6"/>
      <c r="M12" s="6">
        <f>_xlfn.XLOOKUP(G12,道具表!$B:$B,道具表!$E:$E)</f>
        <v>1</v>
      </c>
      <c r="N12" s="6">
        <f>_xlfn.XLOOKUP(I12,道具表!$B:$B,道具表!$E:$E)</f>
        <v>100</v>
      </c>
      <c r="O12" s="6"/>
      <c r="P12" s="6">
        <f t="shared" si="2"/>
        <v>5980</v>
      </c>
      <c r="Q12" s="11">
        <f t="shared" si="0"/>
        <v>3.02020202020202</v>
      </c>
      <c r="R12" s="12">
        <f t="shared" si="1"/>
        <v>3.31103678929766</v>
      </c>
    </row>
    <row r="13" ht="15.6" spans="2:18">
      <c r="B13" s="79" t="s">
        <v>829</v>
      </c>
      <c r="C13" s="80" t="s">
        <v>850</v>
      </c>
      <c r="D13" s="6" t="s">
        <v>851</v>
      </c>
      <c r="E13" s="6">
        <v>198</v>
      </c>
      <c r="F13" s="6">
        <v>3</v>
      </c>
      <c r="G13" s="6" t="s">
        <v>6</v>
      </c>
      <c r="H13" s="6">
        <v>1980</v>
      </c>
      <c r="I13" s="6" t="s">
        <v>34</v>
      </c>
      <c r="J13" s="6">
        <v>40</v>
      </c>
      <c r="K13" s="6"/>
      <c r="L13" s="6"/>
      <c r="M13" s="6">
        <f>_xlfn.XLOOKUP(G13,道具表!$B:$B,道具表!$E:$E)</f>
        <v>1</v>
      </c>
      <c r="N13" s="6">
        <f>_xlfn.XLOOKUP(I13,道具表!$B:$B,道具表!$E:$E)</f>
        <v>100</v>
      </c>
      <c r="O13" s="6"/>
      <c r="P13" s="6">
        <f t="shared" si="2"/>
        <v>5980</v>
      </c>
      <c r="Q13" s="11">
        <f t="shared" si="0"/>
        <v>3.02020202020202</v>
      </c>
      <c r="R13" s="12">
        <f t="shared" si="1"/>
        <v>3.31103678929766</v>
      </c>
    </row>
    <row r="14" ht="15.6" spans="2:18">
      <c r="B14" s="79" t="s">
        <v>829</v>
      </c>
      <c r="C14" s="80" t="s">
        <v>852</v>
      </c>
      <c r="D14" s="6" t="s">
        <v>853</v>
      </c>
      <c r="E14" s="6">
        <v>198</v>
      </c>
      <c r="F14" s="6">
        <v>1</v>
      </c>
      <c r="G14" s="6" t="s">
        <v>6</v>
      </c>
      <c r="H14" s="6">
        <v>1980</v>
      </c>
      <c r="I14" s="6" t="s">
        <v>43</v>
      </c>
      <c r="J14" s="6">
        <v>8</v>
      </c>
      <c r="K14" s="6"/>
      <c r="L14" s="6"/>
      <c r="M14" s="6">
        <f>_xlfn.XLOOKUP(G14,道具表!$B:$B,道具表!$E:$E)</f>
        <v>1</v>
      </c>
      <c r="N14" s="6">
        <f>_xlfn.XLOOKUP(I14,道具表!$B:$B,道具表!$E:$E)</f>
        <v>500</v>
      </c>
      <c r="O14" s="6"/>
      <c r="P14" s="6">
        <f t="shared" si="2"/>
        <v>5980</v>
      </c>
      <c r="Q14" s="11">
        <f t="shared" si="0"/>
        <v>3.02020202020202</v>
      </c>
      <c r="R14" s="12">
        <f t="shared" si="1"/>
        <v>3.31103678929766</v>
      </c>
    </row>
    <row r="15" ht="15.6" spans="2:18">
      <c r="B15" s="79" t="s">
        <v>829</v>
      </c>
      <c r="C15" s="80" t="s">
        <v>854</v>
      </c>
      <c r="D15" s="6" t="s">
        <v>855</v>
      </c>
      <c r="E15" s="6">
        <v>328</v>
      </c>
      <c r="F15" s="6">
        <v>3</v>
      </c>
      <c r="G15" s="6" t="s">
        <v>6</v>
      </c>
      <c r="H15" s="6">
        <v>3280</v>
      </c>
      <c r="I15" s="6" t="s">
        <v>46</v>
      </c>
      <c r="J15" s="6">
        <v>15000</v>
      </c>
      <c r="K15" s="6"/>
      <c r="L15" s="6"/>
      <c r="M15" s="6">
        <f>_xlfn.XLOOKUP(G15,道具表!$B:$B,道具表!$E:$E)</f>
        <v>1</v>
      </c>
      <c r="N15" s="6">
        <f>_xlfn.XLOOKUP(I15,道具表!$B:$B,道具表!$E:$E)</f>
        <v>0.5</v>
      </c>
      <c r="O15" s="6"/>
      <c r="P15" s="6">
        <f t="shared" si="2"/>
        <v>10780</v>
      </c>
      <c r="Q15" s="11">
        <f t="shared" si="0"/>
        <v>3.28658536585366</v>
      </c>
      <c r="R15" s="12">
        <f t="shared" si="1"/>
        <v>3.04267161410019</v>
      </c>
    </row>
    <row r="16" ht="15.6" spans="2:18">
      <c r="B16" s="79" t="s">
        <v>829</v>
      </c>
      <c r="C16" s="80" t="s">
        <v>856</v>
      </c>
      <c r="D16" s="6" t="s">
        <v>857</v>
      </c>
      <c r="E16" s="6">
        <v>648</v>
      </c>
      <c r="F16" s="6">
        <v>1</v>
      </c>
      <c r="G16" s="6" t="s">
        <v>6</v>
      </c>
      <c r="H16" s="6">
        <v>6480</v>
      </c>
      <c r="I16" s="6" t="s">
        <v>42</v>
      </c>
      <c r="J16" s="6">
        <v>160</v>
      </c>
      <c r="K16" s="6" t="s">
        <v>43</v>
      </c>
      <c r="L16" s="6">
        <v>15</v>
      </c>
      <c r="M16" s="6">
        <f>_xlfn.XLOOKUP(G16,道具表!$B:$B,道具表!$E:$E)</f>
        <v>1</v>
      </c>
      <c r="N16" s="6">
        <f>_xlfn.XLOOKUP(I16,道具表!$B:$B,道具表!$E:$E)</f>
        <v>40</v>
      </c>
      <c r="O16" s="6">
        <f>_xlfn.XLOOKUP(K16,道具表!$B:$B,道具表!$E:$E)</f>
        <v>500</v>
      </c>
      <c r="P16" s="6">
        <f t="shared" ref="P14:P19" si="3">M16*H16+N16*J16+O16*L16</f>
        <v>20380</v>
      </c>
      <c r="Q16" s="11">
        <f t="shared" si="0"/>
        <v>3.14506172839506</v>
      </c>
      <c r="R16" s="12">
        <f t="shared" si="1"/>
        <v>3.17958783120707</v>
      </c>
    </row>
    <row r="17" ht="15.6" spans="2:18">
      <c r="B17" s="79" t="s">
        <v>836</v>
      </c>
      <c r="C17" s="80" t="s">
        <v>858</v>
      </c>
      <c r="D17" s="6" t="s">
        <v>859</v>
      </c>
      <c r="E17" s="6">
        <v>648</v>
      </c>
      <c r="F17" s="6">
        <v>2</v>
      </c>
      <c r="G17" s="6" t="s">
        <v>6</v>
      </c>
      <c r="H17" s="6">
        <v>6480</v>
      </c>
      <c r="I17" s="6" t="s">
        <v>10</v>
      </c>
      <c r="J17" s="6">
        <v>150</v>
      </c>
      <c r="K17" s="6"/>
      <c r="L17" s="6"/>
      <c r="M17" s="6">
        <f>_xlfn.XLOOKUP(G17,道具表!$B:$B,道具表!$E:$E)</f>
        <v>1</v>
      </c>
      <c r="N17" s="6">
        <f>_xlfn.XLOOKUP(I17,道具表!$B:$B,道具表!$E:$E)</f>
        <v>100</v>
      </c>
      <c r="O17" s="6">
        <f>_xlfn.XLOOKUP(K17,道具表!$B:$B,道具表!$E:$E)</f>
        <v>0</v>
      </c>
      <c r="P17" s="6">
        <f t="shared" si="3"/>
        <v>21480</v>
      </c>
      <c r="Q17" s="11">
        <f t="shared" ref="Q14:Q19" si="4">P17/(E17*10)</f>
        <v>3.31481481481481</v>
      </c>
      <c r="R17" s="12">
        <f t="shared" si="1"/>
        <v>3.01675977653631</v>
      </c>
    </row>
    <row r="18" ht="15.6" spans="2:18">
      <c r="B18" s="79" t="s">
        <v>839</v>
      </c>
      <c r="C18" s="80" t="s">
        <v>860</v>
      </c>
      <c r="D18" s="6" t="s">
        <v>861</v>
      </c>
      <c r="E18" s="6">
        <v>648</v>
      </c>
      <c r="F18" s="6">
        <v>2</v>
      </c>
      <c r="G18" s="6" t="s">
        <v>6</v>
      </c>
      <c r="H18" s="6">
        <v>6480</v>
      </c>
      <c r="I18" s="6" t="s">
        <v>45</v>
      </c>
      <c r="J18" s="6">
        <v>150</v>
      </c>
      <c r="K18" s="6"/>
      <c r="L18" s="6"/>
      <c r="M18" s="6">
        <f>_xlfn.XLOOKUP(G18,道具表!$B:$B,道具表!$E:$E)</f>
        <v>1</v>
      </c>
      <c r="N18" s="6">
        <f>_xlfn.XLOOKUP(I18,道具表!$B:$B,道具表!$E:$E)</f>
        <v>100</v>
      </c>
      <c r="O18" s="6">
        <f>_xlfn.XLOOKUP(K18,道具表!$B:$B,道具表!$E:$E)</f>
        <v>0</v>
      </c>
      <c r="P18" s="6">
        <f t="shared" si="3"/>
        <v>21480</v>
      </c>
      <c r="Q18" s="11">
        <f t="shared" si="4"/>
        <v>3.31481481481481</v>
      </c>
      <c r="R18" s="12">
        <f t="shared" si="1"/>
        <v>3.01675977653631</v>
      </c>
    </row>
    <row r="19" ht="15.6" spans="2:18">
      <c r="B19" s="79" t="s">
        <v>829</v>
      </c>
      <c r="C19" s="80" t="s">
        <v>862</v>
      </c>
      <c r="D19" s="6" t="s">
        <v>863</v>
      </c>
      <c r="E19" s="6">
        <v>648</v>
      </c>
      <c r="F19" s="6">
        <v>2</v>
      </c>
      <c r="G19" s="6" t="s">
        <v>6</v>
      </c>
      <c r="H19" s="6">
        <v>6480</v>
      </c>
      <c r="I19" s="6" t="s">
        <v>34</v>
      </c>
      <c r="J19" s="6">
        <v>150</v>
      </c>
      <c r="K19" s="6"/>
      <c r="L19" s="6"/>
      <c r="M19" s="6">
        <f>_xlfn.XLOOKUP(G19,道具表!$B:$B,道具表!$E:$E)</f>
        <v>1</v>
      </c>
      <c r="N19" s="6">
        <f>_xlfn.XLOOKUP(I19,道具表!$B:$B,道具表!$E:$E)</f>
        <v>100</v>
      </c>
      <c r="O19" s="6">
        <f>_xlfn.XLOOKUP(K19,道具表!$B:$B,道具表!$E:$E)</f>
        <v>0</v>
      </c>
      <c r="P19" s="6">
        <f t="shared" si="3"/>
        <v>21480</v>
      </c>
      <c r="Q19" s="11">
        <f t="shared" si="4"/>
        <v>3.31481481481481</v>
      </c>
      <c r="R19" s="12">
        <f t="shared" si="1"/>
        <v>3.01675977653631</v>
      </c>
    </row>
    <row r="20" spans="3:3">
      <c r="C20" s="80"/>
    </row>
    <row r="21" spans="3:3">
      <c r="C21" s="80"/>
    </row>
    <row r="22" spans="3:3">
      <c r="C22" s="80"/>
    </row>
    <row r="23" ht="15.6" spans="4:13">
      <c r="D23" s="6" t="str">
        <f>D3</f>
        <v>礼包名</v>
      </c>
      <c r="E23" s="6" t="str">
        <f>E3</f>
        <v>价格</v>
      </c>
      <c r="F23" s="6" t="str">
        <f>F3</f>
        <v>限购</v>
      </c>
      <c r="G23" s="6" t="s">
        <v>355</v>
      </c>
      <c r="H23" s="6" t="str">
        <f>H3</f>
        <v>数量</v>
      </c>
      <c r="I23" s="6" t="s">
        <v>355</v>
      </c>
      <c r="J23" s="6" t="str">
        <f>J3</f>
        <v>数量</v>
      </c>
      <c r="K23" s="6" t="s">
        <v>355</v>
      </c>
      <c r="L23" s="6" t="str">
        <f>L3</f>
        <v>数量</v>
      </c>
      <c r="M23" s="19" t="s">
        <v>327</v>
      </c>
    </row>
    <row r="24" ht="15.6" spans="4:13">
      <c r="D24" s="6" t="str">
        <f t="shared" ref="D24:D39" si="5">D4</f>
        <v>免费特惠礼包</v>
      </c>
      <c r="E24" s="6">
        <f>E4</f>
        <v>0</v>
      </c>
      <c r="F24" s="6">
        <f>F4</f>
        <v>1</v>
      </c>
      <c r="G24" s="6" t="str">
        <f>_xlfn.XLOOKUP(G4,道具表!$B:$B,道具表!$C:$C)&amp;"|"&amp;_xlfn.XLOOKUP(G4,道具表!$B:$B,道具表!$A:$A)&amp;"|"</f>
        <v>1|2|</v>
      </c>
      <c r="H24" s="6">
        <f>H4</f>
        <v>20</v>
      </c>
      <c r="I24" s="6" t="str">
        <f>_xlfn.XLOOKUP(I4,道具表!$B:$B,道具表!$C:$C)&amp;"|"&amp;_xlfn.XLOOKUP(I4,道具表!$B:$B,道具表!$A:$A)&amp;"|"</f>
        <v>1|5|</v>
      </c>
      <c r="J24" s="6">
        <f>J4</f>
        <v>100</v>
      </c>
      <c r="K24" s="6"/>
      <c r="L24" s="6"/>
      <c r="M24" s="19" t="str">
        <f>G24&amp;H24&amp;","&amp;I24&amp;J24</f>
        <v>1|2|20,1|5|100</v>
      </c>
    </row>
    <row r="25" ht="15.6" spans="4:13">
      <c r="D25" s="6" t="str">
        <f t="shared" si="5"/>
        <v>新服特惠礼包Ⅰ</v>
      </c>
      <c r="E25" s="6">
        <f t="shared" ref="E25:E39" si="6">E5</f>
        <v>6</v>
      </c>
      <c r="F25" s="6">
        <f t="shared" ref="F25:F39" si="7">F5</f>
        <v>5</v>
      </c>
      <c r="G25" s="6" t="str">
        <f>_xlfn.XLOOKUP(G5,道具表!$B:$B,道具表!$C:$C)&amp;"|"&amp;_xlfn.XLOOKUP(G5,道具表!$B:$B,道具表!$A:$A)&amp;"|"</f>
        <v>1|2|</v>
      </c>
      <c r="H25" s="6">
        <f t="shared" ref="H25:H40" si="8">H5</f>
        <v>60</v>
      </c>
      <c r="I25" s="6" t="str">
        <f>_xlfn.XLOOKUP(I5,道具表!$B:$B,道具表!$C:$C)&amp;"|"&amp;_xlfn.XLOOKUP(I5,道具表!$B:$B,道具表!$A:$A)&amp;"|"</f>
        <v>1|5|</v>
      </c>
      <c r="J25" s="6">
        <f t="shared" ref="J25:J40" si="9">J5</f>
        <v>300</v>
      </c>
      <c r="K25" s="6"/>
      <c r="L25" s="6"/>
      <c r="M25" s="19" t="str">
        <f>G25&amp;H25&amp;","&amp;I25&amp;J25</f>
        <v>1|2|60,1|5|300</v>
      </c>
    </row>
    <row r="26" ht="15.6" spans="4:13">
      <c r="D26" s="6" t="str">
        <f t="shared" si="5"/>
        <v>新服特惠礼包Ⅱ</v>
      </c>
      <c r="E26" s="6">
        <f t="shared" si="6"/>
        <v>30</v>
      </c>
      <c r="F26" s="6">
        <f t="shared" si="7"/>
        <v>3</v>
      </c>
      <c r="G26" s="6" t="str">
        <f>_xlfn.XLOOKUP(G6,道具表!$B:$B,道具表!$C:$C)&amp;"|"&amp;_xlfn.XLOOKUP(G6,道具表!$B:$B,道具表!$A:$A)&amp;"|"</f>
        <v>1|2|</v>
      </c>
      <c r="H26" s="6">
        <f t="shared" si="8"/>
        <v>300</v>
      </c>
      <c r="I26" s="6" t="str">
        <f>_xlfn.XLOOKUP(I6,道具表!$B:$B,道具表!$C:$C)&amp;"|"&amp;_xlfn.XLOOKUP(I6,道具表!$B:$B,道具表!$A:$A)&amp;"|"</f>
        <v>1|10009|</v>
      </c>
      <c r="J26" s="6">
        <f t="shared" si="9"/>
        <v>5</v>
      </c>
      <c r="K26" s="6"/>
      <c r="L26" s="6"/>
      <c r="M26" s="19" t="str">
        <f t="shared" ref="M26:M35" si="10">G26&amp;H26&amp;","&amp;I26&amp;J26</f>
        <v>1|2|300,1|10009|5</v>
      </c>
    </row>
    <row r="27" ht="15.6" spans="4:18">
      <c r="D27" s="6" t="str">
        <f t="shared" si="5"/>
        <v>新服特惠礼包Ⅲ</v>
      </c>
      <c r="E27" s="6">
        <f t="shared" si="6"/>
        <v>68</v>
      </c>
      <c r="F27" s="6">
        <f t="shared" si="7"/>
        <v>2</v>
      </c>
      <c r="G27" s="6" t="str">
        <f>_xlfn.XLOOKUP(G7,道具表!$B:$B,道具表!$C:$C)&amp;"|"&amp;_xlfn.XLOOKUP(G7,道具表!$B:$B,道具表!$A:$A)&amp;"|"</f>
        <v>1|2|</v>
      </c>
      <c r="H27" s="6">
        <f t="shared" si="8"/>
        <v>680</v>
      </c>
      <c r="I27" s="6" t="str">
        <f>_xlfn.XLOOKUP(I7,道具表!$B:$B,道具表!$C:$C)&amp;"|"&amp;_xlfn.XLOOKUP(I7,道具表!$B:$B,道具表!$A:$A)&amp;"|"</f>
        <v>1|6|</v>
      </c>
      <c r="J27" s="6">
        <f t="shared" si="9"/>
        <v>15</v>
      </c>
      <c r="K27" s="6"/>
      <c r="L27" s="6"/>
      <c r="M27" s="19" t="str">
        <f t="shared" si="10"/>
        <v>1|2|680,1|6|15</v>
      </c>
      <c r="R27" t="s">
        <v>864</v>
      </c>
    </row>
    <row r="28" ht="15.6" spans="4:13">
      <c r="D28" s="6" t="str">
        <f t="shared" si="5"/>
        <v>新服特惠礼包Ⅳ</v>
      </c>
      <c r="E28" s="6">
        <f t="shared" si="6"/>
        <v>68</v>
      </c>
      <c r="F28" s="6">
        <f t="shared" si="7"/>
        <v>2</v>
      </c>
      <c r="G28" s="6" t="str">
        <f>_xlfn.XLOOKUP(G8,道具表!$B:$B,道具表!$C:$C)&amp;"|"&amp;_xlfn.XLOOKUP(G8,道具表!$B:$B,道具表!$A:$A)&amp;"|"</f>
        <v>1|2|</v>
      </c>
      <c r="H28" s="6">
        <f t="shared" si="8"/>
        <v>680</v>
      </c>
      <c r="I28" s="6" t="str">
        <f>_xlfn.XLOOKUP(I8,道具表!$B:$B,道具表!$C:$C)&amp;"|"&amp;_xlfn.XLOOKUP(I8,道具表!$B:$B,道具表!$A:$A)&amp;"|"</f>
        <v>1|10005|</v>
      </c>
      <c r="J28" s="6">
        <f t="shared" si="9"/>
        <v>15</v>
      </c>
      <c r="K28" s="6"/>
      <c r="L28" s="6"/>
      <c r="M28" s="19" t="str">
        <f t="shared" si="10"/>
        <v>1|2|680,1|10005|15</v>
      </c>
    </row>
    <row r="29" ht="15.6" spans="4:13">
      <c r="D29" s="6" t="str">
        <f t="shared" si="5"/>
        <v>新服特惠礼包Ⅴ</v>
      </c>
      <c r="E29" s="6">
        <f t="shared" si="6"/>
        <v>68</v>
      </c>
      <c r="F29" s="6">
        <f t="shared" si="7"/>
        <v>2</v>
      </c>
      <c r="G29" s="6" t="str">
        <f>_xlfn.XLOOKUP(G9,道具表!$B:$B,道具表!$C:$C)&amp;"|"&amp;_xlfn.XLOOKUP(G9,道具表!$B:$B,道具表!$A:$A)&amp;"|"</f>
        <v>1|2|</v>
      </c>
      <c r="H29" s="6">
        <f t="shared" si="8"/>
        <v>680</v>
      </c>
      <c r="I29" s="6" t="str">
        <f>_xlfn.XLOOKUP(I9,道具表!$B:$B,道具表!$C:$C)&amp;"|"&amp;_xlfn.XLOOKUP(I9,道具表!$B:$B,道具表!$A:$A)&amp;"|"</f>
        <v>1|1011|</v>
      </c>
      <c r="J29" s="6">
        <f t="shared" si="9"/>
        <v>15</v>
      </c>
      <c r="K29" s="6"/>
      <c r="L29" s="6"/>
      <c r="M29" s="19" t="str">
        <f t="shared" si="10"/>
        <v>1|2|680,1|1011|15</v>
      </c>
    </row>
    <row r="30" ht="15.6" spans="4:13">
      <c r="D30" s="6" t="str">
        <f t="shared" si="5"/>
        <v>新服特惠礼包Ⅵ</v>
      </c>
      <c r="E30" s="6">
        <f t="shared" si="6"/>
        <v>128</v>
      </c>
      <c r="F30" s="6">
        <f t="shared" si="7"/>
        <v>3</v>
      </c>
      <c r="G30" s="6" t="str">
        <f>_xlfn.XLOOKUP(G10,道具表!$B:$B,道具表!$C:$C)&amp;"|"&amp;_xlfn.XLOOKUP(G10,道具表!$B:$B,道具表!$A:$A)&amp;"|"</f>
        <v>1|2|</v>
      </c>
      <c r="H30" s="6">
        <f t="shared" si="8"/>
        <v>1280</v>
      </c>
      <c r="I30" s="6" t="str">
        <f>_xlfn.XLOOKUP(I10,道具表!$B:$B,道具表!$C:$C)&amp;"|"&amp;_xlfn.XLOOKUP(I10,道具表!$B:$B,道具表!$A:$A)&amp;"|"</f>
        <v>1|10010|</v>
      </c>
      <c r="J30" s="6">
        <f t="shared" si="9"/>
        <v>2</v>
      </c>
      <c r="K30" s="6"/>
      <c r="L30" s="6"/>
      <c r="M30" s="19" t="str">
        <f t="shared" si="10"/>
        <v>1|2|1280,1|10010|2</v>
      </c>
    </row>
    <row r="31" ht="15.6" spans="4:13">
      <c r="D31" s="6" t="str">
        <f t="shared" si="5"/>
        <v>新服特惠礼包Ⅶ</v>
      </c>
      <c r="E31" s="6">
        <f t="shared" si="6"/>
        <v>198</v>
      </c>
      <c r="F31" s="6">
        <f t="shared" si="7"/>
        <v>3</v>
      </c>
      <c r="G31" s="6" t="str">
        <f>_xlfn.XLOOKUP(G11,道具表!$B:$B,道具表!$C:$C)&amp;"|"&amp;_xlfn.XLOOKUP(G11,道具表!$B:$B,道具表!$A:$A)&amp;"|"</f>
        <v>1|2|</v>
      </c>
      <c r="H31" s="6">
        <f t="shared" si="8"/>
        <v>1980</v>
      </c>
      <c r="I31" s="6" t="str">
        <f>_xlfn.XLOOKUP(I11,道具表!$B:$B,道具表!$C:$C)&amp;"|"&amp;_xlfn.XLOOKUP(I11,道具表!$B:$B,道具表!$A:$A)&amp;"|"</f>
        <v>1|6|</v>
      </c>
      <c r="J31" s="6">
        <f t="shared" si="9"/>
        <v>40</v>
      </c>
      <c r="K31" s="6"/>
      <c r="L31" s="6"/>
      <c r="M31" s="19" t="str">
        <f t="shared" si="10"/>
        <v>1|2|1980,1|6|40</v>
      </c>
    </row>
    <row r="32" ht="15.6" spans="4:13">
      <c r="D32" s="6" t="str">
        <f t="shared" si="5"/>
        <v>新服特惠礼包Ⅷ</v>
      </c>
      <c r="E32" s="6">
        <f t="shared" si="6"/>
        <v>198</v>
      </c>
      <c r="F32" s="6">
        <f t="shared" si="7"/>
        <v>3</v>
      </c>
      <c r="G32" s="6" t="str">
        <f>_xlfn.XLOOKUP(G12,道具表!$B:$B,道具表!$C:$C)&amp;"|"&amp;_xlfn.XLOOKUP(G12,道具表!$B:$B,道具表!$A:$A)&amp;"|"</f>
        <v>1|2|</v>
      </c>
      <c r="H32" s="6">
        <f t="shared" si="8"/>
        <v>1980</v>
      </c>
      <c r="I32" s="6" t="str">
        <f>_xlfn.XLOOKUP(I12,道具表!$B:$B,道具表!$C:$C)&amp;"|"&amp;_xlfn.XLOOKUP(I12,道具表!$B:$B,道具表!$A:$A)&amp;"|"</f>
        <v>1|10005|</v>
      </c>
      <c r="J32" s="6">
        <f t="shared" si="9"/>
        <v>40</v>
      </c>
      <c r="K32" s="6"/>
      <c r="L32" s="6"/>
      <c r="M32" s="19" t="str">
        <f t="shared" si="10"/>
        <v>1|2|1980,1|10005|40</v>
      </c>
    </row>
    <row r="33" ht="15.6" spans="4:13">
      <c r="D33" s="6" t="str">
        <f t="shared" si="5"/>
        <v>新服特惠礼包Ⅸ</v>
      </c>
      <c r="E33" s="6">
        <f t="shared" si="6"/>
        <v>198</v>
      </c>
      <c r="F33" s="6">
        <f t="shared" si="7"/>
        <v>3</v>
      </c>
      <c r="G33" s="6" t="str">
        <f>_xlfn.XLOOKUP(G13,道具表!$B:$B,道具表!$C:$C)&amp;"|"&amp;_xlfn.XLOOKUP(G13,道具表!$B:$B,道具表!$A:$A)&amp;"|"</f>
        <v>1|2|</v>
      </c>
      <c r="H33" s="6">
        <f t="shared" si="8"/>
        <v>1980</v>
      </c>
      <c r="I33" s="6" t="str">
        <f>_xlfn.XLOOKUP(I13,道具表!$B:$B,道具表!$C:$C)&amp;"|"&amp;_xlfn.XLOOKUP(I13,道具表!$B:$B,道具表!$A:$A)&amp;"|"</f>
        <v>1|1011|</v>
      </c>
      <c r="J33" s="6">
        <f t="shared" si="9"/>
        <v>40</v>
      </c>
      <c r="K33" s="6"/>
      <c r="L33" s="6"/>
      <c r="M33" s="19" t="str">
        <f t="shared" si="10"/>
        <v>1|2|1980,1|1011|40</v>
      </c>
    </row>
    <row r="34" ht="15.6" spans="4:13">
      <c r="D34" s="6" t="str">
        <f t="shared" si="5"/>
        <v>新服特惠礼包Ⅹ</v>
      </c>
      <c r="E34" s="6">
        <f t="shared" si="6"/>
        <v>198</v>
      </c>
      <c r="F34" s="6">
        <f t="shared" si="7"/>
        <v>1</v>
      </c>
      <c r="G34" s="6" t="str">
        <f>_xlfn.XLOOKUP(G14,道具表!$B:$B,道具表!$C:$C)&amp;"|"&amp;_xlfn.XLOOKUP(G14,道具表!$B:$B,道具表!$A:$A)&amp;"|"</f>
        <v>1|2|</v>
      </c>
      <c r="H34" s="6">
        <f t="shared" si="8"/>
        <v>1980</v>
      </c>
      <c r="I34" s="6" t="str">
        <f>_xlfn.XLOOKUP(I14,道具表!$B:$B,道具表!$C:$C)&amp;"|"&amp;_xlfn.XLOOKUP(I14,道具表!$B:$B,道具表!$A:$A)&amp;"|"</f>
        <v>1|10003|</v>
      </c>
      <c r="J34" s="6">
        <f t="shared" si="9"/>
        <v>8</v>
      </c>
      <c r="K34" s="6"/>
      <c r="L34" s="6"/>
      <c r="M34" s="19" t="str">
        <f t="shared" si="10"/>
        <v>1|2|1980,1|10003|8</v>
      </c>
    </row>
    <row r="35" ht="15.6" spans="4:13">
      <c r="D35" s="6" t="str">
        <f t="shared" si="5"/>
        <v>新服特惠礼包Ⅺ</v>
      </c>
      <c r="E35" s="6">
        <f t="shared" si="6"/>
        <v>328</v>
      </c>
      <c r="F35" s="6">
        <f t="shared" si="7"/>
        <v>3</v>
      </c>
      <c r="G35" s="6" t="str">
        <f>_xlfn.XLOOKUP(G15,道具表!$B:$B,道具表!$C:$C)&amp;"|"&amp;_xlfn.XLOOKUP(G15,道具表!$B:$B,道具表!$A:$A)&amp;"|"</f>
        <v>1|2|</v>
      </c>
      <c r="H35" s="6">
        <f t="shared" si="8"/>
        <v>3280</v>
      </c>
      <c r="I35" s="6" t="str">
        <f>_xlfn.XLOOKUP(I15,道具表!$B:$B,道具表!$C:$C)&amp;"|"&amp;_xlfn.XLOOKUP(I15,道具表!$B:$B,道具表!$A:$A)&amp;"|"</f>
        <v>1|10006|</v>
      </c>
      <c r="J35" s="6">
        <f t="shared" si="9"/>
        <v>15000</v>
      </c>
      <c r="K35" s="6"/>
      <c r="L35" s="6"/>
      <c r="M35" s="19" t="str">
        <f t="shared" si="10"/>
        <v>1|2|3280,1|10006|15000</v>
      </c>
    </row>
    <row r="36" ht="15.6" spans="4:13">
      <c r="D36" s="6" t="str">
        <f t="shared" si="5"/>
        <v>新服特惠礼包Ⅻ</v>
      </c>
      <c r="E36" s="6">
        <f t="shared" si="6"/>
        <v>648</v>
      </c>
      <c r="F36" s="6">
        <f t="shared" si="7"/>
        <v>1</v>
      </c>
      <c r="G36" s="6" t="str">
        <f>_xlfn.XLOOKUP(G16,道具表!$B:$B,道具表!$C:$C)&amp;"|"&amp;_xlfn.XLOOKUP(G16,道具表!$B:$B,道具表!$A:$A)&amp;"|"</f>
        <v>1|2|</v>
      </c>
      <c r="H36" s="6">
        <f t="shared" si="8"/>
        <v>6480</v>
      </c>
      <c r="I36" s="6" t="str">
        <f>_xlfn.XLOOKUP(I16,道具表!$B:$B,道具表!$C:$C)&amp;"|"&amp;_xlfn.XLOOKUP(I16,道具表!$B:$B,道具表!$A:$A)&amp;"|"</f>
        <v>1|10002|</v>
      </c>
      <c r="J36" s="6">
        <f t="shared" si="9"/>
        <v>160</v>
      </c>
      <c r="K36" s="6" t="str">
        <f>_xlfn.XLOOKUP(K16,道具表!$B:$B,道具表!$C:$C)&amp;"|"&amp;_xlfn.XLOOKUP(K16,道具表!$B:$B,道具表!$A:$A)&amp;"|"</f>
        <v>1|10003|</v>
      </c>
      <c r="L36" s="6">
        <f>L16</f>
        <v>15</v>
      </c>
      <c r="M36" s="19" t="str">
        <f>G36&amp;H36&amp;","&amp;I36&amp;J36&amp;","&amp;K36&amp;L36</f>
        <v>1|2|6480,1|10002|160,1|10003|15</v>
      </c>
    </row>
    <row r="37" ht="15.6" spans="4:13">
      <c r="D37" s="6" t="str">
        <f t="shared" si="5"/>
        <v>新服特惠礼包XIII</v>
      </c>
      <c r="E37" s="6">
        <f t="shared" si="6"/>
        <v>648</v>
      </c>
      <c r="F37" s="6">
        <f t="shared" si="7"/>
        <v>2</v>
      </c>
      <c r="G37" s="6" t="str">
        <f>_xlfn.XLOOKUP(G17,道具表!$B:$B,道具表!$C:$C)&amp;"|"&amp;_xlfn.XLOOKUP(G17,道具表!$B:$B,道具表!$A:$A)&amp;"|"</f>
        <v>1|2|</v>
      </c>
      <c r="H37" s="6">
        <f t="shared" si="8"/>
        <v>6480</v>
      </c>
      <c r="I37" s="6" t="str">
        <f>_xlfn.XLOOKUP(I17,道具表!$B:$B,道具表!$C:$C)&amp;"|"&amp;_xlfn.XLOOKUP(I17,道具表!$B:$B,道具表!$A:$A)&amp;"|"</f>
        <v>1|6|</v>
      </c>
      <c r="J37" s="6">
        <f t="shared" si="9"/>
        <v>150</v>
      </c>
      <c r="K37" s="6"/>
      <c r="L37" s="6"/>
      <c r="M37" s="19" t="str">
        <f t="shared" ref="M37:M39" si="11">G37&amp;H37&amp;","&amp;I37&amp;J37</f>
        <v>1|2|6480,1|6|150</v>
      </c>
    </row>
    <row r="38" ht="15.6" spans="4:13">
      <c r="D38" s="6" t="str">
        <f t="shared" si="5"/>
        <v>新服特惠礼包XIV</v>
      </c>
      <c r="E38" s="6">
        <f t="shared" si="6"/>
        <v>648</v>
      </c>
      <c r="F38" s="6">
        <f t="shared" si="7"/>
        <v>2</v>
      </c>
      <c r="G38" s="6" t="str">
        <f>_xlfn.XLOOKUP(G18,道具表!$B:$B,道具表!$C:$C)&amp;"|"&amp;_xlfn.XLOOKUP(G18,道具表!$B:$B,道具表!$A:$A)&amp;"|"</f>
        <v>1|2|</v>
      </c>
      <c r="H38" s="6">
        <f t="shared" si="8"/>
        <v>6480</v>
      </c>
      <c r="I38" s="6" t="str">
        <f>_xlfn.XLOOKUP(I18,道具表!$B:$B,道具表!$C:$C)&amp;"|"&amp;_xlfn.XLOOKUP(I18,道具表!$B:$B,道具表!$A:$A)&amp;"|"</f>
        <v>1|10005|</v>
      </c>
      <c r="J38" s="6">
        <f t="shared" si="9"/>
        <v>150</v>
      </c>
      <c r="K38" s="6"/>
      <c r="L38" s="6"/>
      <c r="M38" s="19" t="str">
        <f t="shared" si="11"/>
        <v>1|2|6480,1|10005|150</v>
      </c>
    </row>
    <row r="39" ht="15.6" spans="4:13">
      <c r="D39" s="6" t="str">
        <f t="shared" si="5"/>
        <v>新服特惠礼包XV</v>
      </c>
      <c r="E39" s="6">
        <f t="shared" si="6"/>
        <v>648</v>
      </c>
      <c r="F39" s="6">
        <f t="shared" si="7"/>
        <v>2</v>
      </c>
      <c r="G39" s="6" t="str">
        <f>_xlfn.XLOOKUP(G19,道具表!$B:$B,道具表!$C:$C)&amp;"|"&amp;_xlfn.XLOOKUP(G19,道具表!$B:$B,道具表!$A:$A)&amp;"|"</f>
        <v>1|2|</v>
      </c>
      <c r="H39" s="6">
        <f t="shared" si="8"/>
        <v>6480</v>
      </c>
      <c r="I39" s="6" t="str">
        <f>_xlfn.XLOOKUP(I19,道具表!$B:$B,道具表!$C:$C)&amp;"|"&amp;_xlfn.XLOOKUP(I19,道具表!$B:$B,道具表!$A:$A)&amp;"|"</f>
        <v>1|1011|</v>
      </c>
      <c r="J39" s="6">
        <f t="shared" si="9"/>
        <v>150</v>
      </c>
      <c r="K39" s="6"/>
      <c r="L39" s="6"/>
      <c r="M39" s="19" t="str">
        <f t="shared" si="11"/>
        <v>1|2|6480,1|1011|150</v>
      </c>
    </row>
    <row r="41" ht="15.6" spans="4:8">
      <c r="D41" s="6" t="s">
        <v>865</v>
      </c>
      <c r="E41" s="6" t="s">
        <v>322</v>
      </c>
      <c r="F41" s="6" t="s">
        <v>323</v>
      </c>
      <c r="G41" s="6" t="s">
        <v>377</v>
      </c>
      <c r="H41" s="6" t="s">
        <v>341</v>
      </c>
    </row>
    <row r="42" ht="15.6" spans="4:8">
      <c r="D42" s="6">
        <v>50</v>
      </c>
      <c r="E42" s="6" t="s">
        <v>9</v>
      </c>
      <c r="F42" s="6">
        <v>500</v>
      </c>
      <c r="G42" s="6">
        <f>_xlfn.XLOOKUP(E42,道具表!$B:$B,道具表!$E:$E)</f>
        <v>1</v>
      </c>
      <c r="H42" s="6">
        <f t="shared" ref="H42:H48" si="12">F42*G42</f>
        <v>500</v>
      </c>
    </row>
    <row r="43" ht="15.6" spans="4:8">
      <c r="D43" s="6">
        <v>100</v>
      </c>
      <c r="E43" s="24" t="s">
        <v>8</v>
      </c>
      <c r="F43" s="6">
        <v>10</v>
      </c>
      <c r="G43" s="6">
        <f>_xlfn.XLOOKUP(E43,道具表!$B:$B,道具表!$E:$E)</f>
        <v>80</v>
      </c>
      <c r="H43" s="6">
        <f t="shared" si="12"/>
        <v>800</v>
      </c>
    </row>
    <row r="44" ht="15.6" spans="4:8">
      <c r="D44" s="6">
        <v>200</v>
      </c>
      <c r="E44" s="6" t="s">
        <v>34</v>
      </c>
      <c r="F44" s="6">
        <v>30</v>
      </c>
      <c r="G44" s="6">
        <f>_xlfn.XLOOKUP(E44,道具表!$B:$B,道具表!$E:$E)</f>
        <v>100</v>
      </c>
      <c r="H44" s="6">
        <f t="shared" si="12"/>
        <v>3000</v>
      </c>
    </row>
    <row r="45" ht="15.6" spans="4:8">
      <c r="D45" s="6">
        <v>500</v>
      </c>
      <c r="E45" s="6" t="s">
        <v>44</v>
      </c>
      <c r="F45" s="6">
        <v>3000</v>
      </c>
      <c r="G45" s="6">
        <f>_xlfn.XLOOKUP(E45,道具表!$B:$B,道具表!$E:$E)</f>
        <v>1</v>
      </c>
      <c r="H45" s="6">
        <f t="shared" si="12"/>
        <v>3000</v>
      </c>
    </row>
    <row r="46" ht="15.6" spans="4:8">
      <c r="D46" s="6">
        <v>1000</v>
      </c>
      <c r="E46" s="6" t="s">
        <v>41</v>
      </c>
      <c r="F46" s="6">
        <v>30</v>
      </c>
      <c r="G46" s="6">
        <f>_xlfn.XLOOKUP(E46,道具表!$B:$B,道具表!$E:$E)</f>
        <v>100</v>
      </c>
      <c r="H46" s="6">
        <f t="shared" si="12"/>
        <v>3000</v>
      </c>
    </row>
    <row r="47" ht="15.6" spans="4:8">
      <c r="D47" s="6">
        <v>2000</v>
      </c>
      <c r="E47" s="81" t="s">
        <v>43</v>
      </c>
      <c r="F47" s="6">
        <v>20</v>
      </c>
      <c r="G47" s="6">
        <f>_xlfn.XLOOKUP(E47,道具表!$B:$B,道具表!$E:$E)</f>
        <v>500</v>
      </c>
      <c r="H47" s="6">
        <f t="shared" si="12"/>
        <v>10000</v>
      </c>
    </row>
    <row r="48" ht="15.6" spans="4:8">
      <c r="D48" s="7">
        <v>4000</v>
      </c>
      <c r="E48" s="81" t="s">
        <v>276</v>
      </c>
      <c r="F48" s="7">
        <v>1</v>
      </c>
      <c r="G48" s="6">
        <f>_xlfn.XLOOKUP(E48,道具表!$B:$B,道具表!$E:$E)</f>
        <v>21000</v>
      </c>
      <c r="H48" s="6">
        <f t="shared" si="12"/>
        <v>21000</v>
      </c>
    </row>
    <row r="51" ht="15.6" spans="4:8">
      <c r="D51" s="6" t="s">
        <v>865</v>
      </c>
      <c r="E51" s="6" t="s">
        <v>355</v>
      </c>
      <c r="F51" s="6" t="s">
        <v>323</v>
      </c>
      <c r="G51" s="19" t="s">
        <v>327</v>
      </c>
      <c r="H51" s="6"/>
    </row>
    <row r="52" ht="15.6" spans="4:8">
      <c r="D52" s="6">
        <v>50</v>
      </c>
      <c r="E52" s="6" t="str">
        <f>_xlfn.XLOOKUP(E42,道具表!$B:$B,道具表!$C:$C)&amp;"|"&amp;_xlfn.XLOOKUP(E42,道具表!$B:$B,道具表!$A:$A)&amp;"|"</f>
        <v>1|5|</v>
      </c>
      <c r="F52" s="6">
        <f>F42</f>
        <v>500</v>
      </c>
      <c r="G52" s="19" t="str">
        <f>E52&amp;F52</f>
        <v>1|5|500</v>
      </c>
      <c r="H52" s="6"/>
    </row>
    <row r="53" ht="15.6" spans="4:8">
      <c r="D53" s="6">
        <v>100</v>
      </c>
      <c r="E53" s="6" t="str">
        <f>_xlfn.XLOOKUP(E43,道具表!$B:$B,道具表!$C:$C)&amp;"|"&amp;_xlfn.XLOOKUP(E43,道具表!$B:$B,道具表!$A:$A)&amp;"|"</f>
        <v>1|4|</v>
      </c>
      <c r="F53" s="6">
        <f t="shared" ref="F53:F58" si="13">F43</f>
        <v>10</v>
      </c>
      <c r="G53" s="19" t="str">
        <f t="shared" ref="G52:G58" si="14">E53&amp;F53</f>
        <v>1|4|10</v>
      </c>
      <c r="H53" s="6"/>
    </row>
    <row r="54" ht="15.6" spans="4:8">
      <c r="D54" s="6">
        <v>200</v>
      </c>
      <c r="E54" s="6" t="str">
        <f>_xlfn.XLOOKUP(E44,道具表!$B:$B,道具表!$C:$C)&amp;"|"&amp;_xlfn.XLOOKUP(E44,道具表!$B:$B,道具表!$A:$A)&amp;"|"</f>
        <v>1|1011|</v>
      </c>
      <c r="F54" s="6">
        <f t="shared" si="13"/>
        <v>30</v>
      </c>
      <c r="G54" s="19" t="str">
        <f t="shared" si="14"/>
        <v>1|1011|30</v>
      </c>
      <c r="H54" s="6"/>
    </row>
    <row r="55" ht="15.6" spans="4:8">
      <c r="D55" s="6">
        <v>500</v>
      </c>
      <c r="E55" s="6" t="str">
        <f>_xlfn.XLOOKUP(E45,道具表!$B:$B,道具表!$C:$C)&amp;"|"&amp;_xlfn.XLOOKUP(E45,道具表!$B:$B,道具表!$A:$A)&amp;"|"</f>
        <v>1|10004|</v>
      </c>
      <c r="F55" s="6">
        <f t="shared" si="13"/>
        <v>3000</v>
      </c>
      <c r="G55" s="19" t="str">
        <f t="shared" si="14"/>
        <v>1|10004|3000</v>
      </c>
      <c r="H55" s="6"/>
    </row>
    <row r="56" ht="15.6" spans="4:8">
      <c r="D56" s="6">
        <v>1000</v>
      </c>
      <c r="E56" s="6" t="str">
        <f>_xlfn.XLOOKUP(E46,道具表!$B:$B,道具表!$C:$C)&amp;"|"&amp;_xlfn.XLOOKUP(E46,道具表!$B:$B,道具表!$A:$A)&amp;"|"</f>
        <v>1|10001|</v>
      </c>
      <c r="F56" s="6">
        <f t="shared" si="13"/>
        <v>30</v>
      </c>
      <c r="G56" s="19" t="str">
        <f t="shared" si="14"/>
        <v>1|10001|30</v>
      </c>
      <c r="H56" s="6"/>
    </row>
    <row r="57" ht="15.6" spans="4:8">
      <c r="D57" s="6">
        <v>2000</v>
      </c>
      <c r="E57" s="6" t="str">
        <f>_xlfn.XLOOKUP(E47,道具表!$B:$B,道具表!$C:$C)&amp;"|"&amp;_xlfn.XLOOKUP(E47,道具表!$B:$B,道具表!$A:$A)&amp;"|"</f>
        <v>1|10003|</v>
      </c>
      <c r="F57" s="6">
        <f t="shared" si="13"/>
        <v>20</v>
      </c>
      <c r="G57" s="19" t="str">
        <f t="shared" si="14"/>
        <v>1|10003|20</v>
      </c>
      <c r="H57" s="6"/>
    </row>
    <row r="58" ht="15.6" spans="4:8">
      <c r="D58" s="6">
        <v>3000</v>
      </c>
      <c r="E58" s="6" t="str">
        <f>_xlfn.XLOOKUP(E48,道具表!$B:$B,道具表!$C:$C)&amp;"|"&amp;_xlfn.XLOOKUP(E48,道具表!$B:$B,道具表!$A:$A)&amp;"|"</f>
        <v>11|5103|</v>
      </c>
      <c r="F58" s="6">
        <f t="shared" si="13"/>
        <v>1</v>
      </c>
      <c r="G58" s="19" t="str">
        <f t="shared" si="14"/>
        <v>11|5103|1</v>
      </c>
      <c r="H58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2:U122"/>
  <sheetViews>
    <sheetView workbookViewId="0">
      <selection activeCell="K54" sqref="K54:K59"/>
    </sheetView>
  </sheetViews>
  <sheetFormatPr defaultColWidth="8.88888888888889" defaultRowHeight="14.4"/>
  <cols>
    <col min="17" max="17" width="9.88888888888889"/>
  </cols>
  <sheetData>
    <row r="2" ht="15.6" spans="6:17">
      <c r="F2" s="7" t="s">
        <v>866</v>
      </c>
      <c r="G2" s="9" t="s">
        <v>867</v>
      </c>
      <c r="H2" s="9" t="s">
        <v>413</v>
      </c>
      <c r="I2" s="9" t="s">
        <v>323</v>
      </c>
      <c r="J2" s="9" t="s">
        <v>868</v>
      </c>
      <c r="K2" s="9" t="s">
        <v>323</v>
      </c>
      <c r="L2" s="9" t="s">
        <v>869</v>
      </c>
      <c r="M2" s="9" t="s">
        <v>323</v>
      </c>
      <c r="N2" s="6" t="s">
        <v>374</v>
      </c>
      <c r="O2" s="6" t="s">
        <v>870</v>
      </c>
      <c r="P2" s="6" t="s">
        <v>871</v>
      </c>
      <c r="Q2" s="6" t="s">
        <v>377</v>
      </c>
    </row>
    <row r="3" ht="15.6" spans="6:20">
      <c r="F3" s="7"/>
      <c r="G3" s="7">
        <v>1</v>
      </c>
      <c r="H3" s="9" t="s">
        <v>6</v>
      </c>
      <c r="I3" s="9">
        <v>1000</v>
      </c>
      <c r="J3" s="9" t="s">
        <v>41</v>
      </c>
      <c r="K3" s="9">
        <v>60</v>
      </c>
      <c r="L3" s="9" t="s">
        <v>24</v>
      </c>
      <c r="M3" s="9">
        <v>1</v>
      </c>
      <c r="N3" s="6">
        <f>_xlfn.XLOOKUP(H3,道具表!$B:$B,道具表!$E:$E)</f>
        <v>1</v>
      </c>
      <c r="O3" s="6">
        <f>_xlfn.XLOOKUP(J3,道具表!$B:$B,道具表!$E:$E)</f>
        <v>100</v>
      </c>
      <c r="P3" s="6"/>
      <c r="Q3" s="6">
        <f>N3*I3+O3*K3+P3*M3</f>
        <v>7000</v>
      </c>
      <c r="R3" s="78"/>
      <c r="T3" t="s">
        <v>872</v>
      </c>
    </row>
    <row r="4" ht="15.6" spans="6:18">
      <c r="F4" s="7"/>
      <c r="G4" s="7">
        <v>2</v>
      </c>
      <c r="H4" s="9" t="s">
        <v>6</v>
      </c>
      <c r="I4" s="9">
        <v>800</v>
      </c>
      <c r="J4" s="9" t="s">
        <v>41</v>
      </c>
      <c r="K4" s="9">
        <v>50</v>
      </c>
      <c r="L4" s="9"/>
      <c r="M4" s="9"/>
      <c r="N4" s="6">
        <f>_xlfn.XLOOKUP(H4,道具表!$B:$B,道具表!$E:$E)</f>
        <v>1</v>
      </c>
      <c r="O4" s="6">
        <f>_xlfn.XLOOKUP(J4,道具表!$B:$B,道具表!$E:$E)</f>
        <v>100</v>
      </c>
      <c r="P4" s="6"/>
      <c r="Q4" s="6">
        <f t="shared" ref="Q4:Q9" si="0">N4*I4+O4*K4+P4*M4</f>
        <v>5800</v>
      </c>
      <c r="R4" s="78"/>
    </row>
    <row r="5" ht="15.6" spans="6:18">
      <c r="F5" s="7"/>
      <c r="G5" s="7">
        <v>3</v>
      </c>
      <c r="H5" s="9" t="s">
        <v>6</v>
      </c>
      <c r="I5" s="9">
        <v>600</v>
      </c>
      <c r="J5" s="9" t="s">
        <v>41</v>
      </c>
      <c r="K5" s="9">
        <v>40</v>
      </c>
      <c r="L5" s="9"/>
      <c r="M5" s="9"/>
      <c r="N5" s="6">
        <f>_xlfn.XLOOKUP(H5,道具表!$B:$B,道具表!$E:$E)</f>
        <v>1</v>
      </c>
      <c r="O5" s="6">
        <f>_xlfn.XLOOKUP(J5,道具表!$B:$B,道具表!$E:$E)</f>
        <v>100</v>
      </c>
      <c r="P5" s="6"/>
      <c r="Q5" s="6">
        <f t="shared" si="0"/>
        <v>4600</v>
      </c>
      <c r="R5" s="78"/>
    </row>
    <row r="6" ht="15.6" spans="6:18">
      <c r="F6" s="7"/>
      <c r="G6" s="77" t="s">
        <v>873</v>
      </c>
      <c r="H6" s="9" t="s">
        <v>6</v>
      </c>
      <c r="I6" s="9">
        <v>400</v>
      </c>
      <c r="J6" s="9" t="s">
        <v>41</v>
      </c>
      <c r="K6" s="9">
        <v>30</v>
      </c>
      <c r="L6" s="9"/>
      <c r="M6" s="9"/>
      <c r="N6" s="6">
        <f>_xlfn.XLOOKUP(H6,道具表!$B:$B,道具表!$E:$E)</f>
        <v>1</v>
      </c>
      <c r="O6" s="6">
        <f>_xlfn.XLOOKUP(J6,道具表!$B:$B,道具表!$E:$E)</f>
        <v>100</v>
      </c>
      <c r="P6" s="6"/>
      <c r="Q6" s="6">
        <f t="shared" si="0"/>
        <v>3400</v>
      </c>
      <c r="R6" s="78"/>
    </row>
    <row r="7" ht="15.6" spans="6:17">
      <c r="F7" s="7"/>
      <c r="G7" s="77" t="s">
        <v>874</v>
      </c>
      <c r="H7" s="9" t="s">
        <v>6</v>
      </c>
      <c r="I7" s="9">
        <v>300</v>
      </c>
      <c r="J7" s="9" t="s">
        <v>41</v>
      </c>
      <c r="K7" s="9">
        <v>20</v>
      </c>
      <c r="L7" s="9"/>
      <c r="M7" s="9"/>
      <c r="N7" s="6">
        <f>_xlfn.XLOOKUP(H7,道具表!$B:$B,道具表!$E:$E)</f>
        <v>1</v>
      </c>
      <c r="O7" s="6">
        <f>_xlfn.XLOOKUP(J7,道具表!$B:$B,道具表!$E:$E)</f>
        <v>100</v>
      </c>
      <c r="P7" s="6"/>
      <c r="Q7" s="6">
        <f t="shared" si="0"/>
        <v>2300</v>
      </c>
    </row>
    <row r="8" ht="15.6" spans="6:17">
      <c r="F8" s="7"/>
      <c r="G8" s="77" t="s">
        <v>875</v>
      </c>
      <c r="H8" s="9" t="s">
        <v>6</v>
      </c>
      <c r="I8" s="9">
        <v>200</v>
      </c>
      <c r="J8" s="9" t="s">
        <v>41</v>
      </c>
      <c r="K8" s="9">
        <v>15</v>
      </c>
      <c r="L8" s="9"/>
      <c r="M8" s="9"/>
      <c r="N8" s="6">
        <f>_xlfn.XLOOKUP(H8,道具表!$B:$B,道具表!$E:$E)</f>
        <v>1</v>
      </c>
      <c r="O8" s="6">
        <f>_xlfn.XLOOKUP(J8,道具表!$B:$B,道具表!$E:$E)</f>
        <v>100</v>
      </c>
      <c r="P8" s="6"/>
      <c r="Q8" s="6">
        <f t="shared" si="0"/>
        <v>1700</v>
      </c>
    </row>
    <row r="9" ht="15.6" spans="6:17">
      <c r="F9" s="7"/>
      <c r="G9" s="77" t="s">
        <v>876</v>
      </c>
      <c r="H9" s="9" t="s">
        <v>6</v>
      </c>
      <c r="I9" s="9">
        <v>150</v>
      </c>
      <c r="J9" s="9" t="s">
        <v>41</v>
      </c>
      <c r="K9" s="9">
        <v>10</v>
      </c>
      <c r="L9" s="9"/>
      <c r="M9" s="9"/>
      <c r="N9" s="6">
        <f>_xlfn.XLOOKUP(H9,道具表!$B:$B,道具表!$E:$E)</f>
        <v>1</v>
      </c>
      <c r="O9" s="6">
        <f>_xlfn.XLOOKUP(J9,道具表!$B:$B,道具表!$E:$E)</f>
        <v>100</v>
      </c>
      <c r="P9" s="6"/>
      <c r="Q9" s="6">
        <f t="shared" ref="Q9:Q17" si="1">N9*I9+O9*K9+P9*M9</f>
        <v>1150</v>
      </c>
    </row>
    <row r="10" ht="15.6" spans="6:17">
      <c r="F10" s="7" t="s">
        <v>877</v>
      </c>
      <c r="G10" s="9" t="s">
        <v>867</v>
      </c>
      <c r="H10" s="9" t="s">
        <v>413</v>
      </c>
      <c r="I10" s="9" t="s">
        <v>323</v>
      </c>
      <c r="J10" s="9" t="s">
        <v>868</v>
      </c>
      <c r="K10" s="9" t="s">
        <v>323</v>
      </c>
      <c r="L10" s="9" t="s">
        <v>869</v>
      </c>
      <c r="M10" s="9" t="s">
        <v>323</v>
      </c>
      <c r="N10" s="6" t="s">
        <v>374</v>
      </c>
      <c r="O10" s="6" t="s">
        <v>870</v>
      </c>
      <c r="P10" s="6" t="s">
        <v>871</v>
      </c>
      <c r="Q10" s="6" t="s">
        <v>377</v>
      </c>
    </row>
    <row r="11" ht="15.6" spans="6:20">
      <c r="F11" s="7"/>
      <c r="G11" s="7">
        <v>1</v>
      </c>
      <c r="H11" s="9" t="s">
        <v>6</v>
      </c>
      <c r="I11" s="9">
        <v>1000</v>
      </c>
      <c r="J11" s="9" t="s">
        <v>54</v>
      </c>
      <c r="K11" s="9">
        <v>150</v>
      </c>
      <c r="L11" s="9" t="s">
        <v>25</v>
      </c>
      <c r="M11" s="9">
        <v>1</v>
      </c>
      <c r="N11" s="6">
        <f>_xlfn.XLOOKUP(H11,道具表!$B:$B,道具表!$E:$E)</f>
        <v>1</v>
      </c>
      <c r="O11" s="6">
        <f>_xlfn.XLOOKUP(J11,道具表!$B:$B,道具表!$E:$E)</f>
        <v>50</v>
      </c>
      <c r="P11" s="6"/>
      <c r="Q11" s="6">
        <f t="shared" si="1"/>
        <v>8500</v>
      </c>
      <c r="T11" t="s">
        <v>878</v>
      </c>
    </row>
    <row r="12" ht="15.6" spans="6:17">
      <c r="F12" s="7"/>
      <c r="G12" s="7">
        <v>2</v>
      </c>
      <c r="H12" s="9" t="s">
        <v>6</v>
      </c>
      <c r="I12" s="9">
        <v>800</v>
      </c>
      <c r="J12" s="9" t="s">
        <v>54</v>
      </c>
      <c r="K12" s="9">
        <v>100</v>
      </c>
      <c r="L12" s="9"/>
      <c r="M12" s="9"/>
      <c r="N12" s="6">
        <f>_xlfn.XLOOKUP(H12,道具表!$B:$B,道具表!$E:$E)</f>
        <v>1</v>
      </c>
      <c r="O12" s="6">
        <f>_xlfn.XLOOKUP(J12,道具表!$B:$B,道具表!$E:$E)</f>
        <v>50</v>
      </c>
      <c r="P12" s="6"/>
      <c r="Q12" s="6">
        <f t="shared" si="1"/>
        <v>5800</v>
      </c>
    </row>
    <row r="13" ht="15.6" spans="6:17">
      <c r="F13" s="7"/>
      <c r="G13" s="7">
        <v>3</v>
      </c>
      <c r="H13" s="9" t="s">
        <v>6</v>
      </c>
      <c r="I13" s="9">
        <v>600</v>
      </c>
      <c r="J13" s="9" t="s">
        <v>54</v>
      </c>
      <c r="K13" s="9">
        <v>60</v>
      </c>
      <c r="L13" s="9"/>
      <c r="M13" s="9"/>
      <c r="N13" s="6">
        <f>_xlfn.XLOOKUP(H13,道具表!$B:$B,道具表!$E:$E)</f>
        <v>1</v>
      </c>
      <c r="O13" s="6">
        <f>_xlfn.XLOOKUP(J13,道具表!$B:$B,道具表!$E:$E)</f>
        <v>50</v>
      </c>
      <c r="P13" s="6"/>
      <c r="Q13" s="6">
        <f t="shared" si="1"/>
        <v>3600</v>
      </c>
    </row>
    <row r="14" ht="15.6" spans="6:17">
      <c r="F14" s="7"/>
      <c r="G14" s="77" t="s">
        <v>873</v>
      </c>
      <c r="H14" s="9" t="s">
        <v>6</v>
      </c>
      <c r="I14" s="9">
        <v>400</v>
      </c>
      <c r="J14" s="9" t="s">
        <v>54</v>
      </c>
      <c r="K14" s="9">
        <v>40</v>
      </c>
      <c r="L14" s="9"/>
      <c r="M14" s="9"/>
      <c r="N14" s="6">
        <f>_xlfn.XLOOKUP(H14,道具表!$B:$B,道具表!$E:$E)</f>
        <v>1</v>
      </c>
      <c r="O14" s="6">
        <f>_xlfn.XLOOKUP(J14,道具表!$B:$B,道具表!$E:$E)</f>
        <v>50</v>
      </c>
      <c r="P14" s="6"/>
      <c r="Q14" s="6">
        <f t="shared" si="1"/>
        <v>2400</v>
      </c>
    </row>
    <row r="15" ht="15.6" spans="6:17">
      <c r="F15" s="7"/>
      <c r="G15" s="77" t="s">
        <v>874</v>
      </c>
      <c r="H15" s="9" t="s">
        <v>6</v>
      </c>
      <c r="I15" s="9">
        <v>300</v>
      </c>
      <c r="J15" s="9" t="s">
        <v>54</v>
      </c>
      <c r="K15" s="9">
        <v>30</v>
      </c>
      <c r="L15" s="9"/>
      <c r="M15" s="9"/>
      <c r="N15" s="6">
        <f>_xlfn.XLOOKUP(H15,道具表!$B:$B,道具表!$E:$E)</f>
        <v>1</v>
      </c>
      <c r="O15" s="6">
        <f>_xlfn.XLOOKUP(J15,道具表!$B:$B,道具表!$E:$E)</f>
        <v>50</v>
      </c>
      <c r="P15" s="6"/>
      <c r="Q15" s="6">
        <f t="shared" si="1"/>
        <v>1800</v>
      </c>
    </row>
    <row r="16" ht="15.6" spans="6:17">
      <c r="F16" s="7"/>
      <c r="G16" s="77" t="s">
        <v>875</v>
      </c>
      <c r="H16" s="9" t="s">
        <v>6</v>
      </c>
      <c r="I16" s="9">
        <v>200</v>
      </c>
      <c r="J16" s="9" t="s">
        <v>54</v>
      </c>
      <c r="K16" s="9">
        <v>20</v>
      </c>
      <c r="L16" s="9"/>
      <c r="M16" s="9"/>
      <c r="N16" s="6">
        <f>_xlfn.XLOOKUP(H16,道具表!$B:$B,道具表!$E:$E)</f>
        <v>1</v>
      </c>
      <c r="O16" s="6">
        <f>_xlfn.XLOOKUP(J16,道具表!$B:$B,道具表!$E:$E)</f>
        <v>50</v>
      </c>
      <c r="P16" s="6"/>
      <c r="Q16" s="6">
        <f t="shared" si="1"/>
        <v>1200</v>
      </c>
    </row>
    <row r="17" ht="15.6" spans="6:17">
      <c r="F17" s="7"/>
      <c r="G17" s="77" t="s">
        <v>876</v>
      </c>
      <c r="H17" s="9" t="s">
        <v>6</v>
      </c>
      <c r="I17" s="9">
        <v>150</v>
      </c>
      <c r="J17" s="9" t="s">
        <v>54</v>
      </c>
      <c r="K17" s="9">
        <v>10</v>
      </c>
      <c r="L17" s="9"/>
      <c r="M17" s="9"/>
      <c r="N17" s="6">
        <f>_xlfn.XLOOKUP(H17,道具表!$B:$B,道具表!$E:$E)</f>
        <v>1</v>
      </c>
      <c r="O17" s="6">
        <f>_xlfn.XLOOKUP(J17,道具表!$B:$B,道具表!$E:$E)</f>
        <v>50</v>
      </c>
      <c r="P17" s="6"/>
      <c r="Q17" s="6">
        <f t="shared" si="1"/>
        <v>650</v>
      </c>
    </row>
    <row r="18" ht="15.6" spans="6:17">
      <c r="F18" s="51" t="s">
        <v>879</v>
      </c>
      <c r="G18" s="9" t="s">
        <v>867</v>
      </c>
      <c r="H18" s="9" t="s">
        <v>413</v>
      </c>
      <c r="I18" s="9" t="s">
        <v>323</v>
      </c>
      <c r="J18" s="9" t="s">
        <v>868</v>
      </c>
      <c r="K18" s="9" t="s">
        <v>323</v>
      </c>
      <c r="L18" s="9" t="s">
        <v>869</v>
      </c>
      <c r="M18" s="9" t="s">
        <v>323</v>
      </c>
      <c r="N18" s="6" t="s">
        <v>374</v>
      </c>
      <c r="O18" s="6" t="s">
        <v>870</v>
      </c>
      <c r="P18" s="6" t="s">
        <v>871</v>
      </c>
      <c r="Q18" s="6" t="s">
        <v>377</v>
      </c>
    </row>
    <row r="19" ht="15.6" spans="6:21">
      <c r="F19" s="51"/>
      <c r="G19" s="7">
        <v>1</v>
      </c>
      <c r="H19" s="9" t="s">
        <v>6</v>
      </c>
      <c r="I19" s="9">
        <v>1000</v>
      </c>
      <c r="J19" s="9" t="s">
        <v>49</v>
      </c>
      <c r="K19" s="9">
        <v>5</v>
      </c>
      <c r="L19" s="9" t="s">
        <v>208</v>
      </c>
      <c r="M19" s="9">
        <v>1</v>
      </c>
      <c r="N19" s="6">
        <f>_xlfn.XLOOKUP(H19,道具表!$B:$B,道具表!$E:$E)</f>
        <v>1</v>
      </c>
      <c r="O19" s="6">
        <f>_xlfn.XLOOKUP(J19,道具表!$B:$B,道具表!$E:$E)</f>
        <v>918</v>
      </c>
      <c r="P19" s="6"/>
      <c r="Q19" s="6">
        <f t="shared" ref="Q19:Q25" si="2">N19*I19+O19*K19+P19*M19</f>
        <v>5590</v>
      </c>
      <c r="T19" t="s">
        <v>880</v>
      </c>
      <c r="U19" t="s">
        <v>208</v>
      </c>
    </row>
    <row r="20" ht="15.6" spans="6:21">
      <c r="F20" s="51"/>
      <c r="G20" s="7">
        <v>2</v>
      </c>
      <c r="H20" s="9" t="s">
        <v>6</v>
      </c>
      <c r="I20" s="9">
        <v>800</v>
      </c>
      <c r="J20" s="9" t="s">
        <v>49</v>
      </c>
      <c r="K20" s="9">
        <v>3</v>
      </c>
      <c r="L20" s="9"/>
      <c r="M20" s="9"/>
      <c r="N20" s="6">
        <f>_xlfn.XLOOKUP(H20,道具表!$B:$B,道具表!$E:$E)</f>
        <v>1</v>
      </c>
      <c r="O20" s="6">
        <f>_xlfn.XLOOKUP(J20,道具表!$B:$B,道具表!$E:$E)</f>
        <v>918</v>
      </c>
      <c r="P20" s="6"/>
      <c r="Q20" s="6">
        <f t="shared" si="2"/>
        <v>3554</v>
      </c>
      <c r="T20" t="s">
        <v>881</v>
      </c>
      <c r="U20" t="s">
        <v>209</v>
      </c>
    </row>
    <row r="21" ht="15.6" spans="6:21">
      <c r="F21" s="51"/>
      <c r="G21" s="7">
        <v>3</v>
      </c>
      <c r="H21" s="9" t="s">
        <v>6</v>
      </c>
      <c r="I21" s="9">
        <v>600</v>
      </c>
      <c r="J21" s="9" t="s">
        <v>49</v>
      </c>
      <c r="K21" s="9">
        <v>2</v>
      </c>
      <c r="L21" s="9"/>
      <c r="M21" s="9"/>
      <c r="N21" s="6">
        <f>_xlfn.XLOOKUP(H21,道具表!$B:$B,道具表!$E:$E)</f>
        <v>1</v>
      </c>
      <c r="O21" s="6">
        <f>_xlfn.XLOOKUP(J21,道具表!$B:$B,道具表!$E:$E)</f>
        <v>918</v>
      </c>
      <c r="P21" s="6"/>
      <c r="Q21" s="6">
        <f t="shared" si="2"/>
        <v>2436</v>
      </c>
      <c r="T21" t="s">
        <v>882</v>
      </c>
      <c r="U21" t="s">
        <v>210</v>
      </c>
    </row>
    <row r="22" ht="15.6" spans="6:21">
      <c r="F22" s="51"/>
      <c r="G22" s="77" t="s">
        <v>873</v>
      </c>
      <c r="H22" s="9" t="s">
        <v>6</v>
      </c>
      <c r="I22" s="9">
        <v>400</v>
      </c>
      <c r="J22" s="9" t="s">
        <v>48</v>
      </c>
      <c r="K22" s="9">
        <v>15</v>
      </c>
      <c r="L22" s="9"/>
      <c r="M22" s="9"/>
      <c r="N22" s="6">
        <f>_xlfn.XLOOKUP(H22,道具表!$B:$B,道具表!$E:$E)</f>
        <v>1</v>
      </c>
      <c r="O22" s="6">
        <f>_xlfn.XLOOKUP(J22,道具表!$B:$B,道具表!$E:$E)</f>
        <v>102</v>
      </c>
      <c r="P22" s="6"/>
      <c r="Q22" s="6">
        <f t="shared" si="2"/>
        <v>1930</v>
      </c>
      <c r="T22" t="s">
        <v>883</v>
      </c>
      <c r="U22" t="s">
        <v>211</v>
      </c>
    </row>
    <row r="23" ht="15.6" spans="6:21">
      <c r="F23" s="51"/>
      <c r="G23" s="77" t="s">
        <v>874</v>
      </c>
      <c r="H23" s="9" t="s">
        <v>6</v>
      </c>
      <c r="I23" s="9">
        <v>300</v>
      </c>
      <c r="J23" s="9" t="s">
        <v>48</v>
      </c>
      <c r="K23" s="9">
        <v>10</v>
      </c>
      <c r="L23" s="9"/>
      <c r="M23" s="9"/>
      <c r="N23" s="6">
        <f>_xlfn.XLOOKUP(H23,道具表!$B:$B,道具表!$E:$E)</f>
        <v>1</v>
      </c>
      <c r="O23" s="6">
        <f>_xlfn.XLOOKUP(J23,道具表!$B:$B,道具表!$E:$E)</f>
        <v>102</v>
      </c>
      <c r="P23" s="6"/>
      <c r="Q23" s="6">
        <f t="shared" si="2"/>
        <v>1320</v>
      </c>
      <c r="T23" t="s">
        <v>884</v>
      </c>
      <c r="U23" t="s">
        <v>212</v>
      </c>
    </row>
    <row r="24" ht="15.6" spans="6:21">
      <c r="F24" s="51"/>
      <c r="G24" s="77" t="s">
        <v>885</v>
      </c>
      <c r="H24" s="9" t="s">
        <v>6</v>
      </c>
      <c r="I24" s="9">
        <v>200</v>
      </c>
      <c r="J24" s="9" t="s">
        <v>48</v>
      </c>
      <c r="K24" s="9">
        <v>5</v>
      </c>
      <c r="L24" s="9"/>
      <c r="M24" s="9"/>
      <c r="N24" s="6">
        <f>_xlfn.XLOOKUP(H24,道具表!$B:$B,道具表!$E:$E)</f>
        <v>1</v>
      </c>
      <c r="O24" s="6">
        <f>_xlfn.XLOOKUP(J24,道具表!$B:$B,道具表!$E:$E)</f>
        <v>102</v>
      </c>
      <c r="P24" s="6"/>
      <c r="Q24" s="6">
        <f t="shared" si="2"/>
        <v>710</v>
      </c>
      <c r="T24" t="s">
        <v>886</v>
      </c>
      <c r="U24" t="s">
        <v>213</v>
      </c>
    </row>
    <row r="25" ht="15.6" spans="6:17">
      <c r="F25" s="51" t="s">
        <v>887</v>
      </c>
      <c r="G25" s="9" t="s">
        <v>867</v>
      </c>
      <c r="H25" s="9" t="s">
        <v>413</v>
      </c>
      <c r="I25" s="9" t="s">
        <v>323</v>
      </c>
      <c r="J25" s="9" t="s">
        <v>868</v>
      </c>
      <c r="K25" s="9" t="s">
        <v>323</v>
      </c>
      <c r="L25" s="9" t="s">
        <v>869</v>
      </c>
      <c r="M25" s="9" t="s">
        <v>323</v>
      </c>
      <c r="N25" s="6" t="s">
        <v>374</v>
      </c>
      <c r="O25" s="6" t="s">
        <v>870</v>
      </c>
      <c r="P25" s="6" t="s">
        <v>871</v>
      </c>
      <c r="Q25" s="6" t="s">
        <v>377</v>
      </c>
    </row>
    <row r="26" ht="15.6" spans="6:17">
      <c r="F26" s="51"/>
      <c r="G26" s="7">
        <v>1</v>
      </c>
      <c r="H26" s="9" t="s">
        <v>6</v>
      </c>
      <c r="I26" s="9">
        <v>1000</v>
      </c>
      <c r="J26" s="9" t="s">
        <v>49</v>
      </c>
      <c r="K26" s="9">
        <v>5</v>
      </c>
      <c r="L26" s="9" t="s">
        <v>209</v>
      </c>
      <c r="M26" s="9">
        <v>1</v>
      </c>
      <c r="N26" s="6">
        <f>_xlfn.XLOOKUP(H26,道具表!$B:$B,道具表!$E:$E)</f>
        <v>1</v>
      </c>
      <c r="O26" s="6">
        <f>_xlfn.XLOOKUP(J26,道具表!$B:$B,道具表!$E:$E)</f>
        <v>918</v>
      </c>
      <c r="P26" s="6"/>
      <c r="Q26" s="6">
        <f t="shared" ref="Q26:Q31" si="3">N26*I26+O26*K26+P26*M26</f>
        <v>5590</v>
      </c>
    </row>
    <row r="27" ht="15.6" spans="6:17">
      <c r="F27" s="51"/>
      <c r="G27" s="7">
        <v>2</v>
      </c>
      <c r="H27" s="9" t="s">
        <v>6</v>
      </c>
      <c r="I27" s="9">
        <v>800</v>
      </c>
      <c r="J27" s="9" t="s">
        <v>49</v>
      </c>
      <c r="K27" s="9">
        <v>3</v>
      </c>
      <c r="L27" s="9"/>
      <c r="M27" s="9"/>
      <c r="N27" s="6">
        <f>_xlfn.XLOOKUP(H27,道具表!$B:$B,道具表!$E:$E)</f>
        <v>1</v>
      </c>
      <c r="O27" s="6">
        <f>_xlfn.XLOOKUP(J27,道具表!$B:$B,道具表!$E:$E)</f>
        <v>918</v>
      </c>
      <c r="P27" s="6"/>
      <c r="Q27" s="6">
        <f t="shared" si="3"/>
        <v>3554</v>
      </c>
    </row>
    <row r="28" ht="15.6" spans="6:17">
      <c r="F28" s="51"/>
      <c r="G28" s="7">
        <v>3</v>
      </c>
      <c r="H28" s="9" t="s">
        <v>6</v>
      </c>
      <c r="I28" s="9">
        <v>600</v>
      </c>
      <c r="J28" s="9" t="s">
        <v>49</v>
      </c>
      <c r="K28" s="9">
        <v>2</v>
      </c>
      <c r="L28" s="9"/>
      <c r="M28" s="9"/>
      <c r="N28" s="6">
        <f>_xlfn.XLOOKUP(H28,道具表!$B:$B,道具表!$E:$E)</f>
        <v>1</v>
      </c>
      <c r="O28" s="6">
        <f>_xlfn.XLOOKUP(J28,道具表!$B:$B,道具表!$E:$E)</f>
        <v>918</v>
      </c>
      <c r="P28" s="6"/>
      <c r="Q28" s="6">
        <f t="shared" si="3"/>
        <v>2436</v>
      </c>
    </row>
    <row r="29" ht="15.6" spans="6:17">
      <c r="F29" s="51"/>
      <c r="G29" s="77" t="s">
        <v>873</v>
      </c>
      <c r="H29" s="9" t="s">
        <v>6</v>
      </c>
      <c r="I29" s="9">
        <v>400</v>
      </c>
      <c r="J29" s="9" t="s">
        <v>48</v>
      </c>
      <c r="K29" s="9">
        <v>15</v>
      </c>
      <c r="L29" s="9"/>
      <c r="M29" s="9"/>
      <c r="N29" s="6">
        <f>_xlfn.XLOOKUP(H29,道具表!$B:$B,道具表!$E:$E)</f>
        <v>1</v>
      </c>
      <c r="O29" s="6">
        <f>_xlfn.XLOOKUP(J29,道具表!$B:$B,道具表!$E:$E)</f>
        <v>102</v>
      </c>
      <c r="P29" s="6"/>
      <c r="Q29" s="6">
        <f t="shared" si="3"/>
        <v>1930</v>
      </c>
    </row>
    <row r="30" ht="15.6" spans="6:17">
      <c r="F30" s="51"/>
      <c r="G30" s="77" t="s">
        <v>874</v>
      </c>
      <c r="H30" s="9" t="s">
        <v>6</v>
      </c>
      <c r="I30" s="9">
        <v>300</v>
      </c>
      <c r="J30" s="9" t="s">
        <v>48</v>
      </c>
      <c r="K30" s="9">
        <v>10</v>
      </c>
      <c r="L30" s="9"/>
      <c r="M30" s="9"/>
      <c r="N30" s="6">
        <f>_xlfn.XLOOKUP(H30,道具表!$B:$B,道具表!$E:$E)</f>
        <v>1</v>
      </c>
      <c r="O30" s="6">
        <f>_xlfn.XLOOKUP(J30,道具表!$B:$B,道具表!$E:$E)</f>
        <v>102</v>
      </c>
      <c r="P30" s="6"/>
      <c r="Q30" s="6">
        <f t="shared" si="3"/>
        <v>1320</v>
      </c>
    </row>
    <row r="31" ht="15.6" spans="6:17">
      <c r="F31" s="51"/>
      <c r="G31" s="77" t="s">
        <v>885</v>
      </c>
      <c r="H31" s="9" t="s">
        <v>6</v>
      </c>
      <c r="I31" s="9">
        <v>200</v>
      </c>
      <c r="J31" s="9" t="s">
        <v>48</v>
      </c>
      <c r="K31" s="9">
        <v>5</v>
      </c>
      <c r="L31" s="9"/>
      <c r="M31" s="9"/>
      <c r="N31" s="6">
        <f>_xlfn.XLOOKUP(H31,道具表!$B:$B,道具表!$E:$E)</f>
        <v>1</v>
      </c>
      <c r="O31" s="6">
        <f>_xlfn.XLOOKUP(J31,道具表!$B:$B,道具表!$E:$E)</f>
        <v>102</v>
      </c>
      <c r="P31" s="6"/>
      <c r="Q31" s="6">
        <f t="shared" si="3"/>
        <v>710</v>
      </c>
    </row>
    <row r="32" ht="15.6" spans="6:17">
      <c r="F32" s="51" t="s">
        <v>888</v>
      </c>
      <c r="G32" s="9" t="s">
        <v>867</v>
      </c>
      <c r="H32" s="9" t="s">
        <v>413</v>
      </c>
      <c r="I32" s="9" t="s">
        <v>323</v>
      </c>
      <c r="J32" s="9" t="s">
        <v>868</v>
      </c>
      <c r="K32" s="9" t="s">
        <v>323</v>
      </c>
      <c r="L32" s="9" t="s">
        <v>869</v>
      </c>
      <c r="M32" s="9" t="s">
        <v>323</v>
      </c>
      <c r="N32" s="6" t="s">
        <v>374</v>
      </c>
      <c r="O32" s="6" t="s">
        <v>870</v>
      </c>
      <c r="P32" s="6" t="s">
        <v>871</v>
      </c>
      <c r="Q32" s="6" t="s">
        <v>377</v>
      </c>
    </row>
    <row r="33" ht="15.6" spans="6:17">
      <c r="F33" s="51"/>
      <c r="G33" s="7">
        <v>1</v>
      </c>
      <c r="H33" s="9" t="s">
        <v>6</v>
      </c>
      <c r="I33" s="9">
        <v>1000</v>
      </c>
      <c r="J33" s="9" t="s">
        <v>49</v>
      </c>
      <c r="K33" s="9">
        <v>5</v>
      </c>
      <c r="L33" s="9" t="s">
        <v>210</v>
      </c>
      <c r="M33" s="9">
        <v>1</v>
      </c>
      <c r="N33" s="6">
        <f>_xlfn.XLOOKUP(H33,道具表!$B:$B,道具表!$E:$E)</f>
        <v>1</v>
      </c>
      <c r="O33" s="6">
        <f>_xlfn.XLOOKUP(J33,道具表!$B:$B,道具表!$E:$E)</f>
        <v>918</v>
      </c>
      <c r="P33" s="6"/>
      <c r="Q33" s="6">
        <f t="shared" ref="Q33:Q38" si="4">N33*I33+O33*K33+P33*M33</f>
        <v>5590</v>
      </c>
    </row>
    <row r="34" ht="15.6" spans="6:17">
      <c r="F34" s="51"/>
      <c r="G34" s="7">
        <v>2</v>
      </c>
      <c r="H34" s="9" t="s">
        <v>6</v>
      </c>
      <c r="I34" s="9">
        <v>800</v>
      </c>
      <c r="J34" s="9" t="s">
        <v>49</v>
      </c>
      <c r="K34" s="9">
        <v>3</v>
      </c>
      <c r="L34" s="9"/>
      <c r="M34" s="9"/>
      <c r="N34" s="6">
        <f>_xlfn.XLOOKUP(H34,道具表!$B:$B,道具表!$E:$E)</f>
        <v>1</v>
      </c>
      <c r="O34" s="6">
        <f>_xlfn.XLOOKUP(J34,道具表!$B:$B,道具表!$E:$E)</f>
        <v>918</v>
      </c>
      <c r="P34" s="6"/>
      <c r="Q34" s="6">
        <f t="shared" si="4"/>
        <v>3554</v>
      </c>
    </row>
    <row r="35" ht="15.6" spans="6:17">
      <c r="F35" s="51"/>
      <c r="G35" s="7">
        <v>3</v>
      </c>
      <c r="H35" s="9" t="s">
        <v>6</v>
      </c>
      <c r="I35" s="9">
        <v>600</v>
      </c>
      <c r="J35" s="9" t="s">
        <v>49</v>
      </c>
      <c r="K35" s="9">
        <v>2</v>
      </c>
      <c r="L35" s="9"/>
      <c r="M35" s="9"/>
      <c r="N35" s="6">
        <f>_xlfn.XLOOKUP(H35,道具表!$B:$B,道具表!$E:$E)</f>
        <v>1</v>
      </c>
      <c r="O35" s="6">
        <f>_xlfn.XLOOKUP(J35,道具表!$B:$B,道具表!$E:$E)</f>
        <v>918</v>
      </c>
      <c r="P35" s="6"/>
      <c r="Q35" s="6">
        <f t="shared" si="4"/>
        <v>2436</v>
      </c>
    </row>
    <row r="36" ht="15.6" spans="6:17">
      <c r="F36" s="51"/>
      <c r="G36" s="77" t="s">
        <v>873</v>
      </c>
      <c r="H36" s="9" t="s">
        <v>6</v>
      </c>
      <c r="I36" s="9">
        <v>400</v>
      </c>
      <c r="J36" s="9" t="s">
        <v>48</v>
      </c>
      <c r="K36" s="9">
        <v>15</v>
      </c>
      <c r="L36" s="9"/>
      <c r="M36" s="9"/>
      <c r="N36" s="6">
        <f>_xlfn.XLOOKUP(H36,道具表!$B:$B,道具表!$E:$E)</f>
        <v>1</v>
      </c>
      <c r="O36" s="6">
        <f>_xlfn.XLOOKUP(J36,道具表!$B:$B,道具表!$E:$E)</f>
        <v>102</v>
      </c>
      <c r="P36" s="6"/>
      <c r="Q36" s="6">
        <f t="shared" si="4"/>
        <v>1930</v>
      </c>
    </row>
    <row r="37" ht="15.6" spans="6:17">
      <c r="F37" s="51"/>
      <c r="G37" s="77" t="s">
        <v>874</v>
      </c>
      <c r="H37" s="9" t="s">
        <v>6</v>
      </c>
      <c r="I37" s="9">
        <v>300</v>
      </c>
      <c r="J37" s="9" t="s">
        <v>48</v>
      </c>
      <c r="K37" s="9">
        <v>10</v>
      </c>
      <c r="L37" s="9"/>
      <c r="M37" s="9"/>
      <c r="N37" s="6">
        <f>_xlfn.XLOOKUP(H37,道具表!$B:$B,道具表!$E:$E)</f>
        <v>1</v>
      </c>
      <c r="O37" s="6">
        <f>_xlfn.XLOOKUP(J37,道具表!$B:$B,道具表!$E:$E)</f>
        <v>102</v>
      </c>
      <c r="P37" s="6"/>
      <c r="Q37" s="6">
        <f t="shared" si="4"/>
        <v>1320</v>
      </c>
    </row>
    <row r="38" ht="15.6" spans="6:17">
      <c r="F38" s="51"/>
      <c r="G38" s="77" t="s">
        <v>885</v>
      </c>
      <c r="H38" s="9" t="s">
        <v>6</v>
      </c>
      <c r="I38" s="9">
        <v>200</v>
      </c>
      <c r="J38" s="9" t="s">
        <v>48</v>
      </c>
      <c r="K38" s="9">
        <v>5</v>
      </c>
      <c r="L38" s="9"/>
      <c r="M38" s="9"/>
      <c r="N38" s="6">
        <f>_xlfn.XLOOKUP(H38,道具表!$B:$B,道具表!$E:$E)</f>
        <v>1</v>
      </c>
      <c r="O38" s="6">
        <f>_xlfn.XLOOKUP(J38,道具表!$B:$B,道具表!$E:$E)</f>
        <v>102</v>
      </c>
      <c r="P38" s="6"/>
      <c r="Q38" s="6">
        <f t="shared" si="4"/>
        <v>710</v>
      </c>
    </row>
    <row r="39" ht="15.6" spans="6:17">
      <c r="F39" s="51" t="s">
        <v>889</v>
      </c>
      <c r="G39" s="9" t="s">
        <v>867</v>
      </c>
      <c r="H39" s="9" t="s">
        <v>413</v>
      </c>
      <c r="I39" s="9" t="s">
        <v>323</v>
      </c>
      <c r="J39" s="9" t="s">
        <v>868</v>
      </c>
      <c r="K39" s="9" t="s">
        <v>323</v>
      </c>
      <c r="L39" s="9" t="s">
        <v>869</v>
      </c>
      <c r="M39" s="9" t="s">
        <v>323</v>
      </c>
      <c r="N39" s="6" t="s">
        <v>374</v>
      </c>
      <c r="O39" s="6" t="s">
        <v>870</v>
      </c>
      <c r="P39" s="6" t="s">
        <v>871</v>
      </c>
      <c r="Q39" s="6" t="s">
        <v>377</v>
      </c>
    </row>
    <row r="40" ht="15.6" spans="6:17">
      <c r="F40" s="51"/>
      <c r="G40" s="7">
        <v>1</v>
      </c>
      <c r="H40" s="9" t="s">
        <v>6</v>
      </c>
      <c r="I40" s="9">
        <v>1000</v>
      </c>
      <c r="J40" s="9" t="s">
        <v>49</v>
      </c>
      <c r="K40" s="9">
        <v>5</v>
      </c>
      <c r="L40" s="9" t="s">
        <v>211</v>
      </c>
      <c r="M40" s="9">
        <v>1</v>
      </c>
      <c r="N40" s="6">
        <f>_xlfn.XLOOKUP(H40,道具表!$B:$B,道具表!$E:$E)</f>
        <v>1</v>
      </c>
      <c r="O40" s="6">
        <f>_xlfn.XLOOKUP(J40,道具表!$B:$B,道具表!$E:$E)</f>
        <v>918</v>
      </c>
      <c r="P40" s="6"/>
      <c r="Q40" s="6">
        <f t="shared" ref="Q40:Q45" si="5">N40*I40+O40*K40+P40*M40</f>
        <v>5590</v>
      </c>
    </row>
    <row r="41" ht="15.6" spans="6:17">
      <c r="F41" s="51"/>
      <c r="G41" s="7">
        <v>2</v>
      </c>
      <c r="H41" s="9" t="s">
        <v>6</v>
      </c>
      <c r="I41" s="9">
        <v>800</v>
      </c>
      <c r="J41" s="9" t="s">
        <v>49</v>
      </c>
      <c r="K41" s="9">
        <v>3</v>
      </c>
      <c r="L41" s="9"/>
      <c r="M41" s="9"/>
      <c r="N41" s="6">
        <f>_xlfn.XLOOKUP(H41,道具表!$B:$B,道具表!$E:$E)</f>
        <v>1</v>
      </c>
      <c r="O41" s="6">
        <f>_xlfn.XLOOKUP(J41,道具表!$B:$B,道具表!$E:$E)</f>
        <v>918</v>
      </c>
      <c r="P41" s="6"/>
      <c r="Q41" s="6">
        <f t="shared" si="5"/>
        <v>3554</v>
      </c>
    </row>
    <row r="42" ht="15.6" spans="6:17">
      <c r="F42" s="51"/>
      <c r="G42" s="7">
        <v>3</v>
      </c>
      <c r="H42" s="9" t="s">
        <v>6</v>
      </c>
      <c r="I42" s="9">
        <v>600</v>
      </c>
      <c r="J42" s="9" t="s">
        <v>49</v>
      </c>
      <c r="K42" s="9">
        <v>2</v>
      </c>
      <c r="L42" s="9"/>
      <c r="M42" s="9"/>
      <c r="N42" s="6">
        <f>_xlfn.XLOOKUP(H42,道具表!$B:$B,道具表!$E:$E)</f>
        <v>1</v>
      </c>
      <c r="O42" s="6">
        <f>_xlfn.XLOOKUP(J42,道具表!$B:$B,道具表!$E:$E)</f>
        <v>918</v>
      </c>
      <c r="P42" s="6"/>
      <c r="Q42" s="6">
        <f t="shared" si="5"/>
        <v>2436</v>
      </c>
    </row>
    <row r="43" ht="15.6" spans="6:17">
      <c r="F43" s="51"/>
      <c r="G43" s="77" t="s">
        <v>873</v>
      </c>
      <c r="H43" s="9" t="s">
        <v>6</v>
      </c>
      <c r="I43" s="9">
        <v>400</v>
      </c>
      <c r="J43" s="9" t="s">
        <v>48</v>
      </c>
      <c r="K43" s="9">
        <v>15</v>
      </c>
      <c r="L43" s="9"/>
      <c r="M43" s="9"/>
      <c r="N43" s="6">
        <f>_xlfn.XLOOKUP(H43,道具表!$B:$B,道具表!$E:$E)</f>
        <v>1</v>
      </c>
      <c r="O43" s="6">
        <f>_xlfn.XLOOKUP(J43,道具表!$B:$B,道具表!$E:$E)</f>
        <v>102</v>
      </c>
      <c r="P43" s="6"/>
      <c r="Q43" s="6">
        <f t="shared" si="5"/>
        <v>1930</v>
      </c>
    </row>
    <row r="44" ht="15.6" spans="6:17">
      <c r="F44" s="51"/>
      <c r="G44" s="77" t="s">
        <v>874</v>
      </c>
      <c r="H44" s="9" t="s">
        <v>6</v>
      </c>
      <c r="I44" s="9">
        <v>300</v>
      </c>
      <c r="J44" s="9" t="s">
        <v>48</v>
      </c>
      <c r="K44" s="9">
        <v>10</v>
      </c>
      <c r="L44" s="9"/>
      <c r="M44" s="9"/>
      <c r="N44" s="6">
        <f>_xlfn.XLOOKUP(H44,道具表!$B:$B,道具表!$E:$E)</f>
        <v>1</v>
      </c>
      <c r="O44" s="6">
        <f>_xlfn.XLOOKUP(J44,道具表!$B:$B,道具表!$E:$E)</f>
        <v>102</v>
      </c>
      <c r="P44" s="6"/>
      <c r="Q44" s="6">
        <f t="shared" si="5"/>
        <v>1320</v>
      </c>
    </row>
    <row r="45" ht="15.6" spans="6:17">
      <c r="F45" s="51"/>
      <c r="G45" s="77" t="s">
        <v>885</v>
      </c>
      <c r="H45" s="9" t="s">
        <v>6</v>
      </c>
      <c r="I45" s="9">
        <v>200</v>
      </c>
      <c r="J45" s="9" t="s">
        <v>48</v>
      </c>
      <c r="K45" s="9">
        <v>5</v>
      </c>
      <c r="L45" s="9"/>
      <c r="M45" s="9"/>
      <c r="N45" s="6">
        <f>_xlfn.XLOOKUP(H45,道具表!$B:$B,道具表!$E:$E)</f>
        <v>1</v>
      </c>
      <c r="O45" s="6">
        <f>_xlfn.XLOOKUP(J45,道具表!$B:$B,道具表!$E:$E)</f>
        <v>102</v>
      </c>
      <c r="P45" s="6"/>
      <c r="Q45" s="6">
        <f t="shared" si="5"/>
        <v>710</v>
      </c>
    </row>
    <row r="46" ht="15.6" spans="6:17">
      <c r="F46" s="51" t="s">
        <v>890</v>
      </c>
      <c r="G46" s="9" t="s">
        <v>867</v>
      </c>
      <c r="H46" s="9" t="s">
        <v>413</v>
      </c>
      <c r="I46" s="9" t="s">
        <v>323</v>
      </c>
      <c r="J46" s="9" t="s">
        <v>868</v>
      </c>
      <c r="K46" s="9" t="s">
        <v>323</v>
      </c>
      <c r="L46" s="9" t="s">
        <v>869</v>
      </c>
      <c r="M46" s="9" t="s">
        <v>323</v>
      </c>
      <c r="N46" s="6" t="s">
        <v>374</v>
      </c>
      <c r="O46" s="6" t="s">
        <v>870</v>
      </c>
      <c r="P46" s="6" t="s">
        <v>871</v>
      </c>
      <c r="Q46" s="6" t="s">
        <v>377</v>
      </c>
    </row>
    <row r="47" ht="15.6" spans="6:17">
      <c r="F47" s="51"/>
      <c r="G47" s="7">
        <v>1</v>
      </c>
      <c r="H47" s="9" t="s">
        <v>6</v>
      </c>
      <c r="I47" s="9">
        <v>1000</v>
      </c>
      <c r="J47" s="9" t="s">
        <v>49</v>
      </c>
      <c r="K47" s="9">
        <v>5</v>
      </c>
      <c r="L47" s="9" t="s">
        <v>212</v>
      </c>
      <c r="M47" s="9">
        <v>1</v>
      </c>
      <c r="N47" s="6">
        <f>_xlfn.XLOOKUP(H47,道具表!$B:$B,道具表!$E:$E)</f>
        <v>1</v>
      </c>
      <c r="O47" s="6">
        <f>_xlfn.XLOOKUP(J47,道具表!$B:$B,道具表!$E:$E)</f>
        <v>918</v>
      </c>
      <c r="P47" s="6"/>
      <c r="Q47" s="6">
        <f t="shared" ref="Q47:Q52" si="6">N47*I47+O47*K47+P47*M47</f>
        <v>5590</v>
      </c>
    </row>
    <row r="48" ht="15.6" spans="6:17">
      <c r="F48" s="51"/>
      <c r="G48" s="7">
        <v>2</v>
      </c>
      <c r="H48" s="9" t="s">
        <v>6</v>
      </c>
      <c r="I48" s="9">
        <v>800</v>
      </c>
      <c r="J48" s="9" t="s">
        <v>49</v>
      </c>
      <c r="K48" s="9">
        <v>3</v>
      </c>
      <c r="L48" s="9"/>
      <c r="M48" s="9"/>
      <c r="N48" s="6">
        <f>_xlfn.XLOOKUP(H48,道具表!$B:$B,道具表!$E:$E)</f>
        <v>1</v>
      </c>
      <c r="O48" s="6">
        <f>_xlfn.XLOOKUP(J48,道具表!$B:$B,道具表!$E:$E)</f>
        <v>918</v>
      </c>
      <c r="P48" s="6"/>
      <c r="Q48" s="6">
        <f t="shared" si="6"/>
        <v>3554</v>
      </c>
    </row>
    <row r="49" ht="15.6" spans="6:17">
      <c r="F49" s="51"/>
      <c r="G49" s="7">
        <v>3</v>
      </c>
      <c r="H49" s="9" t="s">
        <v>6</v>
      </c>
      <c r="I49" s="9">
        <v>600</v>
      </c>
      <c r="J49" s="9" t="s">
        <v>49</v>
      </c>
      <c r="K49" s="9">
        <v>2</v>
      </c>
      <c r="L49" s="9"/>
      <c r="M49" s="9"/>
      <c r="N49" s="6">
        <f>_xlfn.XLOOKUP(H49,道具表!$B:$B,道具表!$E:$E)</f>
        <v>1</v>
      </c>
      <c r="O49" s="6">
        <f>_xlfn.XLOOKUP(J49,道具表!$B:$B,道具表!$E:$E)</f>
        <v>918</v>
      </c>
      <c r="P49" s="6"/>
      <c r="Q49" s="6">
        <f t="shared" si="6"/>
        <v>2436</v>
      </c>
    </row>
    <row r="50" ht="15.6" spans="6:17">
      <c r="F50" s="51"/>
      <c r="G50" s="77" t="s">
        <v>873</v>
      </c>
      <c r="H50" s="9" t="s">
        <v>6</v>
      </c>
      <c r="I50" s="9">
        <v>400</v>
      </c>
      <c r="J50" s="9" t="s">
        <v>48</v>
      </c>
      <c r="K50" s="9">
        <v>15</v>
      </c>
      <c r="L50" s="9"/>
      <c r="M50" s="9"/>
      <c r="N50" s="6">
        <f>_xlfn.XLOOKUP(H50,道具表!$B:$B,道具表!$E:$E)</f>
        <v>1</v>
      </c>
      <c r="O50" s="6">
        <f>_xlfn.XLOOKUP(J50,道具表!$B:$B,道具表!$E:$E)</f>
        <v>102</v>
      </c>
      <c r="P50" s="6"/>
      <c r="Q50" s="6">
        <f t="shared" si="6"/>
        <v>1930</v>
      </c>
    </row>
    <row r="51" ht="15.6" spans="6:17">
      <c r="F51" s="51"/>
      <c r="G51" s="77" t="s">
        <v>874</v>
      </c>
      <c r="H51" s="9" t="s">
        <v>6</v>
      </c>
      <c r="I51" s="9">
        <v>300</v>
      </c>
      <c r="J51" s="9" t="s">
        <v>48</v>
      </c>
      <c r="K51" s="9">
        <v>10</v>
      </c>
      <c r="L51" s="9"/>
      <c r="M51" s="9"/>
      <c r="N51" s="6">
        <f>_xlfn.XLOOKUP(H51,道具表!$B:$B,道具表!$E:$E)</f>
        <v>1</v>
      </c>
      <c r="O51" s="6">
        <f>_xlfn.XLOOKUP(J51,道具表!$B:$B,道具表!$E:$E)</f>
        <v>102</v>
      </c>
      <c r="P51" s="6"/>
      <c r="Q51" s="6">
        <f t="shared" si="6"/>
        <v>1320</v>
      </c>
    </row>
    <row r="52" ht="15.6" spans="6:17">
      <c r="F52" s="51"/>
      <c r="G52" s="77" t="s">
        <v>885</v>
      </c>
      <c r="H52" s="9" t="s">
        <v>6</v>
      </c>
      <c r="I52" s="9">
        <v>200</v>
      </c>
      <c r="J52" s="9" t="s">
        <v>48</v>
      </c>
      <c r="K52" s="9">
        <v>5</v>
      </c>
      <c r="L52" s="9"/>
      <c r="M52" s="9"/>
      <c r="N52" s="6">
        <f>_xlfn.XLOOKUP(H52,道具表!$B:$B,道具表!$E:$E)</f>
        <v>1</v>
      </c>
      <c r="O52" s="6">
        <f>_xlfn.XLOOKUP(J52,道具表!$B:$B,道具表!$E:$E)</f>
        <v>102</v>
      </c>
      <c r="P52" s="6"/>
      <c r="Q52" s="6">
        <f t="shared" si="6"/>
        <v>710</v>
      </c>
    </row>
    <row r="53" ht="15.6" spans="6:17">
      <c r="F53" s="51" t="s">
        <v>891</v>
      </c>
      <c r="G53" s="9" t="s">
        <v>867</v>
      </c>
      <c r="H53" s="9" t="s">
        <v>413</v>
      </c>
      <c r="I53" s="9" t="s">
        <v>323</v>
      </c>
      <c r="J53" s="9" t="s">
        <v>868</v>
      </c>
      <c r="K53" s="9" t="s">
        <v>323</v>
      </c>
      <c r="L53" s="9" t="s">
        <v>869</v>
      </c>
      <c r="M53" s="9" t="s">
        <v>323</v>
      </c>
      <c r="N53" s="6" t="s">
        <v>374</v>
      </c>
      <c r="O53" s="6" t="s">
        <v>870</v>
      </c>
      <c r="P53" s="6" t="s">
        <v>871</v>
      </c>
      <c r="Q53" s="6" t="s">
        <v>377</v>
      </c>
    </row>
    <row r="54" ht="15.6" spans="6:17">
      <c r="F54" s="51"/>
      <c r="G54" s="7">
        <v>1</v>
      </c>
      <c r="H54" s="9" t="s">
        <v>6</v>
      </c>
      <c r="I54" s="9">
        <v>1000</v>
      </c>
      <c r="J54" s="9" t="s">
        <v>49</v>
      </c>
      <c r="K54" s="9">
        <v>5</v>
      </c>
      <c r="L54" s="9" t="s">
        <v>213</v>
      </c>
      <c r="M54" s="9">
        <v>1</v>
      </c>
      <c r="N54" s="6">
        <f>_xlfn.XLOOKUP(H54,道具表!$B:$B,道具表!$E:$E)</f>
        <v>1</v>
      </c>
      <c r="O54" s="6">
        <f>_xlfn.XLOOKUP(J54,道具表!$B:$B,道具表!$E:$E)</f>
        <v>918</v>
      </c>
      <c r="P54" s="6"/>
      <c r="Q54" s="6">
        <f t="shared" ref="Q54:Q59" si="7">N54*I54+O54*K54+P54*M54</f>
        <v>5590</v>
      </c>
    </row>
    <row r="55" ht="15.6" spans="6:17">
      <c r="F55" s="51"/>
      <c r="G55" s="7">
        <v>2</v>
      </c>
      <c r="H55" s="9" t="s">
        <v>6</v>
      </c>
      <c r="I55" s="9">
        <v>800</v>
      </c>
      <c r="J55" s="9" t="s">
        <v>49</v>
      </c>
      <c r="K55" s="9">
        <v>3</v>
      </c>
      <c r="L55" s="9"/>
      <c r="M55" s="9"/>
      <c r="N55" s="6">
        <f>_xlfn.XLOOKUP(H55,道具表!$B:$B,道具表!$E:$E)</f>
        <v>1</v>
      </c>
      <c r="O55" s="6">
        <f>_xlfn.XLOOKUP(J55,道具表!$B:$B,道具表!$E:$E)</f>
        <v>918</v>
      </c>
      <c r="P55" s="6"/>
      <c r="Q55" s="6">
        <f t="shared" si="7"/>
        <v>3554</v>
      </c>
    </row>
    <row r="56" ht="15.6" spans="6:17">
      <c r="F56" s="51"/>
      <c r="G56" s="7">
        <v>3</v>
      </c>
      <c r="H56" s="9" t="s">
        <v>6</v>
      </c>
      <c r="I56" s="9">
        <v>600</v>
      </c>
      <c r="J56" s="9" t="s">
        <v>49</v>
      </c>
      <c r="K56" s="9">
        <v>2</v>
      </c>
      <c r="L56" s="9"/>
      <c r="M56" s="9"/>
      <c r="N56" s="6">
        <f>_xlfn.XLOOKUP(H56,道具表!$B:$B,道具表!$E:$E)</f>
        <v>1</v>
      </c>
      <c r="O56" s="6">
        <f>_xlfn.XLOOKUP(J56,道具表!$B:$B,道具表!$E:$E)</f>
        <v>918</v>
      </c>
      <c r="P56" s="6"/>
      <c r="Q56" s="6">
        <f t="shared" si="7"/>
        <v>2436</v>
      </c>
    </row>
    <row r="57" ht="15.6" spans="6:17">
      <c r="F57" s="51"/>
      <c r="G57" s="77" t="s">
        <v>873</v>
      </c>
      <c r="H57" s="9" t="s">
        <v>6</v>
      </c>
      <c r="I57" s="9">
        <v>400</v>
      </c>
      <c r="J57" s="9" t="s">
        <v>48</v>
      </c>
      <c r="K57" s="9">
        <v>15</v>
      </c>
      <c r="L57" s="9"/>
      <c r="M57" s="9"/>
      <c r="N57" s="6">
        <f>_xlfn.XLOOKUP(H57,道具表!$B:$B,道具表!$E:$E)</f>
        <v>1</v>
      </c>
      <c r="O57" s="6">
        <f>_xlfn.XLOOKUP(J57,道具表!$B:$B,道具表!$E:$E)</f>
        <v>102</v>
      </c>
      <c r="P57" s="6"/>
      <c r="Q57" s="6">
        <f t="shared" si="7"/>
        <v>1930</v>
      </c>
    </row>
    <row r="58" ht="15.6" spans="6:17">
      <c r="F58" s="51"/>
      <c r="G58" s="77" t="s">
        <v>874</v>
      </c>
      <c r="H58" s="9" t="s">
        <v>6</v>
      </c>
      <c r="I58" s="9">
        <v>300</v>
      </c>
      <c r="J58" s="9" t="s">
        <v>48</v>
      </c>
      <c r="K58" s="9">
        <v>10</v>
      </c>
      <c r="L58" s="9"/>
      <c r="M58" s="9"/>
      <c r="N58" s="6">
        <f>_xlfn.XLOOKUP(H58,道具表!$B:$B,道具表!$E:$E)</f>
        <v>1</v>
      </c>
      <c r="O58" s="6">
        <f>_xlfn.XLOOKUP(J58,道具表!$B:$B,道具表!$E:$E)</f>
        <v>102</v>
      </c>
      <c r="P58" s="6"/>
      <c r="Q58" s="6">
        <f t="shared" si="7"/>
        <v>1320</v>
      </c>
    </row>
    <row r="59" ht="15.6" spans="6:17">
      <c r="F59" s="51"/>
      <c r="G59" s="77" t="s">
        <v>885</v>
      </c>
      <c r="H59" s="9" t="s">
        <v>6</v>
      </c>
      <c r="I59" s="9">
        <v>200</v>
      </c>
      <c r="J59" s="9" t="s">
        <v>48</v>
      </c>
      <c r="K59" s="9">
        <v>5</v>
      </c>
      <c r="L59" s="9"/>
      <c r="M59" s="9"/>
      <c r="N59" s="6">
        <f>_xlfn.XLOOKUP(H59,道具表!$B:$B,道具表!$E:$E)</f>
        <v>1</v>
      </c>
      <c r="O59" s="6">
        <f>_xlfn.XLOOKUP(J59,道具表!$B:$B,道具表!$E:$E)</f>
        <v>102</v>
      </c>
      <c r="P59" s="6"/>
      <c r="Q59" s="6">
        <f t="shared" si="7"/>
        <v>710</v>
      </c>
    </row>
    <row r="65" spans="6:14">
      <c r="F65" s="7" t="s">
        <v>866</v>
      </c>
      <c r="G65" s="9" t="s">
        <v>867</v>
      </c>
      <c r="H65" s="9" t="s">
        <v>413</v>
      </c>
      <c r="I65" s="9" t="str">
        <f>I2</f>
        <v>数量</v>
      </c>
      <c r="J65" s="9" t="s">
        <v>868</v>
      </c>
      <c r="K65" s="9" t="str">
        <f t="shared" ref="K65:K122" si="8">K2</f>
        <v>数量</v>
      </c>
      <c r="L65" s="9" t="s">
        <v>869</v>
      </c>
      <c r="M65" s="9" t="str">
        <f>M2</f>
        <v>数量</v>
      </c>
      <c r="N65" s="9" t="s">
        <v>327</v>
      </c>
    </row>
    <row r="66" ht="15.6" spans="6:14">
      <c r="F66" s="7"/>
      <c r="G66" s="7">
        <v>1</v>
      </c>
      <c r="H66" s="6" t="str">
        <f>_xlfn.XLOOKUP(H3,道具表!$B:$B,道具表!$C:$C)&amp;"|"&amp;_xlfn.XLOOKUP(H3,道具表!$B:$B,道具表!$A:$A)&amp;"|"</f>
        <v>1|2|</v>
      </c>
      <c r="I66" s="9">
        <f t="shared" ref="I66:I97" si="9">I3</f>
        <v>1000</v>
      </c>
      <c r="J66" s="6" t="str">
        <f>_xlfn.XLOOKUP(J3,道具表!$B:$B,道具表!$C:$C)&amp;"|"&amp;_xlfn.XLOOKUP(J3,道具表!$B:$B,道具表!$A:$A)&amp;"|"</f>
        <v>1|10001|</v>
      </c>
      <c r="K66" s="9">
        <f t="shared" si="8"/>
        <v>60</v>
      </c>
      <c r="L66" s="6" t="str">
        <f>_xlfn.XLOOKUP(L3,道具表!$B:$B,道具表!$C:$C)&amp;"|"&amp;_xlfn.XLOOKUP(L3,道具表!$B:$B,道具表!$A:$A)&amp;"|"</f>
        <v>1|801|</v>
      </c>
      <c r="M66" s="9">
        <f>M3</f>
        <v>1</v>
      </c>
      <c r="N66" s="19" t="str">
        <f>H66&amp;I66&amp;","&amp;J66&amp;K66&amp;","&amp;L66&amp;M66</f>
        <v>1|2|1000,1|10001|60,1|801|1</v>
      </c>
    </row>
    <row r="67" ht="15.6" spans="6:14">
      <c r="F67" s="7"/>
      <c r="G67" s="7">
        <v>2</v>
      </c>
      <c r="H67" s="6" t="str">
        <f>_xlfn.XLOOKUP(H4,道具表!$B:$B,道具表!$C:$C)&amp;"|"&amp;_xlfn.XLOOKUP(H4,道具表!$B:$B,道具表!$A:$A)&amp;"|"</f>
        <v>1|2|</v>
      </c>
      <c r="I67" s="9">
        <f t="shared" si="9"/>
        <v>800</v>
      </c>
      <c r="J67" s="6" t="str">
        <f>_xlfn.XLOOKUP(J4,道具表!$B:$B,道具表!$C:$C)&amp;"|"&amp;_xlfn.XLOOKUP(J4,道具表!$B:$B,道具表!$A:$A)&amp;"|"</f>
        <v>1|10001|</v>
      </c>
      <c r="K67" s="9">
        <f t="shared" si="8"/>
        <v>50</v>
      </c>
      <c r="L67" s="6"/>
      <c r="M67" s="9"/>
      <c r="N67" s="19" t="str">
        <f>H67&amp;I67&amp;","&amp;J67&amp;K67</f>
        <v>1|2|800,1|10001|50</v>
      </c>
    </row>
    <row r="68" ht="15.6" spans="6:14">
      <c r="F68" s="7"/>
      <c r="G68" s="7">
        <v>3</v>
      </c>
      <c r="H68" s="6" t="str">
        <f>_xlfn.XLOOKUP(H5,道具表!$B:$B,道具表!$C:$C)&amp;"|"&amp;_xlfn.XLOOKUP(H5,道具表!$B:$B,道具表!$A:$A)&amp;"|"</f>
        <v>1|2|</v>
      </c>
      <c r="I68" s="9">
        <f t="shared" si="9"/>
        <v>600</v>
      </c>
      <c r="J68" s="6" t="str">
        <f>_xlfn.XLOOKUP(J5,道具表!$B:$B,道具表!$C:$C)&amp;"|"&amp;_xlfn.XLOOKUP(J5,道具表!$B:$B,道具表!$A:$A)&amp;"|"</f>
        <v>1|10001|</v>
      </c>
      <c r="K68" s="9">
        <f t="shared" si="8"/>
        <v>40</v>
      </c>
      <c r="L68" s="6"/>
      <c r="M68" s="9"/>
      <c r="N68" s="19" t="str">
        <f>H68&amp;I68&amp;","&amp;J68&amp;K68</f>
        <v>1|2|600,1|10001|40</v>
      </c>
    </row>
    <row r="69" ht="15.6" spans="6:14">
      <c r="F69" s="7"/>
      <c r="G69" s="77" t="s">
        <v>873</v>
      </c>
      <c r="H69" s="6" t="str">
        <f>_xlfn.XLOOKUP(H6,道具表!$B:$B,道具表!$C:$C)&amp;"|"&amp;_xlfn.XLOOKUP(H6,道具表!$B:$B,道具表!$A:$A)&amp;"|"</f>
        <v>1|2|</v>
      </c>
      <c r="I69" s="9">
        <f t="shared" si="9"/>
        <v>400</v>
      </c>
      <c r="J69" s="6" t="str">
        <f>_xlfn.XLOOKUP(J6,道具表!$B:$B,道具表!$C:$C)&amp;"|"&amp;_xlfn.XLOOKUP(J6,道具表!$B:$B,道具表!$A:$A)&amp;"|"</f>
        <v>1|10001|</v>
      </c>
      <c r="K69" s="9">
        <f t="shared" si="8"/>
        <v>30</v>
      </c>
      <c r="L69" s="6"/>
      <c r="M69" s="9"/>
      <c r="N69" s="19" t="str">
        <f>H69&amp;I69&amp;","&amp;J69&amp;K69</f>
        <v>1|2|400,1|10001|30</v>
      </c>
    </row>
    <row r="70" ht="15.6" spans="6:14">
      <c r="F70" s="7"/>
      <c r="G70" s="77" t="s">
        <v>874</v>
      </c>
      <c r="H70" s="6" t="str">
        <f>_xlfn.XLOOKUP(H7,道具表!$B:$B,道具表!$C:$C)&amp;"|"&amp;_xlfn.XLOOKUP(H7,道具表!$B:$B,道具表!$A:$A)&amp;"|"</f>
        <v>1|2|</v>
      </c>
      <c r="I70" s="9">
        <f t="shared" si="9"/>
        <v>300</v>
      </c>
      <c r="J70" s="6" t="str">
        <f>_xlfn.XLOOKUP(J7,道具表!$B:$B,道具表!$C:$C)&amp;"|"&amp;_xlfn.XLOOKUP(J7,道具表!$B:$B,道具表!$A:$A)&amp;"|"</f>
        <v>1|10001|</v>
      </c>
      <c r="K70" s="9">
        <f t="shared" si="8"/>
        <v>20</v>
      </c>
      <c r="L70" s="6"/>
      <c r="M70" s="9"/>
      <c r="N70" s="19" t="str">
        <f t="shared" ref="N70:N80" si="10">H70&amp;I70&amp;","&amp;J70&amp;K70</f>
        <v>1|2|300,1|10001|20</v>
      </c>
    </row>
    <row r="71" ht="15.6" spans="6:14">
      <c r="F71" s="7"/>
      <c r="G71" s="77" t="s">
        <v>892</v>
      </c>
      <c r="H71" s="6" t="str">
        <f>_xlfn.XLOOKUP(H8,道具表!$B:$B,道具表!$C:$C)&amp;"|"&amp;_xlfn.XLOOKUP(H8,道具表!$B:$B,道具表!$A:$A)&amp;"|"</f>
        <v>1|2|</v>
      </c>
      <c r="I71" s="9">
        <f t="shared" si="9"/>
        <v>200</v>
      </c>
      <c r="J71" s="6" t="str">
        <f>_xlfn.XLOOKUP(J8,道具表!$B:$B,道具表!$C:$C)&amp;"|"&amp;_xlfn.XLOOKUP(J8,道具表!$B:$B,道具表!$A:$A)&amp;"|"</f>
        <v>1|10001|</v>
      </c>
      <c r="K71" s="9">
        <f t="shared" si="8"/>
        <v>15</v>
      </c>
      <c r="L71" s="6"/>
      <c r="M71" s="9"/>
      <c r="N71" s="19" t="str">
        <f t="shared" si="10"/>
        <v>1|2|200,1|10001|15</v>
      </c>
    </row>
    <row r="72" ht="15.6" spans="6:14">
      <c r="F72" s="7"/>
      <c r="G72" s="77" t="s">
        <v>893</v>
      </c>
      <c r="H72" s="6" t="str">
        <f>_xlfn.XLOOKUP(H9,道具表!$B:$B,道具表!$C:$C)&amp;"|"&amp;_xlfn.XLOOKUP(H9,道具表!$B:$B,道具表!$A:$A)&amp;"|"</f>
        <v>1|2|</v>
      </c>
      <c r="I72" s="9">
        <f t="shared" si="9"/>
        <v>150</v>
      </c>
      <c r="J72" s="6" t="str">
        <f>_xlfn.XLOOKUP(J9,道具表!$B:$B,道具表!$C:$C)&amp;"|"&amp;_xlfn.XLOOKUP(J9,道具表!$B:$B,道具表!$A:$A)&amp;"|"</f>
        <v>1|10001|</v>
      </c>
      <c r="K72" s="9">
        <f t="shared" si="8"/>
        <v>10</v>
      </c>
      <c r="L72" s="6"/>
      <c r="M72" s="9"/>
      <c r="N72" s="19" t="str">
        <f t="shared" si="10"/>
        <v>1|2|150,1|10001|10</v>
      </c>
    </row>
    <row r="73" spans="6:14">
      <c r="F73" s="7" t="s">
        <v>877</v>
      </c>
      <c r="G73" s="9" t="s">
        <v>867</v>
      </c>
      <c r="H73" s="9" t="s">
        <v>413</v>
      </c>
      <c r="I73" s="9" t="str">
        <f t="shared" si="9"/>
        <v>数量</v>
      </c>
      <c r="J73" s="9" t="s">
        <v>868</v>
      </c>
      <c r="K73" s="9" t="str">
        <f t="shared" si="8"/>
        <v>数量</v>
      </c>
      <c r="L73" s="9" t="s">
        <v>869</v>
      </c>
      <c r="M73" s="9" t="str">
        <f>M10</f>
        <v>数量</v>
      </c>
      <c r="N73" s="9" t="s">
        <v>327</v>
      </c>
    </row>
    <row r="74" ht="15.6" spans="6:14">
      <c r="F74" s="7"/>
      <c r="G74" s="7">
        <v>1</v>
      </c>
      <c r="H74" s="6" t="str">
        <f>_xlfn.XLOOKUP(H11,道具表!$B:$B,道具表!$C:$C)&amp;"|"&amp;_xlfn.XLOOKUP(H11,道具表!$B:$B,道具表!$A:$A)&amp;"|"</f>
        <v>1|2|</v>
      </c>
      <c r="I74" s="9">
        <f t="shared" si="9"/>
        <v>1000</v>
      </c>
      <c r="J74" s="6" t="str">
        <f>_xlfn.XLOOKUP(J11,道具表!$B:$B,道具表!$C:$C)&amp;"|"&amp;_xlfn.XLOOKUP(J11,道具表!$B:$B,道具表!$A:$A)&amp;"|"</f>
        <v>1|10015|</v>
      </c>
      <c r="K74" s="9">
        <f t="shared" si="8"/>
        <v>150</v>
      </c>
      <c r="L74" s="6" t="str">
        <f>_xlfn.XLOOKUP(L11,道具表!$B:$B,道具表!$C:$C)&amp;"|"&amp;_xlfn.XLOOKUP(L11,道具表!$B:$B,道具表!$A:$A)&amp;"|"</f>
        <v>1|802|</v>
      </c>
      <c r="M74" s="9">
        <f>M11</f>
        <v>1</v>
      </c>
      <c r="N74" s="19" t="str">
        <f>H74&amp;I74&amp;","&amp;J74&amp;K74&amp;","&amp;L74&amp;M74</f>
        <v>1|2|1000,1|10015|150,1|802|1</v>
      </c>
    </row>
    <row r="75" ht="15.6" spans="6:14">
      <c r="F75" s="7"/>
      <c r="G75" s="7">
        <v>2</v>
      </c>
      <c r="H75" s="6" t="str">
        <f>_xlfn.XLOOKUP(H12,道具表!$B:$B,道具表!$C:$C)&amp;"|"&amp;_xlfn.XLOOKUP(H12,道具表!$B:$B,道具表!$A:$A)&amp;"|"</f>
        <v>1|2|</v>
      </c>
      <c r="I75" s="9">
        <f t="shared" si="9"/>
        <v>800</v>
      </c>
      <c r="J75" s="6" t="str">
        <f>_xlfn.XLOOKUP(J12,道具表!$B:$B,道具表!$C:$C)&amp;"|"&amp;_xlfn.XLOOKUP(J12,道具表!$B:$B,道具表!$A:$A)&amp;"|"</f>
        <v>1|10015|</v>
      </c>
      <c r="K75" s="9">
        <f t="shared" si="8"/>
        <v>100</v>
      </c>
      <c r="L75" s="6"/>
      <c r="M75" s="9"/>
      <c r="N75" s="19" t="str">
        <f t="shared" si="10"/>
        <v>1|2|800,1|10015|100</v>
      </c>
    </row>
    <row r="76" ht="15.6" spans="6:14">
      <c r="F76" s="7"/>
      <c r="G76" s="7">
        <v>3</v>
      </c>
      <c r="H76" s="6" t="str">
        <f>_xlfn.XLOOKUP(H13,道具表!$B:$B,道具表!$C:$C)&amp;"|"&amp;_xlfn.XLOOKUP(H13,道具表!$B:$B,道具表!$A:$A)&amp;"|"</f>
        <v>1|2|</v>
      </c>
      <c r="I76" s="9">
        <f t="shared" si="9"/>
        <v>600</v>
      </c>
      <c r="J76" s="6" t="str">
        <f>_xlfn.XLOOKUP(J13,道具表!$B:$B,道具表!$C:$C)&amp;"|"&amp;_xlfn.XLOOKUP(J13,道具表!$B:$B,道具表!$A:$A)&amp;"|"</f>
        <v>1|10015|</v>
      </c>
      <c r="K76" s="9">
        <f t="shared" si="8"/>
        <v>60</v>
      </c>
      <c r="L76" s="6"/>
      <c r="M76" s="9"/>
      <c r="N76" s="19" t="str">
        <f t="shared" si="10"/>
        <v>1|2|600,1|10015|60</v>
      </c>
    </row>
    <row r="77" ht="15.6" spans="6:14">
      <c r="F77" s="7"/>
      <c r="G77" s="77" t="s">
        <v>873</v>
      </c>
      <c r="H77" s="6" t="str">
        <f>_xlfn.XLOOKUP(H14,道具表!$B:$B,道具表!$C:$C)&amp;"|"&amp;_xlfn.XLOOKUP(H14,道具表!$B:$B,道具表!$A:$A)&amp;"|"</f>
        <v>1|2|</v>
      </c>
      <c r="I77" s="9">
        <f t="shared" si="9"/>
        <v>400</v>
      </c>
      <c r="J77" s="6" t="str">
        <f>_xlfn.XLOOKUP(J14,道具表!$B:$B,道具表!$C:$C)&amp;"|"&amp;_xlfn.XLOOKUP(J14,道具表!$B:$B,道具表!$A:$A)&amp;"|"</f>
        <v>1|10015|</v>
      </c>
      <c r="K77" s="9">
        <f t="shared" si="8"/>
        <v>40</v>
      </c>
      <c r="L77" s="6"/>
      <c r="M77" s="9"/>
      <c r="N77" s="19" t="str">
        <f t="shared" si="10"/>
        <v>1|2|400,1|10015|40</v>
      </c>
    </row>
    <row r="78" ht="15.6" spans="6:14">
      <c r="F78" s="7"/>
      <c r="G78" s="77" t="s">
        <v>874</v>
      </c>
      <c r="H78" s="6" t="str">
        <f>_xlfn.XLOOKUP(H15,道具表!$B:$B,道具表!$C:$C)&amp;"|"&amp;_xlfn.XLOOKUP(H15,道具表!$B:$B,道具表!$A:$A)&amp;"|"</f>
        <v>1|2|</v>
      </c>
      <c r="I78" s="9">
        <f t="shared" si="9"/>
        <v>300</v>
      </c>
      <c r="J78" s="6" t="str">
        <f>_xlfn.XLOOKUP(J15,道具表!$B:$B,道具表!$C:$C)&amp;"|"&amp;_xlfn.XLOOKUP(J15,道具表!$B:$B,道具表!$A:$A)&amp;"|"</f>
        <v>1|10015|</v>
      </c>
      <c r="K78" s="9">
        <f t="shared" si="8"/>
        <v>30</v>
      </c>
      <c r="L78" s="6"/>
      <c r="M78" s="9"/>
      <c r="N78" s="19" t="str">
        <f t="shared" si="10"/>
        <v>1|2|300,1|10015|30</v>
      </c>
    </row>
    <row r="79" ht="15.6" spans="6:14">
      <c r="F79" s="7"/>
      <c r="G79" s="77" t="s">
        <v>892</v>
      </c>
      <c r="H79" s="6" t="str">
        <f>_xlfn.XLOOKUP(H16,道具表!$B:$B,道具表!$C:$C)&amp;"|"&amp;_xlfn.XLOOKUP(H16,道具表!$B:$B,道具表!$A:$A)&amp;"|"</f>
        <v>1|2|</v>
      </c>
      <c r="I79" s="9">
        <f t="shared" si="9"/>
        <v>200</v>
      </c>
      <c r="J79" s="6" t="str">
        <f>_xlfn.XLOOKUP(J16,道具表!$B:$B,道具表!$C:$C)&amp;"|"&amp;_xlfn.XLOOKUP(J16,道具表!$B:$B,道具表!$A:$A)&amp;"|"</f>
        <v>1|10015|</v>
      </c>
      <c r="K79" s="9">
        <f t="shared" si="8"/>
        <v>20</v>
      </c>
      <c r="L79" s="6"/>
      <c r="M79" s="9"/>
      <c r="N79" s="19" t="str">
        <f t="shared" si="10"/>
        <v>1|2|200,1|10015|20</v>
      </c>
    </row>
    <row r="80" ht="15.6" spans="6:14">
      <c r="F80" s="7"/>
      <c r="G80" s="77" t="s">
        <v>893</v>
      </c>
      <c r="H80" s="6" t="str">
        <f>_xlfn.XLOOKUP(H17,道具表!$B:$B,道具表!$C:$C)&amp;"|"&amp;_xlfn.XLOOKUP(H17,道具表!$B:$B,道具表!$A:$A)&amp;"|"</f>
        <v>1|2|</v>
      </c>
      <c r="I80" s="9">
        <f t="shared" si="9"/>
        <v>150</v>
      </c>
      <c r="J80" s="6" t="str">
        <f>_xlfn.XLOOKUP(J17,道具表!$B:$B,道具表!$C:$C)&amp;"|"&amp;_xlfn.XLOOKUP(J17,道具表!$B:$B,道具表!$A:$A)&amp;"|"</f>
        <v>1|10015|</v>
      </c>
      <c r="K80" s="9">
        <f t="shared" si="8"/>
        <v>10</v>
      </c>
      <c r="L80" s="6"/>
      <c r="M80" s="9"/>
      <c r="N80" s="19" t="str">
        <f t="shared" si="10"/>
        <v>1|2|150,1|10015|10</v>
      </c>
    </row>
    <row r="81" spans="6:14">
      <c r="F81" s="51" t="s">
        <v>879</v>
      </c>
      <c r="G81" s="9" t="s">
        <v>867</v>
      </c>
      <c r="H81" s="9" t="s">
        <v>413</v>
      </c>
      <c r="I81" s="9" t="str">
        <f t="shared" si="9"/>
        <v>数量</v>
      </c>
      <c r="J81" s="9" t="s">
        <v>868</v>
      </c>
      <c r="K81" s="9" t="str">
        <f t="shared" si="8"/>
        <v>数量</v>
      </c>
      <c r="L81" s="9" t="s">
        <v>869</v>
      </c>
      <c r="M81" s="9" t="str">
        <f>M18</f>
        <v>数量</v>
      </c>
      <c r="N81" s="9" t="s">
        <v>327</v>
      </c>
    </row>
    <row r="82" ht="15.6" spans="6:14">
      <c r="F82" s="51"/>
      <c r="G82" s="7">
        <v>1</v>
      </c>
      <c r="H82" s="6" t="str">
        <f>_xlfn.XLOOKUP(H19,道具表!$B:$B,道具表!$C:$C)&amp;"|"&amp;_xlfn.XLOOKUP(H19,道具表!$B:$B,道具表!$A:$A)&amp;"|"</f>
        <v>1|2|</v>
      </c>
      <c r="I82" s="9">
        <f t="shared" si="9"/>
        <v>1000</v>
      </c>
      <c r="J82" s="6" t="str">
        <f>_xlfn.XLOOKUP(J19,道具表!$B:$B,道具表!$C:$C)&amp;"|"&amp;_xlfn.XLOOKUP(J19,道具表!$B:$B,道具表!$A:$A)&amp;"|"</f>
        <v>1|10010|</v>
      </c>
      <c r="K82" s="9">
        <f t="shared" si="8"/>
        <v>5</v>
      </c>
      <c r="L82" s="6" t="str">
        <f>_xlfn.XLOOKUP(L19,道具表!$B:$B,道具表!$C:$C)&amp;"|"&amp;_xlfn.XLOOKUP(L19,道具表!$B:$B,道具表!$A:$A)&amp;"|"</f>
        <v>7|303|</v>
      </c>
      <c r="M82" s="9">
        <f>M19</f>
        <v>1</v>
      </c>
      <c r="N82" s="19" t="str">
        <f>H82&amp;I82&amp;","&amp;J82&amp;K82&amp;","&amp;L82&amp;M82</f>
        <v>1|2|1000,1|10010|5,7|303|1</v>
      </c>
    </row>
    <row r="83" ht="15.6" spans="6:14">
      <c r="F83" s="51"/>
      <c r="G83" s="7">
        <v>2</v>
      </c>
      <c r="H83" s="6" t="str">
        <f>_xlfn.XLOOKUP(H20,道具表!$B:$B,道具表!$C:$C)&amp;"|"&amp;_xlfn.XLOOKUP(H20,道具表!$B:$B,道具表!$A:$A)&amp;"|"</f>
        <v>1|2|</v>
      </c>
      <c r="I83" s="9">
        <f t="shared" si="9"/>
        <v>800</v>
      </c>
      <c r="J83" s="6" t="str">
        <f>_xlfn.XLOOKUP(J20,道具表!$B:$B,道具表!$C:$C)&amp;"|"&amp;_xlfn.XLOOKUP(J20,道具表!$B:$B,道具表!$A:$A)&amp;"|"</f>
        <v>1|10010|</v>
      </c>
      <c r="K83" s="9">
        <f t="shared" si="8"/>
        <v>3</v>
      </c>
      <c r="L83" s="6"/>
      <c r="M83" s="9"/>
      <c r="N83" s="19" t="str">
        <f t="shared" ref="N83:N86" si="11">H83&amp;I83&amp;","&amp;J83&amp;K83</f>
        <v>1|2|800,1|10010|3</v>
      </c>
    </row>
    <row r="84" ht="15.6" spans="6:14">
      <c r="F84" s="51"/>
      <c r="G84" s="7">
        <v>3</v>
      </c>
      <c r="H84" s="6" t="str">
        <f>_xlfn.XLOOKUP(H21,道具表!$B:$B,道具表!$C:$C)&amp;"|"&amp;_xlfn.XLOOKUP(H21,道具表!$B:$B,道具表!$A:$A)&amp;"|"</f>
        <v>1|2|</v>
      </c>
      <c r="I84" s="9">
        <f t="shared" si="9"/>
        <v>600</v>
      </c>
      <c r="J84" s="6" t="str">
        <f>_xlfn.XLOOKUP(J21,道具表!$B:$B,道具表!$C:$C)&amp;"|"&amp;_xlfn.XLOOKUP(J21,道具表!$B:$B,道具表!$A:$A)&amp;"|"</f>
        <v>1|10010|</v>
      </c>
      <c r="K84" s="9">
        <f t="shared" si="8"/>
        <v>2</v>
      </c>
      <c r="L84" s="6"/>
      <c r="M84" s="9"/>
      <c r="N84" s="19" t="str">
        <f t="shared" si="11"/>
        <v>1|2|600,1|10010|2</v>
      </c>
    </row>
    <row r="85" ht="15.6" spans="6:14">
      <c r="F85" s="51"/>
      <c r="G85" s="77" t="s">
        <v>873</v>
      </c>
      <c r="H85" s="6" t="str">
        <f>_xlfn.XLOOKUP(H22,道具表!$B:$B,道具表!$C:$C)&amp;"|"&amp;_xlfn.XLOOKUP(H22,道具表!$B:$B,道具表!$A:$A)&amp;"|"</f>
        <v>1|2|</v>
      </c>
      <c r="I85" s="9">
        <f t="shared" si="9"/>
        <v>400</v>
      </c>
      <c r="J85" s="6" t="str">
        <f>_xlfn.XLOOKUP(J22,道具表!$B:$B,道具表!$C:$C)&amp;"|"&amp;_xlfn.XLOOKUP(J22,道具表!$B:$B,道具表!$A:$A)&amp;"|"</f>
        <v>1|10009|</v>
      </c>
      <c r="K85" s="9">
        <f t="shared" si="8"/>
        <v>15</v>
      </c>
      <c r="L85" s="6"/>
      <c r="M85" s="9"/>
      <c r="N85" s="19" t="str">
        <f t="shared" si="11"/>
        <v>1|2|400,1|10009|15</v>
      </c>
    </row>
    <row r="86" ht="15.6" spans="6:14">
      <c r="F86" s="51"/>
      <c r="G86" s="77" t="s">
        <v>874</v>
      </c>
      <c r="H86" s="6" t="str">
        <f>_xlfn.XLOOKUP(H23,道具表!$B:$B,道具表!$C:$C)&amp;"|"&amp;_xlfn.XLOOKUP(H23,道具表!$B:$B,道具表!$A:$A)&amp;"|"</f>
        <v>1|2|</v>
      </c>
      <c r="I86" s="9">
        <f t="shared" si="9"/>
        <v>300</v>
      </c>
      <c r="J86" s="6" t="str">
        <f>_xlfn.XLOOKUP(J23,道具表!$B:$B,道具表!$C:$C)&amp;"|"&amp;_xlfn.XLOOKUP(J23,道具表!$B:$B,道具表!$A:$A)&amp;"|"</f>
        <v>1|10009|</v>
      </c>
      <c r="K86" s="9">
        <f t="shared" si="8"/>
        <v>10</v>
      </c>
      <c r="L86" s="6"/>
      <c r="M86" s="9"/>
      <c r="N86" s="19" t="str">
        <f t="shared" si="11"/>
        <v>1|2|300,1|10009|10</v>
      </c>
    </row>
    <row r="87" ht="15.6" spans="6:14">
      <c r="F87" s="51"/>
      <c r="G87" s="77" t="s">
        <v>892</v>
      </c>
      <c r="H87" s="6" t="str">
        <f>_xlfn.XLOOKUP(H24,道具表!$B:$B,道具表!$C:$C)&amp;"|"&amp;_xlfn.XLOOKUP(H24,道具表!$B:$B,道具表!$A:$A)&amp;"|"</f>
        <v>1|2|</v>
      </c>
      <c r="I87" s="9">
        <f t="shared" si="9"/>
        <v>200</v>
      </c>
      <c r="J87" s="6" t="str">
        <f>_xlfn.XLOOKUP(J24,道具表!$B:$B,道具表!$C:$C)&amp;"|"&amp;_xlfn.XLOOKUP(J24,道具表!$B:$B,道具表!$A:$A)&amp;"|"</f>
        <v>1|10009|</v>
      </c>
      <c r="K87" s="9">
        <f t="shared" si="8"/>
        <v>5</v>
      </c>
      <c r="L87" s="6"/>
      <c r="M87" s="9"/>
      <c r="N87" s="19" t="str">
        <f t="shared" ref="N87:N94" si="12">H87&amp;I87&amp;","&amp;J87&amp;K87</f>
        <v>1|2|200,1|10009|5</v>
      </c>
    </row>
    <row r="88" spans="6:14">
      <c r="F88" s="51" t="s">
        <v>887</v>
      </c>
      <c r="G88" s="9" t="s">
        <v>867</v>
      </c>
      <c r="H88" s="9" t="s">
        <v>413</v>
      </c>
      <c r="I88" s="9" t="str">
        <f t="shared" si="9"/>
        <v>数量</v>
      </c>
      <c r="J88" s="9" t="s">
        <v>868</v>
      </c>
      <c r="K88" s="9" t="str">
        <f t="shared" si="8"/>
        <v>数量</v>
      </c>
      <c r="L88" s="9" t="s">
        <v>869</v>
      </c>
      <c r="M88" s="9" t="str">
        <f>M25</f>
        <v>数量</v>
      </c>
      <c r="N88" s="9" t="s">
        <v>327</v>
      </c>
    </row>
    <row r="89" ht="15.6" spans="6:14">
      <c r="F89" s="51"/>
      <c r="G89" s="7">
        <v>1</v>
      </c>
      <c r="H89" s="6" t="str">
        <f>_xlfn.XLOOKUP(H26,道具表!$B:$B,道具表!$C:$C)&amp;"|"&amp;_xlfn.XLOOKUP(H26,道具表!$B:$B,道具表!$A:$A)&amp;"|"</f>
        <v>1|2|</v>
      </c>
      <c r="I89" s="9">
        <f t="shared" si="9"/>
        <v>1000</v>
      </c>
      <c r="J89" s="6" t="str">
        <f>_xlfn.XLOOKUP(J26,道具表!$B:$B,道具表!$C:$C)&amp;"|"&amp;_xlfn.XLOOKUP(J26,道具表!$B:$B,道具表!$A:$A)&amp;"|"</f>
        <v>1|10010|</v>
      </c>
      <c r="K89" s="9">
        <f t="shared" si="8"/>
        <v>5</v>
      </c>
      <c r="L89" s="6" t="str">
        <f>_xlfn.XLOOKUP(L26,道具表!$B:$B,道具表!$C:$C)&amp;"|"&amp;_xlfn.XLOOKUP(L26,道具表!$B:$B,道具表!$A:$A)&amp;"|"</f>
        <v>7|304|</v>
      </c>
      <c r="M89" s="9">
        <f>M26</f>
        <v>1</v>
      </c>
      <c r="N89" s="19" t="str">
        <f>H89&amp;I89&amp;","&amp;J89&amp;K89&amp;","&amp;L89&amp;M89</f>
        <v>1|2|1000,1|10010|5,7|304|1</v>
      </c>
    </row>
    <row r="90" ht="15.6" spans="6:14">
      <c r="F90" s="51"/>
      <c r="G90" s="7">
        <v>2</v>
      </c>
      <c r="H90" s="6" t="str">
        <f>_xlfn.XLOOKUP(H27,道具表!$B:$B,道具表!$C:$C)&amp;"|"&amp;_xlfn.XLOOKUP(H27,道具表!$B:$B,道具表!$A:$A)&amp;"|"</f>
        <v>1|2|</v>
      </c>
      <c r="I90" s="9">
        <f t="shared" si="9"/>
        <v>800</v>
      </c>
      <c r="J90" s="6" t="str">
        <f>_xlfn.XLOOKUP(J27,道具表!$B:$B,道具表!$C:$C)&amp;"|"&amp;_xlfn.XLOOKUP(J27,道具表!$B:$B,道具表!$A:$A)&amp;"|"</f>
        <v>1|10010|</v>
      </c>
      <c r="K90" s="9">
        <f t="shared" si="8"/>
        <v>3</v>
      </c>
      <c r="L90" s="6"/>
      <c r="M90" s="9"/>
      <c r="N90" s="19" t="str">
        <f t="shared" si="12"/>
        <v>1|2|800,1|10010|3</v>
      </c>
    </row>
    <row r="91" ht="15.6" spans="6:14">
      <c r="F91" s="51"/>
      <c r="G91" s="7">
        <v>3</v>
      </c>
      <c r="H91" s="6" t="str">
        <f>_xlfn.XLOOKUP(H28,道具表!$B:$B,道具表!$C:$C)&amp;"|"&amp;_xlfn.XLOOKUP(H28,道具表!$B:$B,道具表!$A:$A)&amp;"|"</f>
        <v>1|2|</v>
      </c>
      <c r="I91" s="9">
        <f t="shared" si="9"/>
        <v>600</v>
      </c>
      <c r="J91" s="6" t="str">
        <f>_xlfn.XLOOKUP(J28,道具表!$B:$B,道具表!$C:$C)&amp;"|"&amp;_xlfn.XLOOKUP(J28,道具表!$B:$B,道具表!$A:$A)&amp;"|"</f>
        <v>1|10010|</v>
      </c>
      <c r="K91" s="9">
        <f t="shared" si="8"/>
        <v>2</v>
      </c>
      <c r="L91" s="6"/>
      <c r="M91" s="9"/>
      <c r="N91" s="19" t="str">
        <f t="shared" si="12"/>
        <v>1|2|600,1|10010|2</v>
      </c>
    </row>
    <row r="92" ht="15.6" spans="6:14">
      <c r="F92" s="51"/>
      <c r="G92" s="77" t="s">
        <v>873</v>
      </c>
      <c r="H92" s="6" t="str">
        <f>_xlfn.XLOOKUP(H29,道具表!$B:$B,道具表!$C:$C)&amp;"|"&amp;_xlfn.XLOOKUP(H29,道具表!$B:$B,道具表!$A:$A)&amp;"|"</f>
        <v>1|2|</v>
      </c>
      <c r="I92" s="9">
        <f t="shared" si="9"/>
        <v>400</v>
      </c>
      <c r="J92" s="6" t="str">
        <f>_xlfn.XLOOKUP(J29,道具表!$B:$B,道具表!$C:$C)&amp;"|"&amp;_xlfn.XLOOKUP(J29,道具表!$B:$B,道具表!$A:$A)&amp;"|"</f>
        <v>1|10009|</v>
      </c>
      <c r="K92" s="9">
        <f t="shared" si="8"/>
        <v>15</v>
      </c>
      <c r="L92" s="6"/>
      <c r="M92" s="9"/>
      <c r="N92" s="19" t="str">
        <f t="shared" si="12"/>
        <v>1|2|400,1|10009|15</v>
      </c>
    </row>
    <row r="93" ht="15.6" spans="6:14">
      <c r="F93" s="51"/>
      <c r="G93" s="77" t="s">
        <v>874</v>
      </c>
      <c r="H93" s="6" t="str">
        <f>_xlfn.XLOOKUP(H30,道具表!$B:$B,道具表!$C:$C)&amp;"|"&amp;_xlfn.XLOOKUP(H30,道具表!$B:$B,道具表!$A:$A)&amp;"|"</f>
        <v>1|2|</v>
      </c>
      <c r="I93" s="9">
        <f t="shared" si="9"/>
        <v>300</v>
      </c>
      <c r="J93" s="6" t="str">
        <f>_xlfn.XLOOKUP(J30,道具表!$B:$B,道具表!$C:$C)&amp;"|"&amp;_xlfn.XLOOKUP(J30,道具表!$B:$B,道具表!$A:$A)&amp;"|"</f>
        <v>1|10009|</v>
      </c>
      <c r="K93" s="9">
        <f t="shared" si="8"/>
        <v>10</v>
      </c>
      <c r="L93" s="6"/>
      <c r="M93" s="9"/>
      <c r="N93" s="19" t="str">
        <f t="shared" si="12"/>
        <v>1|2|300,1|10009|10</v>
      </c>
    </row>
    <row r="94" ht="15.6" spans="6:14">
      <c r="F94" s="51"/>
      <c r="G94" s="77" t="s">
        <v>892</v>
      </c>
      <c r="H94" s="6" t="str">
        <f>_xlfn.XLOOKUP(H31,道具表!$B:$B,道具表!$C:$C)&amp;"|"&amp;_xlfn.XLOOKUP(H31,道具表!$B:$B,道具表!$A:$A)&amp;"|"</f>
        <v>1|2|</v>
      </c>
      <c r="I94" s="9">
        <f t="shared" si="9"/>
        <v>200</v>
      </c>
      <c r="J94" s="6" t="str">
        <f>_xlfn.XLOOKUP(J31,道具表!$B:$B,道具表!$C:$C)&amp;"|"&amp;_xlfn.XLOOKUP(J31,道具表!$B:$B,道具表!$A:$A)&amp;"|"</f>
        <v>1|10009|</v>
      </c>
      <c r="K94" s="9">
        <f t="shared" si="8"/>
        <v>5</v>
      </c>
      <c r="L94" s="6"/>
      <c r="M94" s="9"/>
      <c r="N94" s="19" t="str">
        <f t="shared" si="12"/>
        <v>1|2|200,1|10009|5</v>
      </c>
    </row>
    <row r="95" spans="6:14">
      <c r="F95" s="51" t="s">
        <v>888</v>
      </c>
      <c r="G95" s="9" t="s">
        <v>867</v>
      </c>
      <c r="H95" s="9" t="s">
        <v>413</v>
      </c>
      <c r="I95" s="9" t="str">
        <f t="shared" si="9"/>
        <v>数量</v>
      </c>
      <c r="J95" s="9" t="s">
        <v>868</v>
      </c>
      <c r="K95" s="9" t="str">
        <f t="shared" si="8"/>
        <v>数量</v>
      </c>
      <c r="L95" s="9" t="s">
        <v>869</v>
      </c>
      <c r="M95" s="9" t="str">
        <f>M32</f>
        <v>数量</v>
      </c>
      <c r="N95" s="9" t="s">
        <v>327</v>
      </c>
    </row>
    <row r="96" ht="15.6" spans="6:14">
      <c r="F96" s="51"/>
      <c r="G96" s="7">
        <v>1</v>
      </c>
      <c r="H96" s="6" t="str">
        <f>_xlfn.XLOOKUP(H33,道具表!$B:$B,道具表!$C:$C)&amp;"|"&amp;_xlfn.XLOOKUP(H33,道具表!$B:$B,道具表!$A:$A)&amp;"|"</f>
        <v>1|2|</v>
      </c>
      <c r="I96" s="9">
        <f t="shared" si="9"/>
        <v>1000</v>
      </c>
      <c r="J96" s="6" t="str">
        <f>_xlfn.XLOOKUP(J33,道具表!$B:$B,道具表!$C:$C)&amp;"|"&amp;_xlfn.XLOOKUP(J33,道具表!$B:$B,道具表!$A:$A)&amp;"|"</f>
        <v>1|10010|</v>
      </c>
      <c r="K96" s="9">
        <f t="shared" si="8"/>
        <v>5</v>
      </c>
      <c r="L96" s="6" t="str">
        <f>_xlfn.XLOOKUP(L33,道具表!$B:$B,道具表!$C:$C)&amp;"|"&amp;_xlfn.XLOOKUP(L33,道具表!$B:$B,道具表!$A:$A)&amp;"|"</f>
        <v>7|305|</v>
      </c>
      <c r="M96" s="9">
        <f>M33</f>
        <v>1</v>
      </c>
      <c r="N96" s="19" t="str">
        <f>H96&amp;I96&amp;","&amp;J96&amp;K96&amp;","&amp;L96&amp;M96</f>
        <v>1|2|1000,1|10010|5,7|305|1</v>
      </c>
    </row>
    <row r="97" ht="15.6" spans="6:14">
      <c r="F97" s="51"/>
      <c r="G97" s="7">
        <v>2</v>
      </c>
      <c r="H97" s="6" t="str">
        <f>_xlfn.XLOOKUP(H34,道具表!$B:$B,道具表!$C:$C)&amp;"|"&amp;_xlfn.XLOOKUP(H34,道具表!$B:$B,道具表!$A:$A)&amp;"|"</f>
        <v>1|2|</v>
      </c>
      <c r="I97" s="9">
        <f t="shared" si="9"/>
        <v>800</v>
      </c>
      <c r="J97" s="6" t="str">
        <f>_xlfn.XLOOKUP(J34,道具表!$B:$B,道具表!$C:$C)&amp;"|"&amp;_xlfn.XLOOKUP(J34,道具表!$B:$B,道具表!$A:$A)&amp;"|"</f>
        <v>1|10010|</v>
      </c>
      <c r="K97" s="9">
        <f t="shared" si="8"/>
        <v>3</v>
      </c>
      <c r="L97" s="6"/>
      <c r="M97" s="9"/>
      <c r="N97" s="19" t="str">
        <f t="shared" ref="N97:N101" si="13">H97&amp;I97&amp;","&amp;J97&amp;K97</f>
        <v>1|2|800,1|10010|3</v>
      </c>
    </row>
    <row r="98" ht="15.6" spans="6:14">
      <c r="F98" s="51"/>
      <c r="G98" s="7">
        <v>3</v>
      </c>
      <c r="H98" s="6" t="str">
        <f>_xlfn.XLOOKUP(H35,道具表!$B:$B,道具表!$C:$C)&amp;"|"&amp;_xlfn.XLOOKUP(H35,道具表!$B:$B,道具表!$A:$A)&amp;"|"</f>
        <v>1|2|</v>
      </c>
      <c r="I98" s="9">
        <f t="shared" ref="I98:I122" si="14">I35</f>
        <v>600</v>
      </c>
      <c r="J98" s="6" t="str">
        <f>_xlfn.XLOOKUP(J35,道具表!$B:$B,道具表!$C:$C)&amp;"|"&amp;_xlfn.XLOOKUP(J35,道具表!$B:$B,道具表!$A:$A)&amp;"|"</f>
        <v>1|10010|</v>
      </c>
      <c r="K98" s="9">
        <f t="shared" si="8"/>
        <v>2</v>
      </c>
      <c r="L98" s="6"/>
      <c r="M98" s="9"/>
      <c r="N98" s="19" t="str">
        <f t="shared" si="13"/>
        <v>1|2|600,1|10010|2</v>
      </c>
    </row>
    <row r="99" ht="15.6" spans="6:14">
      <c r="F99" s="51"/>
      <c r="G99" s="77" t="s">
        <v>873</v>
      </c>
      <c r="H99" s="6" t="str">
        <f>_xlfn.XLOOKUP(H36,道具表!$B:$B,道具表!$C:$C)&amp;"|"&amp;_xlfn.XLOOKUP(H36,道具表!$B:$B,道具表!$A:$A)&amp;"|"</f>
        <v>1|2|</v>
      </c>
      <c r="I99" s="9">
        <f t="shared" si="14"/>
        <v>400</v>
      </c>
      <c r="J99" s="6" t="str">
        <f>_xlfn.XLOOKUP(J36,道具表!$B:$B,道具表!$C:$C)&amp;"|"&amp;_xlfn.XLOOKUP(J36,道具表!$B:$B,道具表!$A:$A)&amp;"|"</f>
        <v>1|10009|</v>
      </c>
      <c r="K99" s="9">
        <f t="shared" si="8"/>
        <v>15</v>
      </c>
      <c r="L99" s="6"/>
      <c r="M99" s="9"/>
      <c r="N99" s="19" t="str">
        <f t="shared" si="13"/>
        <v>1|2|400,1|10009|15</v>
      </c>
    </row>
    <row r="100" ht="15.6" spans="6:14">
      <c r="F100" s="51"/>
      <c r="G100" s="77" t="s">
        <v>874</v>
      </c>
      <c r="H100" s="6" t="str">
        <f>_xlfn.XLOOKUP(H37,道具表!$B:$B,道具表!$C:$C)&amp;"|"&amp;_xlfn.XLOOKUP(H37,道具表!$B:$B,道具表!$A:$A)&amp;"|"</f>
        <v>1|2|</v>
      </c>
      <c r="I100" s="9">
        <f t="shared" si="14"/>
        <v>300</v>
      </c>
      <c r="J100" s="6" t="str">
        <f>_xlfn.XLOOKUP(J37,道具表!$B:$B,道具表!$C:$C)&amp;"|"&amp;_xlfn.XLOOKUP(J37,道具表!$B:$B,道具表!$A:$A)&amp;"|"</f>
        <v>1|10009|</v>
      </c>
      <c r="K100" s="9">
        <f t="shared" si="8"/>
        <v>10</v>
      </c>
      <c r="L100" s="6"/>
      <c r="M100" s="9"/>
      <c r="N100" s="19" t="str">
        <f t="shared" si="13"/>
        <v>1|2|300,1|10009|10</v>
      </c>
    </row>
    <row r="101" ht="15.6" spans="6:14">
      <c r="F101" s="51"/>
      <c r="G101" s="77" t="s">
        <v>892</v>
      </c>
      <c r="H101" s="6" t="str">
        <f>_xlfn.XLOOKUP(H38,道具表!$B:$B,道具表!$C:$C)&amp;"|"&amp;_xlfn.XLOOKUP(H38,道具表!$B:$B,道具表!$A:$A)&amp;"|"</f>
        <v>1|2|</v>
      </c>
      <c r="I101" s="9">
        <f t="shared" si="14"/>
        <v>200</v>
      </c>
      <c r="J101" s="6" t="str">
        <f>_xlfn.XLOOKUP(J38,道具表!$B:$B,道具表!$C:$C)&amp;"|"&amp;_xlfn.XLOOKUP(J38,道具表!$B:$B,道具表!$A:$A)&amp;"|"</f>
        <v>1|10009|</v>
      </c>
      <c r="K101" s="9">
        <f t="shared" si="8"/>
        <v>5</v>
      </c>
      <c r="L101" s="6"/>
      <c r="M101" s="9"/>
      <c r="N101" s="19" t="str">
        <f t="shared" si="13"/>
        <v>1|2|200,1|10009|5</v>
      </c>
    </row>
    <row r="102" spans="6:14">
      <c r="F102" s="51" t="s">
        <v>889</v>
      </c>
      <c r="G102" s="9" t="s">
        <v>867</v>
      </c>
      <c r="H102" s="9" t="s">
        <v>413</v>
      </c>
      <c r="I102" s="9" t="str">
        <f t="shared" si="14"/>
        <v>数量</v>
      </c>
      <c r="J102" s="9" t="s">
        <v>868</v>
      </c>
      <c r="K102" s="9" t="str">
        <f t="shared" si="8"/>
        <v>数量</v>
      </c>
      <c r="L102" s="9" t="s">
        <v>869</v>
      </c>
      <c r="M102" s="9" t="str">
        <f>M39</f>
        <v>数量</v>
      </c>
      <c r="N102" s="9" t="s">
        <v>327</v>
      </c>
    </row>
    <row r="103" ht="15.6" spans="6:14">
      <c r="F103" s="51"/>
      <c r="G103" s="7">
        <v>1</v>
      </c>
      <c r="H103" s="6" t="str">
        <f>_xlfn.XLOOKUP(H40,道具表!$B:$B,道具表!$C:$C)&amp;"|"&amp;_xlfn.XLOOKUP(H40,道具表!$B:$B,道具表!$A:$A)&amp;"|"</f>
        <v>1|2|</v>
      </c>
      <c r="I103" s="9">
        <f t="shared" si="14"/>
        <v>1000</v>
      </c>
      <c r="J103" s="6" t="str">
        <f>_xlfn.XLOOKUP(J40,道具表!$B:$B,道具表!$C:$C)&amp;"|"&amp;_xlfn.XLOOKUP(J40,道具表!$B:$B,道具表!$A:$A)&amp;"|"</f>
        <v>1|10010|</v>
      </c>
      <c r="K103" s="9">
        <f t="shared" si="8"/>
        <v>5</v>
      </c>
      <c r="L103" s="6" t="str">
        <f>_xlfn.XLOOKUP(L40,道具表!$B:$B,道具表!$C:$C)&amp;"|"&amp;_xlfn.XLOOKUP(L40,道具表!$B:$B,道具表!$A:$A)&amp;"|"</f>
        <v>7|306|</v>
      </c>
      <c r="M103" s="9">
        <f>M40</f>
        <v>1</v>
      </c>
      <c r="N103" s="19" t="str">
        <f>H103&amp;I103&amp;","&amp;J103&amp;K103&amp;","&amp;L103&amp;M103</f>
        <v>1|2|1000,1|10010|5,7|306|1</v>
      </c>
    </row>
    <row r="104" ht="15.6" spans="6:14">
      <c r="F104" s="51"/>
      <c r="G104" s="7">
        <v>2</v>
      </c>
      <c r="H104" s="6" t="str">
        <f>_xlfn.XLOOKUP(H41,道具表!$B:$B,道具表!$C:$C)&amp;"|"&amp;_xlfn.XLOOKUP(H41,道具表!$B:$B,道具表!$A:$A)&amp;"|"</f>
        <v>1|2|</v>
      </c>
      <c r="I104" s="9">
        <f t="shared" si="14"/>
        <v>800</v>
      </c>
      <c r="J104" s="6" t="str">
        <f>_xlfn.XLOOKUP(J41,道具表!$B:$B,道具表!$C:$C)&amp;"|"&amp;_xlfn.XLOOKUP(J41,道具表!$B:$B,道具表!$A:$A)&amp;"|"</f>
        <v>1|10010|</v>
      </c>
      <c r="K104" s="9">
        <f t="shared" si="8"/>
        <v>3</v>
      </c>
      <c r="L104" s="6"/>
      <c r="M104" s="9"/>
      <c r="N104" s="19" t="str">
        <f t="shared" ref="N104:N108" si="15">H104&amp;I104&amp;","&amp;J104&amp;K104</f>
        <v>1|2|800,1|10010|3</v>
      </c>
    </row>
    <row r="105" ht="15.6" spans="6:14">
      <c r="F105" s="51"/>
      <c r="G105" s="7">
        <v>3</v>
      </c>
      <c r="H105" s="6" t="str">
        <f>_xlfn.XLOOKUP(H42,道具表!$B:$B,道具表!$C:$C)&amp;"|"&amp;_xlfn.XLOOKUP(H42,道具表!$B:$B,道具表!$A:$A)&amp;"|"</f>
        <v>1|2|</v>
      </c>
      <c r="I105" s="9">
        <f t="shared" si="14"/>
        <v>600</v>
      </c>
      <c r="J105" s="6" t="str">
        <f>_xlfn.XLOOKUP(J42,道具表!$B:$B,道具表!$C:$C)&amp;"|"&amp;_xlfn.XLOOKUP(J42,道具表!$B:$B,道具表!$A:$A)&amp;"|"</f>
        <v>1|10010|</v>
      </c>
      <c r="K105" s="9">
        <f t="shared" si="8"/>
        <v>2</v>
      </c>
      <c r="L105" s="6"/>
      <c r="M105" s="9"/>
      <c r="N105" s="19" t="str">
        <f t="shared" si="15"/>
        <v>1|2|600,1|10010|2</v>
      </c>
    </row>
    <row r="106" ht="15.6" spans="6:14">
      <c r="F106" s="51"/>
      <c r="G106" s="77" t="s">
        <v>873</v>
      </c>
      <c r="H106" s="6" t="str">
        <f>_xlfn.XLOOKUP(H43,道具表!$B:$B,道具表!$C:$C)&amp;"|"&amp;_xlfn.XLOOKUP(H43,道具表!$B:$B,道具表!$A:$A)&amp;"|"</f>
        <v>1|2|</v>
      </c>
      <c r="I106" s="9">
        <f t="shared" si="14"/>
        <v>400</v>
      </c>
      <c r="J106" s="6" t="str">
        <f>_xlfn.XLOOKUP(J43,道具表!$B:$B,道具表!$C:$C)&amp;"|"&amp;_xlfn.XLOOKUP(J43,道具表!$B:$B,道具表!$A:$A)&amp;"|"</f>
        <v>1|10009|</v>
      </c>
      <c r="K106" s="9">
        <f t="shared" si="8"/>
        <v>15</v>
      </c>
      <c r="L106" s="6"/>
      <c r="M106" s="9"/>
      <c r="N106" s="19" t="str">
        <f t="shared" si="15"/>
        <v>1|2|400,1|10009|15</v>
      </c>
    </row>
    <row r="107" ht="15.6" spans="6:14">
      <c r="F107" s="51"/>
      <c r="G107" s="77" t="s">
        <v>874</v>
      </c>
      <c r="H107" s="6" t="str">
        <f>_xlfn.XLOOKUP(H44,道具表!$B:$B,道具表!$C:$C)&amp;"|"&amp;_xlfn.XLOOKUP(H44,道具表!$B:$B,道具表!$A:$A)&amp;"|"</f>
        <v>1|2|</v>
      </c>
      <c r="I107" s="9">
        <f t="shared" si="14"/>
        <v>300</v>
      </c>
      <c r="J107" s="6" t="str">
        <f>_xlfn.XLOOKUP(J44,道具表!$B:$B,道具表!$C:$C)&amp;"|"&amp;_xlfn.XLOOKUP(J44,道具表!$B:$B,道具表!$A:$A)&amp;"|"</f>
        <v>1|10009|</v>
      </c>
      <c r="K107" s="9">
        <f t="shared" si="8"/>
        <v>10</v>
      </c>
      <c r="L107" s="6"/>
      <c r="M107" s="9"/>
      <c r="N107" s="19" t="str">
        <f t="shared" si="15"/>
        <v>1|2|300,1|10009|10</v>
      </c>
    </row>
    <row r="108" ht="15.6" spans="6:14">
      <c r="F108" s="51"/>
      <c r="G108" s="77" t="s">
        <v>892</v>
      </c>
      <c r="H108" s="6" t="str">
        <f>_xlfn.XLOOKUP(H45,道具表!$B:$B,道具表!$C:$C)&amp;"|"&amp;_xlfn.XLOOKUP(H45,道具表!$B:$B,道具表!$A:$A)&amp;"|"</f>
        <v>1|2|</v>
      </c>
      <c r="I108" s="9">
        <f t="shared" si="14"/>
        <v>200</v>
      </c>
      <c r="J108" s="6" t="str">
        <f>_xlfn.XLOOKUP(J45,道具表!$B:$B,道具表!$C:$C)&amp;"|"&amp;_xlfn.XLOOKUP(J45,道具表!$B:$B,道具表!$A:$A)&amp;"|"</f>
        <v>1|10009|</v>
      </c>
      <c r="K108" s="9">
        <f t="shared" si="8"/>
        <v>5</v>
      </c>
      <c r="L108" s="6"/>
      <c r="M108" s="9"/>
      <c r="N108" s="19" t="str">
        <f t="shared" si="15"/>
        <v>1|2|200,1|10009|5</v>
      </c>
    </row>
    <row r="109" spans="6:14">
      <c r="F109" s="51" t="s">
        <v>890</v>
      </c>
      <c r="G109" s="9" t="s">
        <v>867</v>
      </c>
      <c r="H109" s="9" t="s">
        <v>413</v>
      </c>
      <c r="I109" s="9" t="str">
        <f t="shared" si="14"/>
        <v>数量</v>
      </c>
      <c r="J109" s="9" t="s">
        <v>868</v>
      </c>
      <c r="K109" s="9" t="str">
        <f t="shared" si="8"/>
        <v>数量</v>
      </c>
      <c r="L109" s="9" t="s">
        <v>869</v>
      </c>
      <c r="M109" s="9" t="str">
        <f>M46</f>
        <v>数量</v>
      </c>
      <c r="N109" s="9" t="s">
        <v>327</v>
      </c>
    </row>
    <row r="110" ht="15.6" spans="6:14">
      <c r="F110" s="51"/>
      <c r="G110" s="7">
        <v>1</v>
      </c>
      <c r="H110" s="6" t="str">
        <f>_xlfn.XLOOKUP(H47,道具表!$B:$B,道具表!$C:$C)&amp;"|"&amp;_xlfn.XLOOKUP(H47,道具表!$B:$B,道具表!$A:$A)&amp;"|"</f>
        <v>1|2|</v>
      </c>
      <c r="I110" s="9">
        <f t="shared" si="14"/>
        <v>1000</v>
      </c>
      <c r="J110" s="6" t="str">
        <f>_xlfn.XLOOKUP(J47,道具表!$B:$B,道具表!$C:$C)&amp;"|"&amp;_xlfn.XLOOKUP(J47,道具表!$B:$B,道具表!$A:$A)&amp;"|"</f>
        <v>1|10010|</v>
      </c>
      <c r="K110" s="9">
        <f t="shared" si="8"/>
        <v>5</v>
      </c>
      <c r="L110" s="6" t="str">
        <f>_xlfn.XLOOKUP(L47,道具表!$B:$B,道具表!$C:$C)&amp;"|"&amp;_xlfn.XLOOKUP(L47,道具表!$B:$B,道具表!$A:$A)&amp;"|"</f>
        <v>7|307|</v>
      </c>
      <c r="M110" s="9">
        <f>M47</f>
        <v>1</v>
      </c>
      <c r="N110" s="19" t="str">
        <f>H110&amp;I110&amp;","&amp;J110&amp;K110&amp;","&amp;L110&amp;M110</f>
        <v>1|2|1000,1|10010|5,7|307|1</v>
      </c>
    </row>
    <row r="111" ht="15.6" spans="6:14">
      <c r="F111" s="51"/>
      <c r="G111" s="7">
        <v>2</v>
      </c>
      <c r="H111" s="6" t="str">
        <f>_xlfn.XLOOKUP(H48,道具表!$B:$B,道具表!$C:$C)&amp;"|"&amp;_xlfn.XLOOKUP(H48,道具表!$B:$B,道具表!$A:$A)&amp;"|"</f>
        <v>1|2|</v>
      </c>
      <c r="I111" s="9">
        <f t="shared" si="14"/>
        <v>800</v>
      </c>
      <c r="J111" s="6" t="str">
        <f>_xlfn.XLOOKUP(J48,道具表!$B:$B,道具表!$C:$C)&amp;"|"&amp;_xlfn.XLOOKUP(J48,道具表!$B:$B,道具表!$A:$A)&amp;"|"</f>
        <v>1|10010|</v>
      </c>
      <c r="K111" s="9">
        <f t="shared" si="8"/>
        <v>3</v>
      </c>
      <c r="L111" s="6"/>
      <c r="M111" s="9"/>
      <c r="N111" s="19" t="str">
        <f t="shared" ref="N111:N115" si="16">H111&amp;I111&amp;","&amp;J111&amp;K111</f>
        <v>1|2|800,1|10010|3</v>
      </c>
    </row>
    <row r="112" ht="15.6" spans="6:14">
      <c r="F112" s="51"/>
      <c r="G112" s="7">
        <v>3</v>
      </c>
      <c r="H112" s="6" t="str">
        <f>_xlfn.XLOOKUP(H49,道具表!$B:$B,道具表!$C:$C)&amp;"|"&amp;_xlfn.XLOOKUP(H49,道具表!$B:$B,道具表!$A:$A)&amp;"|"</f>
        <v>1|2|</v>
      </c>
      <c r="I112" s="9">
        <f t="shared" si="14"/>
        <v>600</v>
      </c>
      <c r="J112" s="6" t="str">
        <f>_xlfn.XLOOKUP(J49,道具表!$B:$B,道具表!$C:$C)&amp;"|"&amp;_xlfn.XLOOKUP(J49,道具表!$B:$B,道具表!$A:$A)&amp;"|"</f>
        <v>1|10010|</v>
      </c>
      <c r="K112" s="9">
        <f t="shared" si="8"/>
        <v>2</v>
      </c>
      <c r="L112" s="6"/>
      <c r="M112" s="9"/>
      <c r="N112" s="19" t="str">
        <f t="shared" si="16"/>
        <v>1|2|600,1|10010|2</v>
      </c>
    </row>
    <row r="113" ht="15.6" spans="6:14">
      <c r="F113" s="51"/>
      <c r="G113" s="77" t="s">
        <v>873</v>
      </c>
      <c r="H113" s="6" t="str">
        <f>_xlfn.XLOOKUP(H50,道具表!$B:$B,道具表!$C:$C)&amp;"|"&amp;_xlfn.XLOOKUP(H50,道具表!$B:$B,道具表!$A:$A)&amp;"|"</f>
        <v>1|2|</v>
      </c>
      <c r="I113" s="9">
        <f t="shared" si="14"/>
        <v>400</v>
      </c>
      <c r="J113" s="6" t="str">
        <f>_xlfn.XLOOKUP(J50,道具表!$B:$B,道具表!$C:$C)&amp;"|"&amp;_xlfn.XLOOKUP(J50,道具表!$B:$B,道具表!$A:$A)&amp;"|"</f>
        <v>1|10009|</v>
      </c>
      <c r="K113" s="9">
        <f t="shared" si="8"/>
        <v>15</v>
      </c>
      <c r="L113" s="6"/>
      <c r="M113" s="9"/>
      <c r="N113" s="19" t="str">
        <f t="shared" si="16"/>
        <v>1|2|400,1|10009|15</v>
      </c>
    </row>
    <row r="114" ht="15.6" spans="6:14">
      <c r="F114" s="51"/>
      <c r="G114" s="77" t="s">
        <v>874</v>
      </c>
      <c r="H114" s="6" t="str">
        <f>_xlfn.XLOOKUP(H51,道具表!$B:$B,道具表!$C:$C)&amp;"|"&amp;_xlfn.XLOOKUP(H51,道具表!$B:$B,道具表!$A:$A)&amp;"|"</f>
        <v>1|2|</v>
      </c>
      <c r="I114" s="9">
        <f t="shared" si="14"/>
        <v>300</v>
      </c>
      <c r="J114" s="6" t="str">
        <f>_xlfn.XLOOKUP(J51,道具表!$B:$B,道具表!$C:$C)&amp;"|"&amp;_xlfn.XLOOKUP(J51,道具表!$B:$B,道具表!$A:$A)&amp;"|"</f>
        <v>1|10009|</v>
      </c>
      <c r="K114" s="9">
        <f t="shared" si="8"/>
        <v>10</v>
      </c>
      <c r="L114" s="6"/>
      <c r="M114" s="9"/>
      <c r="N114" s="19" t="str">
        <f t="shared" si="16"/>
        <v>1|2|300,1|10009|10</v>
      </c>
    </row>
    <row r="115" ht="15.6" spans="6:14">
      <c r="F115" s="51"/>
      <c r="G115" s="77" t="s">
        <v>892</v>
      </c>
      <c r="H115" s="6" t="str">
        <f>_xlfn.XLOOKUP(H52,道具表!$B:$B,道具表!$C:$C)&amp;"|"&amp;_xlfn.XLOOKUP(H52,道具表!$B:$B,道具表!$A:$A)&amp;"|"</f>
        <v>1|2|</v>
      </c>
      <c r="I115" s="9">
        <f t="shared" si="14"/>
        <v>200</v>
      </c>
      <c r="J115" s="6" t="str">
        <f>_xlfn.XLOOKUP(J52,道具表!$B:$B,道具表!$C:$C)&amp;"|"&amp;_xlfn.XLOOKUP(J52,道具表!$B:$B,道具表!$A:$A)&amp;"|"</f>
        <v>1|10009|</v>
      </c>
      <c r="K115" s="9">
        <f t="shared" si="8"/>
        <v>5</v>
      </c>
      <c r="L115" s="6"/>
      <c r="M115" s="9"/>
      <c r="N115" s="19" t="str">
        <f t="shared" si="16"/>
        <v>1|2|200,1|10009|5</v>
      </c>
    </row>
    <row r="116" spans="6:14">
      <c r="F116" s="51" t="s">
        <v>891</v>
      </c>
      <c r="G116" s="9" t="s">
        <v>867</v>
      </c>
      <c r="H116" s="9" t="s">
        <v>413</v>
      </c>
      <c r="I116" s="9" t="str">
        <f t="shared" si="14"/>
        <v>数量</v>
      </c>
      <c r="J116" s="9" t="s">
        <v>868</v>
      </c>
      <c r="K116" s="9" t="str">
        <f t="shared" si="8"/>
        <v>数量</v>
      </c>
      <c r="L116" s="9" t="s">
        <v>869</v>
      </c>
      <c r="M116" s="9" t="str">
        <f>M53</f>
        <v>数量</v>
      </c>
      <c r="N116" s="9" t="s">
        <v>327</v>
      </c>
    </row>
    <row r="117" ht="15.6" spans="6:14">
      <c r="F117" s="51"/>
      <c r="G117" s="7">
        <v>1</v>
      </c>
      <c r="H117" s="6" t="str">
        <f>_xlfn.XLOOKUP(H54,道具表!$B:$B,道具表!$C:$C)&amp;"|"&amp;_xlfn.XLOOKUP(H54,道具表!$B:$B,道具表!$A:$A)&amp;"|"</f>
        <v>1|2|</v>
      </c>
      <c r="I117" s="9">
        <f t="shared" si="14"/>
        <v>1000</v>
      </c>
      <c r="J117" s="6" t="str">
        <f>_xlfn.XLOOKUP(J54,道具表!$B:$B,道具表!$C:$C)&amp;"|"&amp;_xlfn.XLOOKUP(J54,道具表!$B:$B,道具表!$A:$A)&amp;"|"</f>
        <v>1|10010|</v>
      </c>
      <c r="K117" s="9">
        <f t="shared" si="8"/>
        <v>5</v>
      </c>
      <c r="L117" s="6" t="str">
        <f>_xlfn.XLOOKUP(L54,道具表!$B:$B,道具表!$C:$C)&amp;"|"&amp;_xlfn.XLOOKUP(L54,道具表!$B:$B,道具表!$A:$A)&amp;"|"</f>
        <v>7|308|</v>
      </c>
      <c r="M117" s="9">
        <f>M54</f>
        <v>1</v>
      </c>
      <c r="N117" s="19" t="str">
        <f>H117&amp;I117&amp;","&amp;J117&amp;K117&amp;","&amp;L117&amp;M117</f>
        <v>1|2|1000,1|10010|5,7|308|1</v>
      </c>
    </row>
    <row r="118" ht="15.6" spans="6:14">
      <c r="F118" s="51"/>
      <c r="G118" s="7">
        <v>2</v>
      </c>
      <c r="H118" s="6" t="str">
        <f>_xlfn.XLOOKUP(H55,道具表!$B:$B,道具表!$C:$C)&amp;"|"&amp;_xlfn.XLOOKUP(H55,道具表!$B:$B,道具表!$A:$A)&amp;"|"</f>
        <v>1|2|</v>
      </c>
      <c r="I118" s="9">
        <f t="shared" si="14"/>
        <v>800</v>
      </c>
      <c r="J118" s="6" t="str">
        <f>_xlfn.XLOOKUP(J55,道具表!$B:$B,道具表!$C:$C)&amp;"|"&amp;_xlfn.XLOOKUP(J55,道具表!$B:$B,道具表!$A:$A)&amp;"|"</f>
        <v>1|10010|</v>
      </c>
      <c r="K118" s="9">
        <f t="shared" si="8"/>
        <v>3</v>
      </c>
      <c r="L118" s="6"/>
      <c r="M118" s="9"/>
      <c r="N118" s="19" t="str">
        <f t="shared" ref="N118:N122" si="17">H118&amp;I118&amp;","&amp;J118&amp;K118</f>
        <v>1|2|800,1|10010|3</v>
      </c>
    </row>
    <row r="119" ht="15.6" spans="6:14">
      <c r="F119" s="51"/>
      <c r="G119" s="7">
        <v>3</v>
      </c>
      <c r="H119" s="6" t="str">
        <f>_xlfn.XLOOKUP(H56,道具表!$B:$B,道具表!$C:$C)&amp;"|"&amp;_xlfn.XLOOKUP(H56,道具表!$B:$B,道具表!$A:$A)&amp;"|"</f>
        <v>1|2|</v>
      </c>
      <c r="I119" s="9">
        <f t="shared" si="14"/>
        <v>600</v>
      </c>
      <c r="J119" s="6" t="str">
        <f>_xlfn.XLOOKUP(J56,道具表!$B:$B,道具表!$C:$C)&amp;"|"&amp;_xlfn.XLOOKUP(J56,道具表!$B:$B,道具表!$A:$A)&amp;"|"</f>
        <v>1|10010|</v>
      </c>
      <c r="K119" s="9">
        <f t="shared" si="8"/>
        <v>2</v>
      </c>
      <c r="L119" s="6"/>
      <c r="M119" s="9"/>
      <c r="N119" s="19" t="str">
        <f t="shared" si="17"/>
        <v>1|2|600,1|10010|2</v>
      </c>
    </row>
    <row r="120" ht="15.6" spans="6:14">
      <c r="F120" s="51"/>
      <c r="G120" s="77" t="s">
        <v>873</v>
      </c>
      <c r="H120" s="6" t="str">
        <f>_xlfn.XLOOKUP(H57,道具表!$B:$B,道具表!$C:$C)&amp;"|"&amp;_xlfn.XLOOKUP(H57,道具表!$B:$B,道具表!$A:$A)&amp;"|"</f>
        <v>1|2|</v>
      </c>
      <c r="I120" s="9">
        <f t="shared" si="14"/>
        <v>400</v>
      </c>
      <c r="J120" s="6" t="str">
        <f>_xlfn.XLOOKUP(J57,道具表!$B:$B,道具表!$C:$C)&amp;"|"&amp;_xlfn.XLOOKUP(J57,道具表!$B:$B,道具表!$A:$A)&amp;"|"</f>
        <v>1|10009|</v>
      </c>
      <c r="K120" s="9">
        <f t="shared" si="8"/>
        <v>15</v>
      </c>
      <c r="L120" s="6"/>
      <c r="M120" s="9"/>
      <c r="N120" s="19" t="str">
        <f t="shared" si="17"/>
        <v>1|2|400,1|10009|15</v>
      </c>
    </row>
    <row r="121" ht="15.6" spans="6:14">
      <c r="F121" s="51"/>
      <c r="G121" s="77" t="s">
        <v>874</v>
      </c>
      <c r="H121" s="6" t="str">
        <f>_xlfn.XLOOKUP(H58,道具表!$B:$B,道具表!$C:$C)&amp;"|"&amp;_xlfn.XLOOKUP(H58,道具表!$B:$B,道具表!$A:$A)&amp;"|"</f>
        <v>1|2|</v>
      </c>
      <c r="I121" s="9">
        <f t="shared" si="14"/>
        <v>300</v>
      </c>
      <c r="J121" s="6" t="str">
        <f>_xlfn.XLOOKUP(J58,道具表!$B:$B,道具表!$C:$C)&amp;"|"&amp;_xlfn.XLOOKUP(J58,道具表!$B:$B,道具表!$A:$A)&amp;"|"</f>
        <v>1|10009|</v>
      </c>
      <c r="K121" s="9">
        <f t="shared" si="8"/>
        <v>10</v>
      </c>
      <c r="L121" s="6"/>
      <c r="M121" s="9"/>
      <c r="N121" s="19" t="str">
        <f t="shared" si="17"/>
        <v>1|2|300,1|10009|10</v>
      </c>
    </row>
    <row r="122" ht="15.6" spans="6:14">
      <c r="F122" s="51"/>
      <c r="G122" s="77" t="s">
        <v>892</v>
      </c>
      <c r="H122" s="6" t="str">
        <f>_xlfn.XLOOKUP(H59,道具表!$B:$B,道具表!$C:$C)&amp;"|"&amp;_xlfn.XLOOKUP(H59,道具表!$B:$B,道具表!$A:$A)&amp;"|"</f>
        <v>1|2|</v>
      </c>
      <c r="I122" s="9">
        <f t="shared" si="14"/>
        <v>200</v>
      </c>
      <c r="J122" s="6" t="str">
        <f>_xlfn.XLOOKUP(J59,道具表!$B:$B,道具表!$C:$C)&amp;"|"&amp;_xlfn.XLOOKUP(J59,道具表!$B:$B,道具表!$A:$A)&amp;"|"</f>
        <v>1|10009|</v>
      </c>
      <c r="K122" s="9">
        <f t="shared" si="8"/>
        <v>5</v>
      </c>
      <c r="L122" s="6"/>
      <c r="M122" s="9"/>
      <c r="N122" s="19" t="str">
        <f t="shared" si="17"/>
        <v>1|2|200,1|10009|5</v>
      </c>
    </row>
  </sheetData>
  <mergeCells count="16">
    <mergeCell ref="F2:F9"/>
    <mergeCell ref="F10:F17"/>
    <mergeCell ref="F18:F24"/>
    <mergeCell ref="F25:F31"/>
    <mergeCell ref="F32:F38"/>
    <mergeCell ref="F39:F45"/>
    <mergeCell ref="F46:F52"/>
    <mergeCell ref="F53:F59"/>
    <mergeCell ref="F65:F72"/>
    <mergeCell ref="F73:F80"/>
    <mergeCell ref="F81:F87"/>
    <mergeCell ref="F88:F94"/>
    <mergeCell ref="F95:F101"/>
    <mergeCell ref="F102:F108"/>
    <mergeCell ref="F109:F115"/>
    <mergeCell ref="F116:F12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道具表</vt:lpstr>
      <vt:lpstr>自选道具配置</vt:lpstr>
      <vt:lpstr>新人礼包</vt:lpstr>
      <vt:lpstr>七日签到</vt:lpstr>
      <vt:lpstr>七日目标</vt:lpstr>
      <vt:lpstr>属性冲刺</vt:lpstr>
      <vt:lpstr>开箱大吉</vt:lpstr>
      <vt:lpstr>特惠礼包</vt:lpstr>
      <vt:lpstr>开服竞速</vt:lpstr>
      <vt:lpstr>连天好礼</vt:lpstr>
      <vt:lpstr>融冰掘宝</vt:lpstr>
      <vt:lpstr>宠物派对</vt:lpstr>
      <vt:lpstr>宝石派对</vt:lpstr>
      <vt:lpstr>技能派对</vt:lpstr>
      <vt:lpstr>坐骑派对</vt:lpstr>
      <vt:lpstr>补给派对</vt:lpstr>
      <vt:lpstr>周试炼排行</vt:lpstr>
      <vt:lpstr>好友邀请</vt:lpstr>
      <vt:lpstr>等级礼包</vt:lpstr>
      <vt:lpstr>日常礼包</vt:lpstr>
      <vt:lpstr>每日热卖</vt:lpstr>
      <vt:lpstr>杂货铺</vt:lpstr>
      <vt:lpstr>月卡</vt:lpstr>
      <vt:lpstr>终身卡</vt:lpstr>
      <vt:lpstr>定制月卡（取消）</vt:lpstr>
      <vt:lpstr>成长基金</vt:lpstr>
      <vt:lpstr>登录基金</vt:lpstr>
      <vt:lpstr>宠物基金</vt:lpstr>
      <vt:lpstr>宝石基金</vt:lpstr>
      <vt:lpstr>技能基金</vt:lpstr>
      <vt:lpstr>坐骑基金</vt:lpstr>
      <vt:lpstr>领地礼包</vt:lpstr>
      <vt:lpstr>寻宝</vt:lpstr>
      <vt:lpstr>payconfig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wepie</dc:creator>
  <cp:lastModifiedBy>孤风✔</cp:lastModifiedBy>
  <dcterms:created xsi:type="dcterms:W3CDTF">2023-04-20T11:45:00Z</dcterms:created>
  <dcterms:modified xsi:type="dcterms:W3CDTF">2023-07-28T15:34:53Z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27A6CAE68D16407A9E35D9995D7D3214</vt:lpwstr>
  </property>
  <property fmtid="{D5CDD505-2E9C-101B-9397-08002B2CF9AE}" pid="3" name="KSOProductBuildVer">
    <vt:lpwstr>2052-12.1.0.15120</vt:lpwstr>
  </property>
</Properties>
</file>