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2"/>
  </bookViews>
  <sheets>
    <sheet name="数据模拟" sheetId="6" r:id="rId1"/>
    <sheet name="物品定价" sheetId="7" r:id="rId2"/>
    <sheet name="各关卡数值期望" sheetId="8" r:id="rId3"/>
    <sheet name="玩家等级" sheetId="4" r:id="rId4"/>
    <sheet name="装备强化" sheetId="5" r:id="rId5"/>
    <sheet name="关卡产出" sheetId="1" r:id="rId6"/>
    <sheet name="装备" sheetId="2" r:id="rId7"/>
    <sheet name="天赋（不含大天赋）" sheetId="3" r:id="rId8"/>
  </sheets>
  <definedNames>
    <definedName name="_xlnm._FilterDatabase" localSheetId="2" hidden="1">各关卡数值期望!$L$2:$V$3</definedName>
  </definedNames>
  <calcPr calcId="144525"/>
</workbook>
</file>

<file path=xl/sharedStrings.xml><?xml version="1.0" encoding="utf-8"?>
<sst xmlns="http://schemas.openxmlformats.org/spreadsheetml/2006/main" count="348" uniqueCount="212">
  <si>
    <t>所有红色字体为可配置的参数</t>
  </si>
  <si>
    <t>产出期望（不用钻石买体力、用完体力）</t>
  </si>
  <si>
    <t>攻击:生命 数值投放比例</t>
  </si>
  <si>
    <t>体力恢复速度 X点/h</t>
  </si>
  <si>
    <t>玩家等级</t>
  </si>
  <si>
    <t>挑战需求体力</t>
  </si>
  <si>
    <t>玩家关卡进度</t>
  </si>
  <si>
    <t>每天可以钻石买体力次数</t>
  </si>
  <si>
    <t>每日可获得经验（手动打关卡）</t>
  </si>
  <si>
    <t>钻石买体力得到多少点体力/次</t>
  </si>
  <si>
    <t>每日可获得金币（手动打关卡）</t>
  </si>
  <si>
    <t>每天看广告得体力次数</t>
  </si>
  <si>
    <t>每日可获得卷轴（手动打关卡）</t>
  </si>
  <si>
    <t>看广告得到多少点体力/次</t>
  </si>
  <si>
    <t>每日可获得装备（手动打关卡）</t>
  </si>
  <si>
    <t>每日可扫荡次数</t>
  </si>
  <si>
    <t>每日可获得经验（扫荡）</t>
  </si>
  <si>
    <t>不买体力每天可挑战次数</t>
  </si>
  <si>
    <t>每日可获得金币（扫荡）</t>
  </si>
  <si>
    <t>买体力每天可挑战次数</t>
  </si>
  <si>
    <t>每日可获得卷轴（扫荡）</t>
  </si>
  <si>
    <t>每次扫荡可获得多少（h）收益</t>
  </si>
  <si>
    <t>每日可获得装备（扫荡）</t>
  </si>
  <si>
    <t>每次挑战关卡额外掉落金币（估算）</t>
  </si>
  <si>
    <t>每日可获得经验（挂机）</t>
  </si>
  <si>
    <t>每次挑战关卡额外掉落卷轴（估算）</t>
  </si>
  <si>
    <t>每日可获得金币（挂机）</t>
  </si>
  <si>
    <t>每次挑战关卡额外掉落装备（估算）</t>
  </si>
  <si>
    <t>每日可获得卷轴（挂机）</t>
  </si>
  <si>
    <t>每日可获得装备（挂机）</t>
  </si>
  <si>
    <t>每天额外获得经验（广告、商店等）（估算）</t>
  </si>
  <si>
    <t>每天额外获得金币（广告、商店等）（估算）</t>
  </si>
  <si>
    <t>每天额外获得卷轴（广告、商店等）（估算）</t>
  </si>
  <si>
    <t>每天额外获得装备（广告、商店等）（估算）</t>
  </si>
  <si>
    <t xml:space="preserve"> </t>
  </si>
  <si>
    <t>每天可获得经验</t>
  </si>
  <si>
    <t>每天可获得金币</t>
  </si>
  <si>
    <t>每天可获得卷轴</t>
  </si>
  <si>
    <t>每天可获得装备</t>
  </si>
  <si>
    <t>一共有几种装备</t>
  </si>
  <si>
    <t>免费玩家平均几天1件蓝装（价值）</t>
  </si>
  <si>
    <t>有几种武器</t>
  </si>
  <si>
    <t>免费玩家平均几天1件紫装（价值）</t>
  </si>
  <si>
    <t>有几种衣服</t>
  </si>
  <si>
    <t>免费玩家平均几天1件紫+装（价值）</t>
  </si>
  <si>
    <t>有几种鞋子</t>
  </si>
  <si>
    <t>免费玩家平均几天1件紫++装（价值）</t>
  </si>
  <si>
    <t>有几种项链</t>
  </si>
  <si>
    <t>免费玩家平均几天1件金装（价值）</t>
  </si>
  <si>
    <t>免费玩家平均几天1件金+装（价值）</t>
  </si>
  <si>
    <t>免费玩家平均几天1件金++装（价值）</t>
  </si>
  <si>
    <t>免费玩家平均几天1件红装（价值）</t>
  </si>
  <si>
    <t>免费玩家平均几天1件蓝装（指定）</t>
  </si>
  <si>
    <t>免费玩家平均几天1件紫装（指定）</t>
  </si>
  <si>
    <t>免费玩家平均几天1件紫+装（指定）</t>
  </si>
  <si>
    <t>免费玩家平均几天1件紫++装（指定）</t>
  </si>
  <si>
    <t>免费玩家平均几天1件金装（指定）</t>
  </si>
  <si>
    <t>免费玩家平均几天1件金+装（指定）</t>
  </si>
  <si>
    <t>免费玩家平均几天1件金++装（指定）</t>
  </si>
  <si>
    <t>免费玩家平均几天1件红装（指定）</t>
  </si>
  <si>
    <t>1￥=多少钻</t>
  </si>
  <si>
    <t>钻石充值档位</t>
  </si>
  <si>
    <t>黄金宝箱掉落</t>
  </si>
  <si>
    <t>关卡进度</t>
  </si>
  <si>
    <t>钻石</t>
  </si>
  <si>
    <t>￥</t>
  </si>
  <si>
    <t>1￥=?钻</t>
  </si>
  <si>
    <t>类型</t>
  </si>
  <si>
    <t>概率</t>
  </si>
  <si>
    <t>钻石价值</t>
  </si>
  <si>
    <t>1h金币产量=多少钻</t>
  </si>
  <si>
    <t>白装</t>
  </si>
  <si>
    <t>1￥=多少金币</t>
  </si>
  <si>
    <t>绿装</t>
  </si>
  <si>
    <t>1钻=多少金币</t>
  </si>
  <si>
    <t>价值期望</t>
  </si>
  <si>
    <t>售价</t>
  </si>
  <si>
    <t>道具</t>
  </si>
  <si>
    <t>金币价值</t>
  </si>
  <si>
    <t>￥价值</t>
  </si>
  <si>
    <t>折扣</t>
  </si>
  <si>
    <t>强化卷轴</t>
  </si>
  <si>
    <t>装备-白</t>
  </si>
  <si>
    <t>钻石宝箱掉落</t>
  </si>
  <si>
    <t>每次抽宝箱消耗钻石</t>
  </si>
  <si>
    <t>装备-绿</t>
  </si>
  <si>
    <t>金币购买档位</t>
  </si>
  <si>
    <r>
      <rPr>
        <sz val="11"/>
        <color theme="1"/>
        <rFont val="等线"/>
        <charset val="134"/>
        <scheme val="minor"/>
      </rPr>
      <t>抽到全套</t>
    </r>
    <r>
      <rPr>
        <sz val="11"/>
        <color rgb="FF9900FF"/>
        <rFont val="等线"/>
        <charset val="134"/>
        <scheme val="minor"/>
      </rPr>
      <t>紫装</t>
    </r>
    <r>
      <rPr>
        <sz val="11"/>
        <color theme="1"/>
        <rFont val="等线"/>
        <charset val="134"/>
        <scheme val="minor"/>
      </rPr>
      <t>需要消耗钻石</t>
    </r>
  </si>
  <si>
    <t>装备-蓝</t>
  </si>
  <si>
    <t>金币</t>
  </si>
  <si>
    <t>1h金币=?钻</t>
  </si>
  <si>
    <r>
      <rPr>
        <sz val="11"/>
        <color theme="1"/>
        <rFont val="等线"/>
        <charset val="134"/>
        <scheme val="minor"/>
      </rPr>
      <t>抽到全套</t>
    </r>
    <r>
      <rPr>
        <sz val="11"/>
        <color rgb="FF9900FF"/>
        <rFont val="等线"/>
        <charset val="134"/>
        <scheme val="minor"/>
      </rPr>
      <t>紫装</t>
    </r>
    <r>
      <rPr>
        <sz val="11"/>
        <color theme="1"/>
        <rFont val="等线"/>
        <charset val="134"/>
        <scheme val="minor"/>
      </rPr>
      <t>需要消耗￥</t>
    </r>
  </si>
  <si>
    <t>装备-紫</t>
  </si>
  <si>
    <t>2小时</t>
  </si>
  <si>
    <t>15钻/h</t>
  </si>
  <si>
    <t>蓝装</t>
  </si>
  <si>
    <r>
      <rPr>
        <sz val="11"/>
        <color theme="1"/>
        <rFont val="等线"/>
        <charset val="134"/>
        <scheme val="minor"/>
      </rPr>
      <t>抽到全套</t>
    </r>
    <r>
      <rPr>
        <sz val="11"/>
        <color rgb="FFFFC000"/>
        <rFont val="等线"/>
        <charset val="134"/>
        <scheme val="minor"/>
      </rPr>
      <t>金装</t>
    </r>
    <r>
      <rPr>
        <sz val="11"/>
        <color theme="1"/>
        <rFont val="等线"/>
        <charset val="134"/>
        <scheme val="minor"/>
      </rPr>
      <t>需要消耗钻石</t>
    </r>
  </si>
  <si>
    <t>装备-紫+</t>
  </si>
  <si>
    <t>6小时</t>
  </si>
  <si>
    <t>紫装</t>
  </si>
  <si>
    <r>
      <rPr>
        <sz val="11"/>
        <color theme="1"/>
        <rFont val="等线"/>
        <charset val="134"/>
        <scheme val="minor"/>
      </rPr>
      <t>抽到全套</t>
    </r>
    <r>
      <rPr>
        <sz val="11"/>
        <color rgb="FFFFC000"/>
        <rFont val="等线"/>
        <charset val="134"/>
        <scheme val="minor"/>
      </rPr>
      <t>金装</t>
    </r>
    <r>
      <rPr>
        <sz val="11"/>
        <color theme="1"/>
        <rFont val="等线"/>
        <charset val="134"/>
        <scheme val="minor"/>
      </rPr>
      <t>需要消耗￥</t>
    </r>
  </si>
  <si>
    <t>装备-紫++</t>
  </si>
  <si>
    <t>24小时</t>
  </si>
  <si>
    <t>12钻/h</t>
  </si>
  <si>
    <r>
      <rPr>
        <sz val="11"/>
        <color theme="1"/>
        <rFont val="等线"/>
        <charset val="134"/>
        <scheme val="minor"/>
      </rPr>
      <t>抽到全套</t>
    </r>
    <r>
      <rPr>
        <sz val="11"/>
        <color rgb="FFFF0000"/>
        <rFont val="等线"/>
        <charset val="134"/>
        <scheme val="minor"/>
      </rPr>
      <t>红装</t>
    </r>
    <r>
      <rPr>
        <sz val="11"/>
        <color theme="1"/>
        <rFont val="等线"/>
        <charset val="134"/>
        <scheme val="minor"/>
      </rPr>
      <t>需要消耗钻石</t>
    </r>
  </si>
  <si>
    <t>装备-金</t>
  </si>
  <si>
    <r>
      <rPr>
        <sz val="11"/>
        <color theme="1"/>
        <rFont val="等线"/>
        <charset val="134"/>
        <scheme val="minor"/>
      </rPr>
      <t>抽到全套</t>
    </r>
    <r>
      <rPr>
        <sz val="11"/>
        <color rgb="FFFF0000"/>
        <rFont val="等线"/>
        <charset val="134"/>
        <scheme val="minor"/>
      </rPr>
      <t>红装</t>
    </r>
    <r>
      <rPr>
        <sz val="11"/>
        <color theme="1"/>
        <rFont val="等线"/>
        <charset val="134"/>
        <scheme val="minor"/>
      </rPr>
      <t>需要消耗￥</t>
    </r>
  </si>
  <si>
    <t>装备-金+</t>
  </si>
  <si>
    <t>装备-金++</t>
  </si>
  <si>
    <t>售价2</t>
  </si>
  <si>
    <t>装备-红</t>
  </si>
  <si>
    <t>折扣2</t>
  </si>
  <si>
    <t>黄金宝箱</t>
  </si>
  <si>
    <t>钻石宝箱</t>
  </si>
  <si>
    <t>钻石宝箱*10</t>
  </si>
  <si>
    <t>通关养成进度期望（所有数值均可编辑）</t>
  </si>
  <si>
    <t>商业化空间</t>
  </si>
  <si>
    <t>通过养成进度期望对应的属性值</t>
  </si>
  <si>
    <t>通过养成进度期望需要的材料数量</t>
  </si>
  <si>
    <t>通关属性期望</t>
  </si>
  <si>
    <t>通关能力期望</t>
  </si>
  <si>
    <t>天数
（预估）</t>
  </si>
  <si>
    <t>角色等级</t>
  </si>
  <si>
    <t>武器品质</t>
  </si>
  <si>
    <t>强化等级</t>
  </si>
  <si>
    <t>天赋等级</t>
  </si>
  <si>
    <t>装备加成//估算</t>
  </si>
  <si>
    <t>大天赋加成//估算</t>
  </si>
  <si>
    <t>强化材料缺口数量</t>
  </si>
  <si>
    <t>金币缺口数量</t>
  </si>
  <si>
    <t>强化材料缺口钻石价值</t>
  </si>
  <si>
    <t>金币缺口钻石价值</t>
  </si>
  <si>
    <t>装备属性</t>
  </si>
  <si>
    <t>强化属性</t>
  </si>
  <si>
    <t>天赋属性</t>
  </si>
  <si>
    <t>武器数量需求</t>
  </si>
  <si>
    <t>强化材料数量需求</t>
  </si>
  <si>
    <t>装备强化金币需求</t>
  </si>
  <si>
    <t>天赋金币需求</t>
  </si>
  <si>
    <t>强化材料白嫖数量</t>
  </si>
  <si>
    <t>金币白嫖数量</t>
  </si>
  <si>
    <t>关卡</t>
  </si>
  <si>
    <t>攻击</t>
  </si>
  <si>
    <t>生命</t>
  </si>
  <si>
    <t>输出能力</t>
  </si>
  <si>
    <t>生存能力</t>
  </si>
  <si>
    <t>怪物攻击</t>
  </si>
  <si>
    <t>怪物血量</t>
  </si>
  <si>
    <t>关卡难度</t>
  </si>
  <si>
    <t>武器</t>
  </si>
  <si>
    <t>衣服</t>
  </si>
  <si>
    <t>项链</t>
  </si>
  <si>
    <t>鞋子</t>
  </si>
  <si>
    <t>输出</t>
  </si>
  <si>
    <t>生存</t>
  </si>
  <si>
    <t>减伤</t>
  </si>
  <si>
    <t>回复</t>
  </si>
  <si>
    <t>白</t>
  </si>
  <si>
    <t>绿</t>
  </si>
  <si>
    <t>蓝</t>
  </si>
  <si>
    <t>紫</t>
  </si>
  <si>
    <t>紫+</t>
  </si>
  <si>
    <t>紫++</t>
  </si>
  <si>
    <t>金</t>
  </si>
  <si>
    <t>金+</t>
  </si>
  <si>
    <t>等级</t>
  </si>
  <si>
    <t>升级经验</t>
  </si>
  <si>
    <t>升级时间/天</t>
  </si>
  <si>
    <t>总时间/天</t>
  </si>
  <si>
    <t>关卡进度（预估）</t>
  </si>
  <si>
    <t>每天经验(不买体力，挑战最难关卡）</t>
  </si>
  <si>
    <t>每天经验(买体力，挑战最难关卡）</t>
  </si>
  <si>
    <t>游戏天数</t>
  </si>
  <si>
    <t>装备强化等级</t>
  </si>
  <si>
    <t>消耗金币</t>
  </si>
  <si>
    <t>消耗卷轴</t>
  </si>
  <si>
    <t>总计</t>
  </si>
  <si>
    <t>消耗金币（1个部位）</t>
  </si>
  <si>
    <t>消耗卷轴（1个部位）</t>
  </si>
  <si>
    <t>消耗金币（4个部位）</t>
  </si>
  <si>
    <t>消耗卷轴（4个部位）</t>
  </si>
  <si>
    <t>挑战</t>
  </si>
  <si>
    <t>挂机</t>
  </si>
  <si>
    <t>未通关金币</t>
  </si>
  <si>
    <t>未通关经验</t>
  </si>
  <si>
    <t>通关金币</t>
  </si>
  <si>
    <t>通关经验</t>
  </si>
  <si>
    <t>金币/h</t>
  </si>
  <si>
    <t>经验/h</t>
  </si>
  <si>
    <t>卷轴/h</t>
  </si>
  <si>
    <t>装备/h</t>
  </si>
  <si>
    <t>基础属性</t>
  </si>
  <si>
    <t>强化等级上限</t>
  </si>
  <si>
    <t>强化属性/级</t>
  </si>
  <si>
    <t>部位</t>
  </si>
  <si>
    <t>品质</t>
  </si>
  <si>
    <t>稀有度</t>
  </si>
  <si>
    <t>武器
项链</t>
  </si>
  <si>
    <t>普通</t>
  </si>
  <si>
    <t>金++</t>
  </si>
  <si>
    <t>红</t>
  </si>
  <si>
    <t>永恒</t>
  </si>
  <si>
    <t>衣服
鞋子</t>
  </si>
  <si>
    <t>序号</t>
  </si>
  <si>
    <t>等级限制</t>
  </si>
  <si>
    <t>每级可以点几个天赋</t>
  </si>
  <si>
    <t>天赋需求金币（总）</t>
  </si>
  <si>
    <t>天赋需求金币（当前等级）</t>
  </si>
  <si>
    <t>当前等级攻击加成</t>
  </si>
  <si>
    <t>当前等级生命加成</t>
  </si>
  <si>
    <t>当前等级减伤加成</t>
  </si>
  <si>
    <t>当前等级回复加成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</si>
</sst>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_ ;_ * \-#,##0_ ;_ * &quot;-&quot;??_ ;_ @_ "/>
    <numFmt numFmtId="177" formatCode="0.0"/>
  </numFmts>
  <fonts count="33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00B050"/>
      <name val="等线"/>
      <charset val="134"/>
      <scheme val="minor"/>
    </font>
    <font>
      <sz val="11"/>
      <color theme="8"/>
      <name val="等线"/>
      <charset val="134"/>
      <scheme val="minor"/>
    </font>
    <font>
      <sz val="11"/>
      <color rgb="FF7030A0"/>
      <name val="等线"/>
      <charset val="134"/>
      <scheme val="minor"/>
    </font>
    <font>
      <sz val="11"/>
      <color rgb="FF9900FF"/>
      <name val="等线"/>
      <charset val="134"/>
      <scheme val="minor"/>
    </font>
    <font>
      <sz val="11"/>
      <color theme="7"/>
      <name val="等线"/>
      <charset val="134"/>
      <scheme val="minor"/>
    </font>
    <font>
      <sz val="11"/>
      <color rgb="FFFFCC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900FF"/>
      <name val="等线"/>
      <charset val="134"/>
      <scheme val="minor"/>
    </font>
    <font>
      <sz val="11"/>
      <color rgb="FFFFC000"/>
      <name val="等线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7F7F7F"/>
      </top>
      <bottom style="thin">
        <color rgb="FF3F3F3F"/>
      </bottom>
      <diagonal/>
    </border>
    <border>
      <left style="thin">
        <color rgb="FF3F3F3F"/>
      </left>
      <right style="thin">
        <color rgb="FF7F7F7F"/>
      </right>
      <top style="thin">
        <color rgb="FF7F7F7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1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9" borderId="22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8" borderId="25" applyNumberFormat="0" applyAlignment="0" applyProtection="0">
      <alignment vertical="center"/>
    </xf>
    <xf numFmtId="0" fontId="7" fillId="8" borderId="10" applyNumberFormat="0" applyAlignment="0" applyProtection="0">
      <alignment vertical="center"/>
    </xf>
    <xf numFmtId="0" fontId="28" fillId="23" borderId="26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30" fillId="0" borderId="2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</cellStyleXfs>
  <cellXfs count="105">
    <xf numFmtId="0" fontId="0" fillId="0" borderId="0" xfId="0"/>
    <xf numFmtId="0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2" fillId="3" borderId="0" xfId="31" applyAlignment="1">
      <alignment horizontal="center"/>
    </xf>
    <xf numFmtId="0" fontId="3" fillId="4" borderId="0" xfId="32" applyAlignment="1">
      <alignment horizontal="center"/>
    </xf>
    <xf numFmtId="0" fontId="2" fillId="3" borderId="0" xfId="31" applyAlignment="1"/>
    <xf numFmtId="0" fontId="3" fillId="4" borderId="0" xfId="32" applyAlignment="1"/>
    <xf numFmtId="0" fontId="1" fillId="0" borderId="0" xfId="0" applyFont="1"/>
    <xf numFmtId="0" fontId="0" fillId="5" borderId="0" xfId="0" applyFill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6" borderId="0" xfId="7" applyBorder="1" applyAlignment="1">
      <alignment horizontal="center"/>
    </xf>
    <xf numFmtId="0" fontId="2" fillId="3" borderId="0" xfId="31" applyBorder="1" applyAlignment="1">
      <alignment horizontal="center"/>
    </xf>
    <xf numFmtId="0" fontId="2" fillId="3" borderId="5" xfId="3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5" fillId="7" borderId="6" xfId="0" applyFont="1" applyFill="1" applyBorder="1" applyAlignment="1">
      <alignment vertical="center"/>
    </xf>
    <xf numFmtId="0" fontId="6" fillId="7" borderId="6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7" fillId="8" borderId="10" xfId="25" applyBorder="1" applyAlignment="1">
      <alignment horizontal="center"/>
    </xf>
    <xf numFmtId="0" fontId="6" fillId="0" borderId="0" xfId="0" applyFont="1" applyFill="1" applyAlignment="1">
      <alignment vertical="center"/>
    </xf>
    <xf numFmtId="0" fontId="0" fillId="9" borderId="1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9" borderId="11" xfId="0" applyFill="1" applyBorder="1"/>
    <xf numFmtId="0" fontId="0" fillId="9" borderId="0" xfId="0" applyFill="1" applyBorder="1"/>
    <xf numFmtId="0" fontId="0" fillId="10" borderId="0" xfId="0" applyFill="1" applyBorder="1"/>
    <xf numFmtId="0" fontId="0" fillId="0" borderId="11" xfId="0" applyBorder="1"/>
    <xf numFmtId="0" fontId="1" fillId="0" borderId="0" xfId="0" applyFont="1" applyBorder="1"/>
    <xf numFmtId="0" fontId="8" fillId="0" borderId="11" xfId="0" applyFont="1" applyBorder="1"/>
    <xf numFmtId="0" fontId="8" fillId="0" borderId="0" xfId="0" applyFont="1" applyBorder="1"/>
    <xf numFmtId="0" fontId="9" fillId="0" borderId="11" xfId="0" applyFont="1" applyBorder="1"/>
    <xf numFmtId="0" fontId="9" fillId="0" borderId="0" xfId="0" applyFont="1" applyBorder="1"/>
    <xf numFmtId="0" fontId="10" fillId="0" borderId="11" xfId="0" applyFont="1" applyBorder="1"/>
    <xf numFmtId="0" fontId="10" fillId="0" borderId="0" xfId="0" applyFont="1" applyBorder="1"/>
    <xf numFmtId="0" fontId="11" fillId="0" borderId="11" xfId="0" applyFont="1" applyBorder="1"/>
    <xf numFmtId="0" fontId="11" fillId="0" borderId="0" xfId="0" applyFont="1" applyBorder="1"/>
    <xf numFmtId="0" fontId="12" fillId="0" borderId="11" xfId="0" applyFont="1" applyBorder="1"/>
    <xf numFmtId="0" fontId="12" fillId="0" borderId="0" xfId="0" applyFont="1" applyBorder="1"/>
    <xf numFmtId="0" fontId="13" fillId="0" borderId="11" xfId="0" applyFont="1" applyBorder="1"/>
    <xf numFmtId="0" fontId="13" fillId="0" borderId="0" xfId="0" applyFont="1" applyBorder="1"/>
    <xf numFmtId="0" fontId="13" fillId="0" borderId="12" xfId="0" applyFont="1" applyBorder="1"/>
    <xf numFmtId="0" fontId="13" fillId="0" borderId="13" xfId="0" applyFont="1" applyBorder="1"/>
    <xf numFmtId="0" fontId="1" fillId="0" borderId="13" xfId="0" applyFont="1" applyBorder="1"/>
    <xf numFmtId="0" fontId="0" fillId="11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wrapText="1"/>
    </xf>
    <xf numFmtId="0" fontId="0" fillId="13" borderId="0" xfId="0" applyFill="1" applyBorder="1" applyAlignment="1">
      <alignment horizontal="center" wrapText="1"/>
    </xf>
    <xf numFmtId="0" fontId="0" fillId="13" borderId="14" xfId="0" applyFill="1" applyBorder="1" applyAlignment="1">
      <alignment horizontal="center" wrapText="1"/>
    </xf>
    <xf numFmtId="0" fontId="0" fillId="12" borderId="0" xfId="0" applyFill="1" applyBorder="1" applyAlignment="1">
      <alignment wrapText="1"/>
    </xf>
    <xf numFmtId="0" fontId="0" fillId="13" borderId="0" xfId="0" applyFill="1" applyBorder="1" applyAlignment="1">
      <alignment wrapText="1"/>
    </xf>
    <xf numFmtId="0" fontId="0" fillId="13" borderId="14" xfId="0" applyFill="1" applyBorder="1" applyAlignment="1">
      <alignment wrapText="1"/>
    </xf>
    <xf numFmtId="0" fontId="0" fillId="0" borderId="14" xfId="0" applyBorder="1"/>
    <xf numFmtId="9" fontId="1" fillId="0" borderId="0" xfId="0" applyNumberFormat="1" applyFont="1" applyBorder="1"/>
    <xf numFmtId="9" fontId="1" fillId="0" borderId="14" xfId="0" applyNumberFormat="1" applyFont="1" applyBorder="1"/>
    <xf numFmtId="9" fontId="1" fillId="0" borderId="13" xfId="0" applyNumberFormat="1" applyFont="1" applyBorder="1"/>
    <xf numFmtId="9" fontId="1" fillId="0" borderId="15" xfId="0" applyNumberFormat="1" applyFont="1" applyBorder="1"/>
    <xf numFmtId="0" fontId="14" fillId="8" borderId="16" xfId="24" applyBorder="1" applyAlignment="1">
      <alignment horizontal="center"/>
    </xf>
    <xf numFmtId="0" fontId="14" fillId="8" borderId="17" xfId="24" applyBorder="1" applyAlignment="1">
      <alignment horizontal="center"/>
    </xf>
    <xf numFmtId="0" fontId="14" fillId="8" borderId="18" xfId="24" applyBorder="1" applyAlignment="1">
      <alignment horizontal="center"/>
    </xf>
    <xf numFmtId="0" fontId="1" fillId="6" borderId="0" xfId="7" applyFont="1" applyAlignment="1">
      <alignment horizontal="center"/>
    </xf>
    <xf numFmtId="0" fontId="15" fillId="6" borderId="0" xfId="7" applyFont="1" applyAlignment="1">
      <alignment horizontal="center"/>
    </xf>
    <xf numFmtId="0" fontId="0" fillId="10" borderId="11" xfId="0" applyFill="1" applyBorder="1" applyAlignment="1">
      <alignment horizontal="center" wrapText="1"/>
    </xf>
    <xf numFmtId="0" fontId="0" fillId="10" borderId="0" xfId="0" applyFill="1" applyBorder="1" applyAlignment="1">
      <alignment horizontal="center" wrapText="1"/>
    </xf>
    <xf numFmtId="0" fontId="0" fillId="11" borderId="14" xfId="0" applyFill="1" applyBorder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11" xfId="0" applyNumberFormat="1" applyBorder="1"/>
    <xf numFmtId="176" fontId="0" fillId="0" borderId="0" xfId="8" applyNumberFormat="1" applyFont="1" applyBorder="1" applyAlignment="1"/>
    <xf numFmtId="0" fontId="0" fillId="0" borderId="12" xfId="0" applyNumberFormat="1" applyBorder="1"/>
    <xf numFmtId="176" fontId="0" fillId="0" borderId="13" xfId="8" applyNumberFormat="1" applyFont="1" applyBorder="1" applyAlignment="1"/>
    <xf numFmtId="0" fontId="0" fillId="0" borderId="13" xfId="0" applyBorder="1"/>
    <xf numFmtId="0" fontId="0" fillId="0" borderId="15" xfId="0" applyBorder="1"/>
    <xf numFmtId="0" fontId="0" fillId="11" borderId="0" xfId="0" applyFill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9" borderId="0" xfId="0" applyFill="1"/>
    <xf numFmtId="9" fontId="0" fillId="0" borderId="0" xfId="0" applyNumberFormat="1"/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center" wrapText="1"/>
    </xf>
    <xf numFmtId="0" fontId="0" fillId="10" borderId="0" xfId="0" applyFill="1"/>
    <xf numFmtId="176" fontId="0" fillId="0" borderId="0" xfId="8" applyNumberFormat="1" applyFont="1" applyAlignment="1"/>
    <xf numFmtId="0" fontId="0" fillId="0" borderId="0" xfId="0" applyNumberFormat="1"/>
    <xf numFmtId="0" fontId="0" fillId="13" borderId="19" xfId="0" applyFill="1" applyBorder="1" applyAlignment="1">
      <alignment horizontal="center"/>
    </xf>
    <xf numFmtId="0" fontId="0" fillId="13" borderId="20" xfId="0" applyFill="1" applyBorder="1" applyAlignment="1">
      <alignment horizontal="center"/>
    </xf>
    <xf numFmtId="0" fontId="0" fillId="0" borderId="6" xfId="0" applyBorder="1"/>
    <xf numFmtId="0" fontId="16" fillId="0" borderId="0" xfId="0" applyFont="1"/>
    <xf numFmtId="177" fontId="0" fillId="0" borderId="0" xfId="0" applyNumberFormat="1"/>
    <xf numFmtId="1" fontId="0" fillId="0" borderId="0" xfId="0" applyNumberFormat="1"/>
    <xf numFmtId="0" fontId="0" fillId="13" borderId="21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177" fontId="0" fillId="0" borderId="6" xfId="0" applyNumberFormat="1" applyBorder="1"/>
    <xf numFmtId="10" fontId="0" fillId="0" borderId="6" xfId="0" applyNumberFormat="1" applyBorder="1"/>
    <xf numFmtId="0" fontId="0" fillId="13" borderId="6" xfId="0" applyFill="1" applyBorder="1"/>
    <xf numFmtId="9" fontId="0" fillId="0" borderId="6" xfId="0" applyNumberFormat="1" applyBorder="1"/>
    <xf numFmtId="2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900FF"/>
      <color rgb="00FF9900"/>
      <color rgb="00FFCC00"/>
      <color rgb="0099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selection activeCell="A22" sqref="A22"/>
    </sheetView>
  </sheetViews>
  <sheetFormatPr defaultColWidth="9" defaultRowHeight="13.8" outlineLevelCol="7"/>
  <cols>
    <col min="1" max="1" width="31.7777777777778" customWidth="1"/>
    <col min="4" max="4" width="39.6666666666667" customWidth="1"/>
    <col min="5" max="5" width="7.55555555555556" customWidth="1"/>
    <col min="7" max="7" width="28.1111111111111" customWidth="1"/>
  </cols>
  <sheetData>
    <row r="1" spans="1:8">
      <c r="A1" s="11" t="s">
        <v>0</v>
      </c>
      <c r="D1" t="s">
        <v>1</v>
      </c>
      <c r="F1" s="91"/>
      <c r="G1" s="91" t="s">
        <v>2</v>
      </c>
      <c r="H1" s="104">
        <v>0.0486111111111111</v>
      </c>
    </row>
    <row r="2" spans="1:7">
      <c r="A2" s="91" t="s">
        <v>3</v>
      </c>
      <c r="B2" s="1">
        <v>3</v>
      </c>
      <c r="C2" s="91"/>
      <c r="D2" s="91" t="s">
        <v>4</v>
      </c>
      <c r="E2" s="1">
        <v>30</v>
      </c>
      <c r="F2" s="91"/>
      <c r="G2" s="91"/>
    </row>
    <row r="3" spans="1:7">
      <c r="A3" t="s">
        <v>5</v>
      </c>
      <c r="B3" s="91">
        <v>5</v>
      </c>
      <c r="C3" s="91"/>
      <c r="D3" s="91" t="s">
        <v>6</v>
      </c>
      <c r="E3" s="1">
        <v>1</v>
      </c>
      <c r="F3" s="91"/>
      <c r="G3" s="91"/>
    </row>
    <row r="4" spans="1:7">
      <c r="A4" s="91" t="s">
        <v>7</v>
      </c>
      <c r="B4" s="1">
        <v>3</v>
      </c>
      <c r="C4" s="91"/>
      <c r="D4" s="91" t="s">
        <v>8</v>
      </c>
      <c r="E4" s="91">
        <f>B9*VLOOKUP(E3,关卡产出!A:I,3,FALSE)</f>
        <v>7200</v>
      </c>
      <c r="F4" s="91"/>
      <c r="G4" s="91"/>
    </row>
    <row r="5" spans="1:6">
      <c r="A5" s="91" t="s">
        <v>9</v>
      </c>
      <c r="B5" s="1">
        <v>15</v>
      </c>
      <c r="C5" s="91"/>
      <c r="D5" s="91" t="s">
        <v>10</v>
      </c>
      <c r="E5" s="91">
        <f>B9*VLOOKUP(E3,关卡产出!A:I,2,FALSE)+B9*B12</f>
        <v>79200</v>
      </c>
      <c r="F5" s="91"/>
    </row>
    <row r="6" spans="1:7">
      <c r="A6" s="91" t="s">
        <v>11</v>
      </c>
      <c r="B6" s="1">
        <v>3</v>
      </c>
      <c r="C6" s="91"/>
      <c r="D6" s="91" t="s">
        <v>12</v>
      </c>
      <c r="E6" s="91">
        <f>B9*B13</f>
        <v>28.8</v>
      </c>
      <c r="F6" s="91"/>
      <c r="G6" s="91"/>
    </row>
    <row r="7" spans="1:7">
      <c r="A7" s="91" t="s">
        <v>13</v>
      </c>
      <c r="B7" s="1">
        <v>5</v>
      </c>
      <c r="C7" s="91"/>
      <c r="D7" s="91" t="s">
        <v>14</v>
      </c>
      <c r="E7" s="91">
        <f>B9*B14</f>
        <v>14.4</v>
      </c>
      <c r="F7" s="91"/>
      <c r="G7" s="91"/>
    </row>
    <row r="8" spans="1:7">
      <c r="A8" s="91" t="s">
        <v>15</v>
      </c>
      <c r="B8" s="1">
        <v>3</v>
      </c>
      <c r="C8" s="91"/>
      <c r="D8" s="91" t="s">
        <v>16</v>
      </c>
      <c r="E8" s="91">
        <f>VLOOKUP(E3,关卡产出!A:I,7,FALSE)*B11*B8</f>
        <v>18000</v>
      </c>
      <c r="F8" s="91"/>
      <c r="G8" s="91"/>
    </row>
    <row r="9" spans="1:6">
      <c r="A9" s="91" t="s">
        <v>17</v>
      </c>
      <c r="B9" s="91">
        <f>(B2*24+B7*B6)/B3-B8</f>
        <v>14.4</v>
      </c>
      <c r="C9" s="91"/>
      <c r="D9" s="91" t="s">
        <v>18</v>
      </c>
      <c r="E9" s="91">
        <f>VLOOKUP(E3,关卡产出!A:I,6,FALSE)*B11*B8</f>
        <v>45000</v>
      </c>
      <c r="F9" s="91"/>
    </row>
    <row r="10" spans="1:6">
      <c r="A10" s="91" t="s">
        <v>19</v>
      </c>
      <c r="B10" s="91">
        <f>(B2*24+B7*B6+B4*B5)/B3-B8</f>
        <v>23.4</v>
      </c>
      <c r="C10" s="91"/>
      <c r="D10" s="91" t="s">
        <v>20</v>
      </c>
      <c r="E10" s="91">
        <f>VLOOKUP(E3,关卡产出!A:I,8,FALSE)*B11*B8</f>
        <v>30</v>
      </c>
      <c r="F10" s="91"/>
    </row>
    <row r="11" spans="1:7">
      <c r="A11" s="91" t="s">
        <v>21</v>
      </c>
      <c r="B11" s="1">
        <v>5</v>
      </c>
      <c r="C11" s="91"/>
      <c r="D11" s="91" t="s">
        <v>22</v>
      </c>
      <c r="E11" s="91">
        <f>VLOOKUP(E3,关卡产出!A:I,9,FALSE)*B11*B8</f>
        <v>3</v>
      </c>
      <c r="F11" s="91"/>
      <c r="G11" s="91"/>
    </row>
    <row r="12" spans="1:7">
      <c r="A12" t="s">
        <v>23</v>
      </c>
      <c r="B12" s="1">
        <v>3000</v>
      </c>
      <c r="C12" s="91"/>
      <c r="D12" s="91" t="s">
        <v>24</v>
      </c>
      <c r="E12" s="91">
        <f>VLOOKUP(E3,关卡产出!A:I,7,FALSE)*24</f>
        <v>28800</v>
      </c>
      <c r="F12" s="91"/>
      <c r="G12" s="91"/>
    </row>
    <row r="13" spans="1:6">
      <c r="A13" t="s">
        <v>25</v>
      </c>
      <c r="B13" s="1">
        <v>2</v>
      </c>
      <c r="C13" s="91"/>
      <c r="D13" s="91" t="s">
        <v>26</v>
      </c>
      <c r="E13" s="91">
        <f>VLOOKUP(E3,关卡产出!A:I,6,FALSE)*24</f>
        <v>72000</v>
      </c>
      <c r="F13" s="91"/>
    </row>
    <row r="14" spans="1:6">
      <c r="A14" t="s">
        <v>27</v>
      </c>
      <c r="B14" s="1">
        <v>1</v>
      </c>
      <c r="C14" s="91"/>
      <c r="D14" s="91" t="s">
        <v>28</v>
      </c>
      <c r="E14" s="91">
        <f>VLOOKUP(E3,关卡产出!A:I,8,FALSE)*24</f>
        <v>48</v>
      </c>
      <c r="F14" s="91"/>
    </row>
    <row r="15" spans="3:7">
      <c r="C15" s="91"/>
      <c r="D15" s="91" t="s">
        <v>29</v>
      </c>
      <c r="E15" s="91">
        <f>VLOOKUP(E3,关卡产出!A:I,9,FALSE)*24</f>
        <v>4.8</v>
      </c>
      <c r="F15" s="91"/>
      <c r="G15" s="91"/>
    </row>
    <row r="16" spans="3:7">
      <c r="C16" s="91"/>
      <c r="D16" s="91"/>
      <c r="E16" s="91"/>
      <c r="F16" s="91"/>
      <c r="G16" s="91"/>
    </row>
    <row r="17" spans="3:7">
      <c r="C17" s="91"/>
      <c r="D17" s="91" t="s">
        <v>30</v>
      </c>
      <c r="E17" s="1">
        <v>0</v>
      </c>
      <c r="F17" s="91"/>
      <c r="G17" s="91"/>
    </row>
    <row r="18" spans="3:7">
      <c r="C18" s="91"/>
      <c r="D18" s="91" t="s">
        <v>31</v>
      </c>
      <c r="E18" s="1">
        <v>10000</v>
      </c>
      <c r="F18" s="91"/>
      <c r="G18" s="91"/>
    </row>
    <row r="19" spans="3:7">
      <c r="C19" s="91"/>
      <c r="D19" s="91" t="s">
        <v>32</v>
      </c>
      <c r="E19" s="1">
        <v>10</v>
      </c>
      <c r="F19" s="91"/>
      <c r="G19" s="91"/>
    </row>
    <row r="20" spans="3:7">
      <c r="C20" s="91"/>
      <c r="D20" s="91" t="s">
        <v>33</v>
      </c>
      <c r="E20" s="1">
        <v>2</v>
      </c>
      <c r="F20" s="91"/>
      <c r="G20" s="91"/>
    </row>
    <row r="21" spans="1:7">
      <c r="A21" s="91"/>
      <c r="B21" s="91"/>
      <c r="C21" s="91"/>
      <c r="D21" s="91"/>
      <c r="E21" s="91"/>
      <c r="F21" s="91"/>
      <c r="G21" s="91" t="s">
        <v>34</v>
      </c>
    </row>
    <row r="22" spans="1:7">
      <c r="A22" s="91"/>
      <c r="B22" s="91"/>
      <c r="C22" s="91"/>
      <c r="D22" s="91" t="s">
        <v>35</v>
      </c>
      <c r="E22" s="91">
        <f>E4+E8+E12+E17</f>
        <v>54000</v>
      </c>
      <c r="F22" s="91"/>
      <c r="G22" s="91"/>
    </row>
    <row r="23" spans="1:7">
      <c r="A23" s="91"/>
      <c r="B23" s="91"/>
      <c r="C23" s="91"/>
      <c r="D23" s="91" t="s">
        <v>36</v>
      </c>
      <c r="E23" s="91">
        <f t="shared" ref="E23:E25" si="0">E5+E9+E13+E18</f>
        <v>206200</v>
      </c>
      <c r="F23" s="91"/>
      <c r="G23" s="91"/>
    </row>
    <row r="24" spans="1:7">
      <c r="A24" s="91"/>
      <c r="B24" s="91"/>
      <c r="C24" s="91"/>
      <c r="D24" s="91" t="s">
        <v>37</v>
      </c>
      <c r="E24" s="91">
        <f t="shared" si="0"/>
        <v>116.8</v>
      </c>
      <c r="F24" s="91"/>
      <c r="G24" s="91"/>
    </row>
    <row r="25" spans="3:5">
      <c r="C25" s="91"/>
      <c r="D25" s="91" t="s">
        <v>38</v>
      </c>
      <c r="E25" s="91">
        <f t="shared" si="0"/>
        <v>24.2</v>
      </c>
    </row>
    <row r="27" spans="1:5">
      <c r="A27" t="s">
        <v>39</v>
      </c>
      <c r="B27">
        <f>B28+B29+B30+B31</f>
        <v>16</v>
      </c>
      <c r="D27" t="s">
        <v>40</v>
      </c>
      <c r="E27" s="97">
        <f>9/E$25</f>
        <v>0.371900826446281</v>
      </c>
    </row>
    <row r="28" spans="1:5">
      <c r="A28" t="s">
        <v>41</v>
      </c>
      <c r="B28" s="1">
        <v>7</v>
      </c>
      <c r="D28" t="s">
        <v>42</v>
      </c>
      <c r="E28" s="97">
        <f>E27*3</f>
        <v>1.11570247933884</v>
      </c>
    </row>
    <row r="29" spans="1:5">
      <c r="A29" t="s">
        <v>43</v>
      </c>
      <c r="B29" s="1">
        <v>3</v>
      </c>
      <c r="D29" t="s">
        <v>44</v>
      </c>
      <c r="E29" s="97">
        <f>E28*2</f>
        <v>2.23140495867769</v>
      </c>
    </row>
    <row r="30" spans="1:5">
      <c r="A30" t="s">
        <v>45</v>
      </c>
      <c r="B30" s="1">
        <v>3</v>
      </c>
      <c r="D30" t="s">
        <v>46</v>
      </c>
      <c r="E30" s="97">
        <f t="shared" ref="E30:E34" si="1">E29*2</f>
        <v>4.46280991735537</v>
      </c>
    </row>
    <row r="31" spans="1:5">
      <c r="A31" t="s">
        <v>47</v>
      </c>
      <c r="B31" s="1">
        <v>3</v>
      </c>
      <c r="D31" t="s">
        <v>48</v>
      </c>
      <c r="E31" s="97">
        <f t="shared" si="1"/>
        <v>8.92561983471074</v>
      </c>
    </row>
    <row r="32" spans="4:5">
      <c r="D32" t="s">
        <v>49</v>
      </c>
      <c r="E32" s="97">
        <f t="shared" si="1"/>
        <v>17.8512396694215</v>
      </c>
    </row>
    <row r="33" spans="4:5">
      <c r="D33" t="s">
        <v>50</v>
      </c>
      <c r="E33" s="97">
        <f t="shared" si="1"/>
        <v>35.702479338843</v>
      </c>
    </row>
    <row r="34" spans="4:5">
      <c r="D34" t="s">
        <v>51</v>
      </c>
      <c r="E34" s="97">
        <f t="shared" si="1"/>
        <v>71.404958677686</v>
      </c>
    </row>
    <row r="36" spans="4:5">
      <c r="D36" t="s">
        <v>52</v>
      </c>
      <c r="E36" s="97">
        <f>9/E$25*B$27</f>
        <v>5.9504132231405</v>
      </c>
    </row>
    <row r="37" spans="4:5">
      <c r="D37" t="s">
        <v>53</v>
      </c>
      <c r="E37" s="97">
        <f>E36*3</f>
        <v>17.8512396694215</v>
      </c>
    </row>
    <row r="38" spans="4:5">
      <c r="D38" t="s">
        <v>54</v>
      </c>
      <c r="E38" s="97">
        <f>E37*2</f>
        <v>35.702479338843</v>
      </c>
    </row>
    <row r="39" spans="4:5">
      <c r="D39" t="s">
        <v>55</v>
      </c>
      <c r="E39" s="97">
        <f t="shared" ref="E39:E43" si="2">E38*2</f>
        <v>71.404958677686</v>
      </c>
    </row>
    <row r="40" spans="4:5">
      <c r="D40" t="s">
        <v>56</v>
      </c>
      <c r="E40" s="97">
        <f t="shared" si="2"/>
        <v>142.809917355372</v>
      </c>
    </row>
    <row r="41" spans="4:5">
      <c r="D41" t="s">
        <v>57</v>
      </c>
      <c r="E41" s="97">
        <f t="shared" si="2"/>
        <v>285.619834710744</v>
      </c>
    </row>
    <row r="42" spans="4:5">
      <c r="D42" t="s">
        <v>58</v>
      </c>
      <c r="E42" s="97">
        <f t="shared" si="2"/>
        <v>571.239669421488</v>
      </c>
    </row>
    <row r="43" spans="4:5">
      <c r="D43" t="s">
        <v>59</v>
      </c>
      <c r="E43" s="97">
        <f t="shared" si="2"/>
        <v>1142.47933884298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C5" sqref="C5"/>
    </sheetView>
  </sheetViews>
  <sheetFormatPr defaultColWidth="9" defaultRowHeight="13.8"/>
  <cols>
    <col min="1" max="1" width="18.3333333333333" customWidth="1"/>
    <col min="2" max="2" width="9.55555555555556" customWidth="1"/>
    <col min="3" max="3" width="9.33333333333333" customWidth="1"/>
    <col min="4" max="4" width="7.55555555555556" customWidth="1"/>
    <col min="9" max="9" width="11.2222222222222" customWidth="1"/>
    <col min="15" max="15" width="27.1111111111111" customWidth="1"/>
  </cols>
  <sheetData>
    <row r="1" spans="1:13">
      <c r="A1" t="s">
        <v>60</v>
      </c>
      <c r="B1" s="11">
        <v>18</v>
      </c>
      <c r="G1" s="92" t="s">
        <v>61</v>
      </c>
      <c r="H1" s="93"/>
      <c r="I1" s="98"/>
      <c r="K1" s="99" t="s">
        <v>62</v>
      </c>
      <c r="L1" s="99"/>
      <c r="M1" s="99"/>
    </row>
    <row r="2" spans="1:13">
      <c r="A2" t="s">
        <v>63</v>
      </c>
      <c r="B2" s="11">
        <v>5</v>
      </c>
      <c r="G2" s="94" t="s">
        <v>64</v>
      </c>
      <c r="H2" s="94" t="s">
        <v>65</v>
      </c>
      <c r="I2" s="94" t="s">
        <v>66</v>
      </c>
      <c r="K2" s="94" t="s">
        <v>67</v>
      </c>
      <c r="L2" s="94" t="s">
        <v>68</v>
      </c>
      <c r="M2" s="94" t="s">
        <v>69</v>
      </c>
    </row>
    <row r="3" spans="1:13">
      <c r="A3" t="s">
        <v>70</v>
      </c>
      <c r="B3" s="11">
        <v>15</v>
      </c>
      <c r="G3" s="94">
        <v>80</v>
      </c>
      <c r="H3" s="94">
        <v>6</v>
      </c>
      <c r="I3" s="100">
        <f>G3/H3</f>
        <v>13.3333333333333</v>
      </c>
      <c r="K3" s="94" t="s">
        <v>71</v>
      </c>
      <c r="L3" s="101">
        <f>2/3</f>
        <v>0.666666666666667</v>
      </c>
      <c r="M3" s="94">
        <f>B9</f>
        <v>83.3333333333333</v>
      </c>
    </row>
    <row r="4" spans="1:13">
      <c r="A4" t="s">
        <v>72</v>
      </c>
      <c r="B4" s="95">
        <f>B5*B1</f>
        <v>5040</v>
      </c>
      <c r="G4" s="94">
        <v>500</v>
      </c>
      <c r="H4" s="94">
        <v>30</v>
      </c>
      <c r="I4" s="100">
        <f t="shared" ref="I4:I8" si="0">G4/H4</f>
        <v>16.6666666666667</v>
      </c>
      <c r="K4" s="94" t="s">
        <v>73</v>
      </c>
      <c r="L4" s="101">
        <f>1/3</f>
        <v>0.333333333333333</v>
      </c>
      <c r="M4" s="94">
        <f>B10</f>
        <v>250</v>
      </c>
    </row>
    <row r="5" spans="1:13">
      <c r="A5" t="s">
        <v>74</v>
      </c>
      <c r="B5" s="95">
        <f>VLOOKUP(B2,关卡产出!A:I,6,FALSE)/B3</f>
        <v>280</v>
      </c>
      <c r="G5" s="94">
        <v>1200</v>
      </c>
      <c r="H5" s="94">
        <v>68</v>
      </c>
      <c r="I5" s="100">
        <f t="shared" si="0"/>
        <v>17.6470588235294</v>
      </c>
      <c r="K5" s="102" t="s">
        <v>75</v>
      </c>
      <c r="L5" s="94"/>
      <c r="M5" s="94">
        <f>L3*M3+L4*M4</f>
        <v>138.888888888889</v>
      </c>
    </row>
    <row r="6" spans="7:13">
      <c r="G6" s="94">
        <v>2500</v>
      </c>
      <c r="H6" s="94">
        <v>128</v>
      </c>
      <c r="I6" s="100">
        <f t="shared" si="0"/>
        <v>19.53125</v>
      </c>
      <c r="K6" s="94" t="s">
        <v>76</v>
      </c>
      <c r="L6" s="94"/>
      <c r="M6" s="94">
        <v>80</v>
      </c>
    </row>
    <row r="7" spans="1:13">
      <c r="A7" t="s">
        <v>77</v>
      </c>
      <c r="B7" t="s">
        <v>69</v>
      </c>
      <c r="C7" t="s">
        <v>78</v>
      </c>
      <c r="D7" t="s">
        <v>79</v>
      </c>
      <c r="G7" s="94">
        <v>6500</v>
      </c>
      <c r="H7" s="94">
        <v>328</v>
      </c>
      <c r="I7" s="100">
        <f t="shared" si="0"/>
        <v>19.8170731707317</v>
      </c>
      <c r="K7" s="94" t="s">
        <v>80</v>
      </c>
      <c r="L7" s="94"/>
      <c r="M7" s="101">
        <f>1-M6/M5</f>
        <v>0.424</v>
      </c>
    </row>
    <row r="8" spans="1:9">
      <c r="A8" t="s">
        <v>81</v>
      </c>
      <c r="B8" s="96">
        <f>C8/B5</f>
        <v>7.14285714285714</v>
      </c>
      <c r="C8" s="11">
        <v>2000</v>
      </c>
      <c r="D8" s="96">
        <f>C8/B4</f>
        <v>0.396825396825397</v>
      </c>
      <c r="G8" s="94">
        <v>14000</v>
      </c>
      <c r="H8" s="94">
        <v>648</v>
      </c>
      <c r="I8" s="100">
        <f t="shared" si="0"/>
        <v>21.6049382716049</v>
      </c>
    </row>
    <row r="9" spans="1:16">
      <c r="A9" t="s">
        <v>82</v>
      </c>
      <c r="B9" s="97">
        <f>B10/3</f>
        <v>83.3333333333333</v>
      </c>
      <c r="C9" s="97">
        <f>B9*$B$5</f>
        <v>23333.3333333333</v>
      </c>
      <c r="D9" s="97">
        <f>B9/$B$1</f>
        <v>4.62962962962963</v>
      </c>
      <c r="K9" s="99" t="s">
        <v>83</v>
      </c>
      <c r="L9" s="99"/>
      <c r="M9" s="99"/>
      <c r="O9" t="s">
        <v>84</v>
      </c>
      <c r="P9" s="11">
        <f>B21/10</f>
        <v>268</v>
      </c>
    </row>
    <row r="10" spans="1:16">
      <c r="A10" t="s">
        <v>85</v>
      </c>
      <c r="B10" s="11">
        <v>250</v>
      </c>
      <c r="C10" s="97">
        <f t="shared" ref="C10:C21" si="1">B10*$B$5</f>
        <v>70000</v>
      </c>
      <c r="D10" s="97">
        <f t="shared" ref="D10:D21" si="2">B10/$B$1</f>
        <v>13.8888888888889</v>
      </c>
      <c r="G10" s="92" t="s">
        <v>86</v>
      </c>
      <c r="H10" s="93"/>
      <c r="I10" s="98"/>
      <c r="K10" s="94" t="s">
        <v>67</v>
      </c>
      <c r="L10" s="94" t="s">
        <v>68</v>
      </c>
      <c r="M10" s="94" t="s">
        <v>69</v>
      </c>
      <c r="O10" t="s">
        <v>87</v>
      </c>
      <c r="P10" s="97">
        <f>B12*数据模拟!B27/M14*P9</f>
        <v>15561.2903225806</v>
      </c>
    </row>
    <row r="11" spans="1:16">
      <c r="A11" t="s">
        <v>88</v>
      </c>
      <c r="B11">
        <f>B10*3</f>
        <v>750</v>
      </c>
      <c r="C11" s="97">
        <f t="shared" si="1"/>
        <v>210000</v>
      </c>
      <c r="D11" s="97">
        <f t="shared" si="2"/>
        <v>41.6666666666667</v>
      </c>
      <c r="G11" s="94" t="s">
        <v>64</v>
      </c>
      <c r="H11" s="94" t="s">
        <v>89</v>
      </c>
      <c r="I11" s="94" t="s">
        <v>90</v>
      </c>
      <c r="K11" s="94" t="s">
        <v>73</v>
      </c>
      <c r="L11" s="101">
        <v>0.605</v>
      </c>
      <c r="M11" s="94">
        <f>B10</f>
        <v>250</v>
      </c>
      <c r="O11" t="s">
        <v>91</v>
      </c>
      <c r="P11" s="97">
        <f>P10/B$1</f>
        <v>864.516129032258</v>
      </c>
    </row>
    <row r="12" spans="1:16">
      <c r="A12" t="s">
        <v>92</v>
      </c>
      <c r="B12">
        <f>B11*3</f>
        <v>2250</v>
      </c>
      <c r="C12" s="97">
        <f t="shared" si="1"/>
        <v>630000</v>
      </c>
      <c r="D12" s="97">
        <f t="shared" si="2"/>
        <v>125</v>
      </c>
      <c r="G12" s="94">
        <v>30</v>
      </c>
      <c r="H12" s="94" t="s">
        <v>93</v>
      </c>
      <c r="I12" s="94" t="s">
        <v>94</v>
      </c>
      <c r="K12" s="94" t="s">
        <v>95</v>
      </c>
      <c r="L12" s="103">
        <v>0.28</v>
      </c>
      <c r="M12" s="94">
        <f>B11</f>
        <v>750</v>
      </c>
      <c r="O12" t="s">
        <v>96</v>
      </c>
      <c r="P12" s="97">
        <f>B15*数据模拟!B27/M14*P9</f>
        <v>124490.322580645</v>
      </c>
    </row>
    <row r="13" spans="1:16">
      <c r="A13" t="s">
        <v>97</v>
      </c>
      <c r="B13">
        <f t="shared" ref="B13:B18" si="3">B12*2</f>
        <v>4500</v>
      </c>
      <c r="C13" s="97">
        <f t="shared" si="1"/>
        <v>1260000</v>
      </c>
      <c r="D13" s="97">
        <f t="shared" si="2"/>
        <v>250</v>
      </c>
      <c r="G13" s="94">
        <v>90</v>
      </c>
      <c r="H13" s="94" t="s">
        <v>98</v>
      </c>
      <c r="I13" s="94" t="s">
        <v>94</v>
      </c>
      <c r="K13" s="94" t="s">
        <v>99</v>
      </c>
      <c r="L13" s="101">
        <v>0.115</v>
      </c>
      <c r="M13" s="94">
        <f>B12</f>
        <v>2250</v>
      </c>
      <c r="O13" t="s">
        <v>100</v>
      </c>
      <c r="P13" s="97">
        <f>P12/B$1</f>
        <v>6916.12903225806</v>
      </c>
    </row>
    <row r="14" spans="1:16">
      <c r="A14" t="s">
        <v>101</v>
      </c>
      <c r="B14">
        <f t="shared" si="3"/>
        <v>9000</v>
      </c>
      <c r="C14" s="97">
        <f t="shared" si="1"/>
        <v>2520000</v>
      </c>
      <c r="D14" s="97">
        <f t="shared" si="2"/>
        <v>500</v>
      </c>
      <c r="G14" s="94">
        <v>288</v>
      </c>
      <c r="H14" s="94" t="s">
        <v>102</v>
      </c>
      <c r="I14" s="94" t="s">
        <v>103</v>
      </c>
      <c r="K14" s="102" t="s">
        <v>75</v>
      </c>
      <c r="L14" s="94"/>
      <c r="M14" s="94">
        <f>L13*M13+L12*M12+L11*M11</f>
        <v>620</v>
      </c>
      <c r="O14" t="s">
        <v>104</v>
      </c>
      <c r="P14" s="97">
        <f>B18*数据模拟!B27/M14*P9</f>
        <v>995922.580645161</v>
      </c>
    </row>
    <row r="15" spans="1:16">
      <c r="A15" t="s">
        <v>105</v>
      </c>
      <c r="B15">
        <f t="shared" si="3"/>
        <v>18000</v>
      </c>
      <c r="C15" s="97">
        <f t="shared" si="1"/>
        <v>5040000</v>
      </c>
      <c r="D15" s="97">
        <f t="shared" si="2"/>
        <v>1000</v>
      </c>
      <c r="K15" s="94" t="s">
        <v>76</v>
      </c>
      <c r="L15" s="94"/>
      <c r="M15" s="94">
        <v>300</v>
      </c>
      <c r="O15" t="s">
        <v>106</v>
      </c>
      <c r="P15" s="97">
        <f>P14/B$1</f>
        <v>55329.0322580645</v>
      </c>
    </row>
    <row r="16" spans="1:13">
      <c r="A16" t="s">
        <v>107</v>
      </c>
      <c r="B16">
        <f t="shared" si="3"/>
        <v>36000</v>
      </c>
      <c r="C16" s="97">
        <f t="shared" si="1"/>
        <v>10080000</v>
      </c>
      <c r="D16" s="97">
        <f t="shared" si="2"/>
        <v>2000</v>
      </c>
      <c r="K16" s="94" t="s">
        <v>80</v>
      </c>
      <c r="L16" s="94"/>
      <c r="M16" s="101">
        <f>1-M15/M14</f>
        <v>0.516129032258065</v>
      </c>
    </row>
    <row r="17" spans="1:13">
      <c r="A17" t="s">
        <v>108</v>
      </c>
      <c r="B17">
        <f t="shared" si="3"/>
        <v>72000</v>
      </c>
      <c r="C17" s="97">
        <f t="shared" si="1"/>
        <v>20160000</v>
      </c>
      <c r="D17" s="97">
        <f t="shared" si="2"/>
        <v>4000</v>
      </c>
      <c r="K17" s="94" t="s">
        <v>109</v>
      </c>
      <c r="L17" s="94"/>
      <c r="M17" s="94">
        <v>268</v>
      </c>
    </row>
    <row r="18" spans="1:13">
      <c r="A18" t="s">
        <v>110</v>
      </c>
      <c r="B18">
        <f t="shared" si="3"/>
        <v>144000</v>
      </c>
      <c r="C18" s="97">
        <f t="shared" si="1"/>
        <v>40320000</v>
      </c>
      <c r="D18" s="97">
        <f t="shared" si="2"/>
        <v>8000</v>
      </c>
      <c r="K18" s="94" t="s">
        <v>111</v>
      </c>
      <c r="L18" s="94"/>
      <c r="M18" s="101">
        <f>1-M17/M14</f>
        <v>0.567741935483871</v>
      </c>
    </row>
    <row r="19" spans="1:4">
      <c r="A19" t="s">
        <v>112</v>
      </c>
      <c r="B19" s="11">
        <v>80</v>
      </c>
      <c r="C19" s="97">
        <f t="shared" si="1"/>
        <v>22400</v>
      </c>
      <c r="D19" s="97">
        <f t="shared" si="2"/>
        <v>4.44444444444444</v>
      </c>
    </row>
    <row r="20" spans="1:4">
      <c r="A20" t="s">
        <v>113</v>
      </c>
      <c r="B20" s="11">
        <v>300</v>
      </c>
      <c r="C20" s="97">
        <f t="shared" si="1"/>
        <v>84000</v>
      </c>
      <c r="D20" s="97">
        <f t="shared" si="2"/>
        <v>16.6666666666667</v>
      </c>
    </row>
    <row r="21" spans="1:4">
      <c r="A21" t="s">
        <v>114</v>
      </c>
      <c r="B21" s="11">
        <v>2680</v>
      </c>
      <c r="C21" s="97">
        <f t="shared" si="1"/>
        <v>750400</v>
      </c>
      <c r="D21" s="97">
        <f t="shared" si="2"/>
        <v>148.888888888889</v>
      </c>
    </row>
  </sheetData>
  <mergeCells count="4">
    <mergeCell ref="G1:I1"/>
    <mergeCell ref="K1:M1"/>
    <mergeCell ref="K9:M9"/>
    <mergeCell ref="G10:I1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4"/>
  <sheetViews>
    <sheetView tabSelected="1" zoomScale="145" zoomScaleNormal="145" workbookViewId="0">
      <selection activeCell="J10" sqref="J10"/>
    </sheetView>
  </sheetViews>
  <sheetFormatPr defaultColWidth="9" defaultRowHeight="13.8"/>
  <cols>
    <col min="4" max="4" width="9.55555555555556" customWidth="1"/>
    <col min="5" max="7" width="9.11111111111111" customWidth="1"/>
    <col min="12" max="15" width="6.22222222222222" customWidth="1"/>
    <col min="16" max="19" width="5.55555555555556" customWidth="1"/>
    <col min="20" max="20" width="5.77777777777778" customWidth="1"/>
    <col min="21" max="21" width="7.11111111111111" customWidth="1"/>
    <col min="22" max="22" width="7.77777777777778" customWidth="1"/>
    <col min="23" max="23" width="8" customWidth="1"/>
    <col min="24" max="24" width="8.66666666666667" customWidth="1"/>
    <col min="25" max="25" width="8.88888888888889" customWidth="1"/>
    <col min="26" max="26" width="10.5555555555556" customWidth="1"/>
    <col min="27" max="27" width="11.4444444444444" customWidth="1"/>
    <col min="28" max="28" width="10" customWidth="1"/>
    <col min="29" max="46" width="8.88888888888889" customWidth="1"/>
    <col min="47" max="47" width="10.6666666666667" customWidth="1"/>
    <col min="48" max="48" width="11.2222222222222" customWidth="1"/>
    <col min="49" max="49" width="8.88888888888889" customWidth="1"/>
    <col min="51" max="51" width="11.1111111111111" customWidth="1"/>
  </cols>
  <sheetData>
    <row r="1" spans="1:48">
      <c r="A1" s="14"/>
      <c r="B1" s="15"/>
      <c r="C1" s="15"/>
      <c r="D1" s="15"/>
      <c r="E1" s="16"/>
      <c r="L1" s="30" t="s">
        <v>115</v>
      </c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67" t="s">
        <v>116</v>
      </c>
      <c r="Z1" s="68"/>
      <c r="AA1" s="68"/>
      <c r="AB1" s="69"/>
      <c r="AD1" s="70" t="s">
        <v>117</v>
      </c>
      <c r="AE1" s="71"/>
      <c r="AF1" s="71"/>
      <c r="AG1" s="71"/>
      <c r="AH1" s="71"/>
      <c r="AI1" s="71"/>
      <c r="AJ1" s="71"/>
      <c r="AK1" s="71"/>
      <c r="AM1" s="70" t="s">
        <v>118</v>
      </c>
      <c r="AN1" s="70"/>
      <c r="AO1" s="70"/>
      <c r="AP1" s="70"/>
      <c r="AQ1" s="70"/>
      <c r="AR1" s="70"/>
      <c r="AS1" s="70"/>
      <c r="AT1" s="70"/>
      <c r="AU1" s="70"/>
      <c r="AV1" s="70"/>
    </row>
    <row r="2" customHeight="1" spans="1:51">
      <c r="A2" s="17"/>
      <c r="B2" s="18" t="s">
        <v>119</v>
      </c>
      <c r="C2" s="18"/>
      <c r="D2" s="19" t="s">
        <v>120</v>
      </c>
      <c r="E2" s="20"/>
      <c r="I2" s="31"/>
      <c r="J2" s="3" t="s">
        <v>121</v>
      </c>
      <c r="K2" s="5" t="s">
        <v>122</v>
      </c>
      <c r="L2" s="32" t="s">
        <v>123</v>
      </c>
      <c r="M2" s="33"/>
      <c r="N2" s="33"/>
      <c r="O2" s="33"/>
      <c r="P2" s="34" t="s">
        <v>124</v>
      </c>
      <c r="Q2" s="34"/>
      <c r="R2" s="34"/>
      <c r="S2" s="34"/>
      <c r="T2" s="55" t="s">
        <v>125</v>
      </c>
      <c r="U2" s="56" t="s">
        <v>126</v>
      </c>
      <c r="V2" s="56"/>
      <c r="W2" s="57" t="s">
        <v>127</v>
      </c>
      <c r="X2" s="58"/>
      <c r="Y2" s="72" t="s">
        <v>128</v>
      </c>
      <c r="Z2" s="55" t="s">
        <v>129</v>
      </c>
      <c r="AA2" s="73" t="s">
        <v>130</v>
      </c>
      <c r="AB2" s="74" t="s">
        <v>131</v>
      </c>
      <c r="AD2" s="75" t="s">
        <v>132</v>
      </c>
      <c r="AE2" s="75"/>
      <c r="AF2" s="76" t="s">
        <v>133</v>
      </c>
      <c r="AG2" s="76"/>
      <c r="AH2" s="83" t="s">
        <v>134</v>
      </c>
      <c r="AI2" s="83"/>
      <c r="AJ2" s="83"/>
      <c r="AK2" s="83"/>
      <c r="AM2" s="84" t="s">
        <v>135</v>
      </c>
      <c r="AN2" s="84"/>
      <c r="AO2" s="84"/>
      <c r="AP2" s="84"/>
      <c r="AQ2" s="87" t="s">
        <v>136</v>
      </c>
      <c r="AR2" s="87"/>
      <c r="AS2" s="87"/>
      <c r="AT2" s="87"/>
      <c r="AU2" s="88" t="s">
        <v>137</v>
      </c>
      <c r="AV2" s="83" t="s">
        <v>138</v>
      </c>
      <c r="AX2" s="88" t="s">
        <v>139</v>
      </c>
      <c r="AY2" s="83" t="s">
        <v>140</v>
      </c>
    </row>
    <row r="3" ht="15.6" spans="1:51">
      <c r="A3" s="17" t="s">
        <v>141</v>
      </c>
      <c r="B3" s="21" t="s">
        <v>142</v>
      </c>
      <c r="C3" s="21" t="s">
        <v>143</v>
      </c>
      <c r="D3" s="21" t="s">
        <v>144</v>
      </c>
      <c r="E3" s="22" t="s">
        <v>145</v>
      </c>
      <c r="F3" s="23" t="s">
        <v>146</v>
      </c>
      <c r="G3" s="23" t="s">
        <v>147</v>
      </c>
      <c r="H3" s="24" t="s">
        <v>148</v>
      </c>
      <c r="I3" s="4"/>
      <c r="J3" s="3"/>
      <c r="K3" s="5"/>
      <c r="L3" s="35" t="s">
        <v>149</v>
      </c>
      <c r="M3" s="36" t="s">
        <v>150</v>
      </c>
      <c r="N3" s="36" t="s">
        <v>151</v>
      </c>
      <c r="O3" s="36" t="s">
        <v>152</v>
      </c>
      <c r="P3" s="37" t="s">
        <v>149</v>
      </c>
      <c r="Q3" s="37" t="s">
        <v>150</v>
      </c>
      <c r="R3" s="37" t="s">
        <v>151</v>
      </c>
      <c r="S3" s="37" t="s">
        <v>152</v>
      </c>
      <c r="T3" s="55"/>
      <c r="U3" s="59" t="s">
        <v>153</v>
      </c>
      <c r="V3" s="59" t="s">
        <v>154</v>
      </c>
      <c r="W3" s="60" t="s">
        <v>153</v>
      </c>
      <c r="X3" s="61" t="s">
        <v>154</v>
      </c>
      <c r="Y3" s="72"/>
      <c r="Z3" s="55"/>
      <c r="AA3" s="73"/>
      <c r="AB3" s="74"/>
      <c r="AD3" s="75" t="s">
        <v>142</v>
      </c>
      <c r="AE3" s="75" t="s">
        <v>143</v>
      </c>
      <c r="AF3" s="76" t="s">
        <v>142</v>
      </c>
      <c r="AG3" s="76" t="s">
        <v>143</v>
      </c>
      <c r="AH3" s="83" t="s">
        <v>142</v>
      </c>
      <c r="AI3" s="83" t="s">
        <v>143</v>
      </c>
      <c r="AJ3" s="83" t="s">
        <v>155</v>
      </c>
      <c r="AK3" s="83" t="s">
        <v>156</v>
      </c>
      <c r="AM3" s="85" t="s">
        <v>149</v>
      </c>
      <c r="AN3" s="85" t="s">
        <v>150</v>
      </c>
      <c r="AO3" s="85" t="s">
        <v>151</v>
      </c>
      <c r="AP3" s="85" t="s">
        <v>152</v>
      </c>
      <c r="AQ3" s="89" t="s">
        <v>149</v>
      </c>
      <c r="AR3" s="89" t="s">
        <v>150</v>
      </c>
      <c r="AS3" s="89" t="s">
        <v>151</v>
      </c>
      <c r="AT3" s="89" t="s">
        <v>152</v>
      </c>
      <c r="AU3" s="88"/>
      <c r="AV3" s="83"/>
      <c r="AX3" s="88"/>
      <c r="AY3" s="83"/>
    </row>
    <row r="4" ht="15.6" spans="1:52">
      <c r="A4" s="17">
        <v>1</v>
      </c>
      <c r="B4" s="21">
        <f ca="1">AD4+AF4+AH4</f>
        <v>31</v>
      </c>
      <c r="C4" s="21">
        <f ca="1">AE4+AG4+AI4</f>
        <v>280</v>
      </c>
      <c r="D4" s="21">
        <f ca="1">ROUND(B4*(1+W4+U4),0)</f>
        <v>31</v>
      </c>
      <c r="E4" s="22">
        <f ca="1">ROUND((C4+AJ4*10+AK4)*(1+V4+X4),0)</f>
        <v>300</v>
      </c>
      <c r="F4" s="25">
        <f ca="1" t="shared" ref="F4:F18" si="0">G4</f>
        <v>62</v>
      </c>
      <c r="G4" s="25">
        <f ca="1" t="shared" ref="G4:G18" si="1">D4*2</f>
        <v>62</v>
      </c>
      <c r="H4" s="26">
        <f ca="1" t="shared" ref="H4:H18" si="2">D4</f>
        <v>31</v>
      </c>
      <c r="J4">
        <v>0.2</v>
      </c>
      <c r="K4">
        <v>3</v>
      </c>
      <c r="L4" s="38" t="s">
        <v>157</v>
      </c>
      <c r="M4" s="21" t="s">
        <v>157</v>
      </c>
      <c r="N4" s="21" t="s">
        <v>157</v>
      </c>
      <c r="O4" s="21" t="s">
        <v>157</v>
      </c>
      <c r="P4" s="39">
        <v>1</v>
      </c>
      <c r="Q4" s="39">
        <v>1</v>
      </c>
      <c r="R4" s="39">
        <v>1</v>
      </c>
      <c r="S4" s="39">
        <v>1</v>
      </c>
      <c r="T4" s="39">
        <v>5</v>
      </c>
      <c r="U4" s="21"/>
      <c r="V4" s="21"/>
      <c r="W4" s="21"/>
      <c r="X4" s="62"/>
      <c r="Y4" s="77">
        <f ca="1">MAX(AQ4+AR4+AS4+AT4-AX4,0)</f>
        <v>0</v>
      </c>
      <c r="Z4" s="78">
        <f ca="1">MAX(AU4+AV4-AY4,0)</f>
        <v>0</v>
      </c>
      <c r="AA4" s="21">
        <f ca="1">MAX(ROUND(Y4*物品定价!$C$8/(VLOOKUP(A4,关卡产出!$A:$I,6,FALSE)/物品定价!$B$3),0),0)</f>
        <v>0</v>
      </c>
      <c r="AB4" s="62">
        <f ca="1">MAX(ROUND(Z4/(VLOOKUP(A4,关卡产出!$A:$I,6,FALSE)/物品定价!$B$3),0),0)</f>
        <v>0</v>
      </c>
      <c r="AD4">
        <f>VLOOKUP(L4,装备!$B$3:$E$12,3,FALSE)+VLOOKUP(N4,装备!$B$3:$E$12,3,FALSE)</f>
        <v>20</v>
      </c>
      <c r="AE4">
        <f>VLOOKUP(M4,装备!$B$23:$E$42,4,FALSE)+VLOOKUP(O4,装备!$B$23:$E$42,4,FALSE)</f>
        <v>200</v>
      </c>
      <c r="AF4">
        <f>VLOOKUP(L4,装备!$B$3:$H$12,6,FALSE)*P4+VLOOKUP(N4,装备!$B$3:H$12,6,FALSE)*R4</f>
        <v>6</v>
      </c>
      <c r="AG4">
        <f>VLOOKUP(M4,装备!$B$23:$H$42,7,FALSE)*Q4+VLOOKUP(O4,装备!$B$23:$H$42,7,FALSE)*S4</f>
        <v>60</v>
      </c>
      <c r="AH4">
        <f ca="1">SUM('天赋（不含大天赋）'!D$3:OFFSET('天赋（不含大天赋）'!D$3,$T4-1,0,1,1))</f>
        <v>5</v>
      </c>
      <c r="AI4">
        <f ca="1">SUM('天赋（不含大天赋）'!E$3:OFFSET('天赋（不含大天赋）'!E$3,$T4-1,0,1,1))</f>
        <v>20</v>
      </c>
      <c r="AJ4">
        <f ca="1">SUM('天赋（不含大天赋）'!F$3:OFFSET('天赋（不含大天赋）'!F$3,$T4-1,0,1,1))</f>
        <v>1</v>
      </c>
      <c r="AK4">
        <f ca="1">SUM('天赋（不含大天赋）'!G$3:OFFSET('天赋（不含大天赋）'!G$3,$T4-1,0,1,1))</f>
        <v>10</v>
      </c>
      <c r="AM4" t="str">
        <f>L4</f>
        <v>白</v>
      </c>
      <c r="AN4" t="str">
        <f t="shared" ref="AN4:AP4" si="3">M4</f>
        <v>白</v>
      </c>
      <c r="AO4" t="str">
        <f t="shared" si="3"/>
        <v>白</v>
      </c>
      <c r="AP4" t="str">
        <f t="shared" si="3"/>
        <v>白</v>
      </c>
      <c r="AQ4">
        <f ca="1">SUM(装备强化!$C$3:OFFSET(装备强化!$C$3,P4-1,0,1,1))</f>
        <v>0</v>
      </c>
      <c r="AR4">
        <f ca="1">SUM(装备强化!$C$3:OFFSET(装备强化!$C$3,Q4-1,0,1,1))</f>
        <v>0</v>
      </c>
      <c r="AS4">
        <f ca="1">SUM(装备强化!$C$3:OFFSET(装备强化!$C$3,R4-1,0,1,1))</f>
        <v>0</v>
      </c>
      <c r="AT4">
        <f ca="1">SUM(装备强化!$C$3:OFFSET(装备强化!$C$3,S4-1,0,1,1))</f>
        <v>0</v>
      </c>
      <c r="AU4" s="90">
        <f ca="1">SUM(装备强化!$B$3:OFFSET(装备强化!$B$3,P4-1,0,1,1))+SUM(装备强化!$B$3:OFFSET(装备强化!$B$3,Q4-1,0,1,1))+SUM(装备强化!$B$3:OFFSET(装备强化!$B$3,R4-1,0,1,1))+SUM(装备强化!$B$3:OFFSET(装备强化!$B$3,S4-1,0,1,1))</f>
        <v>0</v>
      </c>
      <c r="AV4" s="90">
        <f ca="1">SUM('天赋（不含大天赋）'!$C$3:OFFSET('天赋（不含大天赋）'!$C$2,T4,0,1,1))</f>
        <v>10000</v>
      </c>
      <c r="AX4" s="91">
        <f>ROUND((VLOOKUP(A4,关卡产出!$A:$I,8,FALSE)*数据模拟!$B$11*数据模拟!$B$8+VLOOKUP(A4,关卡产出!$A:$I,8,FALSE)*24+数据模拟!$E$6+数据模拟!$E$19)*J4,0)</f>
        <v>23</v>
      </c>
      <c r="AY4" s="90">
        <f>ROUND((数据模拟!$B$9*VLOOKUP(A4,关卡产出!$A:$I,2,FALSE)+数据模拟!$B$9*数据模拟!$B$12+VLOOKUP(A4,关卡产出!$A:$I,6,FALSE)*数据模拟!$B$11*数据模拟!$B$8+VLOOKUP(A4,关卡产出!$A:$I,6,FALSE)*24+数据模拟!$E$18)*J4,0)</f>
        <v>41240</v>
      </c>
      <c r="AZ4" s="91"/>
    </row>
    <row r="5" ht="15.6" spans="1:52">
      <c r="A5" s="17">
        <v>2</v>
      </c>
      <c r="B5" s="21">
        <f ca="1" t="shared" ref="B5:B18" si="4">AD5+AF5+AH5</f>
        <v>60</v>
      </c>
      <c r="C5" s="21">
        <f ca="1" t="shared" ref="C5:C18" si="5">AE5+AG5+AI5</f>
        <v>600</v>
      </c>
      <c r="D5" s="21">
        <f ca="1" t="shared" ref="D5:D18" si="6">ROUND(B5*(1+W5+U5),0)</f>
        <v>60</v>
      </c>
      <c r="E5" s="22">
        <f ca="1" t="shared" ref="E5:E18" si="7">ROUND((C5+AJ5*10+AK5)*(1+V5+X5),0)</f>
        <v>655</v>
      </c>
      <c r="F5" s="25">
        <f ca="1" t="shared" si="0"/>
        <v>120</v>
      </c>
      <c r="G5" s="25">
        <f ca="1" t="shared" si="1"/>
        <v>120</v>
      </c>
      <c r="H5" s="26">
        <f ca="1" t="shared" si="2"/>
        <v>60</v>
      </c>
      <c r="J5">
        <v>0.5</v>
      </c>
      <c r="K5">
        <v>5</v>
      </c>
      <c r="L5" s="40" t="s">
        <v>158</v>
      </c>
      <c r="M5" s="41" t="s">
        <v>158</v>
      </c>
      <c r="N5" s="21" t="s">
        <v>157</v>
      </c>
      <c r="O5" s="21" t="s">
        <v>157</v>
      </c>
      <c r="P5" s="39">
        <v>3</v>
      </c>
      <c r="Q5" s="39">
        <v>3</v>
      </c>
      <c r="R5" s="39">
        <v>3</v>
      </c>
      <c r="S5" s="39">
        <v>3</v>
      </c>
      <c r="T5" s="39">
        <v>10</v>
      </c>
      <c r="U5" s="21"/>
      <c r="V5" s="21"/>
      <c r="W5" s="21"/>
      <c r="X5" s="62"/>
      <c r="Y5" s="77">
        <f ca="1" t="shared" ref="Y5:Y18" si="8">MAX(AQ5+AR5+AS5+AT5-AX5,0)</f>
        <v>0</v>
      </c>
      <c r="Z5" s="78">
        <f ca="1" t="shared" ref="Z5:Z18" si="9">MAX(AU5+AV5-AY5,0)</f>
        <v>0</v>
      </c>
      <c r="AA5" s="21">
        <f ca="1">MAX(ROUND(Y5*物品定价!$C$8/(VLOOKUP(A5,关卡产出!$A:$I,6,FALSE)/物品定价!$B$3),0),0)</f>
        <v>0</v>
      </c>
      <c r="AB5" s="62">
        <f ca="1">MAX(ROUND(Z5/(VLOOKUP(A5,关卡产出!$A:$I,6,FALSE)/物品定价!$B$3),0),0)</f>
        <v>0</v>
      </c>
      <c r="AD5">
        <f>VLOOKUP(L5,装备!$B$3:$E$12,3,FALSE)+VLOOKUP(N5,装备!$B$3:$E$12,3,FALSE)</f>
        <v>30</v>
      </c>
      <c r="AE5">
        <f>VLOOKUP(M5,装备!$B$23:$E$42,4,FALSE)+VLOOKUP(O5,装备!$B$23:$E$42,4,FALSE)</f>
        <v>300</v>
      </c>
      <c r="AF5">
        <f>VLOOKUP(L5,装备!$B$3:$H$12,6,FALSE)*P5+VLOOKUP(N5,装备!$B$3:H$12,6,FALSE)*R5</f>
        <v>21</v>
      </c>
      <c r="AG5">
        <f>VLOOKUP(M5,装备!$B$23:$H$42,7,FALSE)*Q5+VLOOKUP(O5,装备!$B$23:$H$42,7,FALSE)*S5</f>
        <v>210</v>
      </c>
      <c r="AH5">
        <f ca="1">SUM('天赋（不含大天赋）'!D$3:OFFSET('天赋（不含大天赋）'!D$3,$T5-1,0,1,1))</f>
        <v>9</v>
      </c>
      <c r="AI5">
        <f ca="1">SUM('天赋（不含大天赋）'!E$3:OFFSET('天赋（不含大天赋）'!E$3,$T5-1,0,1,1))</f>
        <v>90</v>
      </c>
      <c r="AJ5">
        <f ca="1">SUM('天赋（不含大天赋）'!F$3:OFFSET('天赋（不含大天赋）'!F$3,$T5-1,0,1,1))</f>
        <v>3</v>
      </c>
      <c r="AK5">
        <f ca="1">SUM('天赋（不含大天赋）'!G$3:OFFSET('天赋（不含大天赋）'!G$3,$T5-1,0,1,1))</f>
        <v>25</v>
      </c>
      <c r="AM5" t="str">
        <f t="shared" ref="AM5:AM18" si="10">L5</f>
        <v>绿</v>
      </c>
      <c r="AN5" t="str">
        <f t="shared" ref="AN5:AN18" si="11">M5</f>
        <v>绿</v>
      </c>
      <c r="AO5" t="str">
        <f t="shared" ref="AO5:AO18" si="12">N5</f>
        <v>白</v>
      </c>
      <c r="AP5" t="str">
        <f t="shared" ref="AP5:AP18" si="13">O5</f>
        <v>白</v>
      </c>
      <c r="AQ5">
        <f ca="1">SUM(装备强化!$C$3:OFFSET(装备强化!$C$3,P5-1,0,1,1))</f>
        <v>3</v>
      </c>
      <c r="AR5">
        <f ca="1">SUM(装备强化!$C$3:OFFSET(装备强化!$C$3,Q5-1,0,1,1))</f>
        <v>3</v>
      </c>
      <c r="AS5">
        <f ca="1">SUM(装备强化!$C$3:OFFSET(装备强化!$C$3,R5-1,0,1,1))</f>
        <v>3</v>
      </c>
      <c r="AT5">
        <f ca="1">SUM(装备强化!$C$3:OFFSET(装备强化!$C$3,S5-1,0,1,1))</f>
        <v>3</v>
      </c>
      <c r="AU5" s="90">
        <f ca="1">SUM(装备强化!$B$3:OFFSET(装备强化!$B$3,P5-1,0,1,1))+SUM(装备强化!$B$3:OFFSET(装备强化!$B$3,Q5-1,0,1,1))+SUM(装备强化!$B$3:OFFSET(装备强化!$B$3,R5-1,0,1,1))+SUM(装备强化!$B$3:OFFSET(装备强化!$B$3,S5-1,0,1,1))</f>
        <v>8000</v>
      </c>
      <c r="AV5" s="90">
        <f ca="1">SUM('天赋（不含大天赋）'!$C$3:OFFSET('天赋（不含大天赋）'!$C$2,T5,0,1,1))</f>
        <v>40000</v>
      </c>
      <c r="AX5" s="91">
        <f>ROUND((VLOOKUP(A5,关卡产出!$A:$I,8,FALSE)*数据模拟!$B$11*数据模拟!$B$8+VLOOKUP(A5,关卡产出!$A:$I,8,FALSE)*24+数据模拟!$E$6+数据模拟!$E$19)*(J5-J4)+AX4,0)</f>
        <v>58</v>
      </c>
      <c r="AY5" s="90">
        <f>ROUND((数据模拟!$B$9*VLOOKUP(A5,关卡产出!$A:$I,2,FALSE)+数据模拟!$B$9*数据模拟!$B$12+VLOOKUP(A5,关卡产出!$A:$I,6,FALSE)*数据模拟!$B$11*数据模拟!$B$8+VLOOKUP(A5,关卡产出!$A:$I,6,FALSE)*24+数据模拟!$E$18)*(J5-J4)+AY4,0)</f>
        <v>107690</v>
      </c>
      <c r="AZ5" s="91"/>
    </row>
    <row r="6" ht="15.6" spans="1:52">
      <c r="A6" s="17">
        <v>3</v>
      </c>
      <c r="B6" s="21">
        <f ca="1" t="shared" si="4"/>
        <v>107</v>
      </c>
      <c r="C6" s="21">
        <f ca="1" t="shared" si="5"/>
        <v>1070</v>
      </c>
      <c r="D6" s="21">
        <f ca="1" t="shared" si="6"/>
        <v>107</v>
      </c>
      <c r="E6" s="22">
        <f ca="1" t="shared" si="7"/>
        <v>1275</v>
      </c>
      <c r="F6" s="25">
        <f ca="1" t="shared" si="0"/>
        <v>214</v>
      </c>
      <c r="G6" s="25">
        <f ca="1" t="shared" si="1"/>
        <v>214</v>
      </c>
      <c r="H6" s="26">
        <f ca="1" t="shared" si="2"/>
        <v>107</v>
      </c>
      <c r="J6">
        <v>1</v>
      </c>
      <c r="K6">
        <f>VLOOKUP(J6,玩家等级!I:J,2,FALSE)</f>
        <v>8</v>
      </c>
      <c r="L6" s="40" t="s">
        <v>158</v>
      </c>
      <c r="M6" s="41" t="s">
        <v>158</v>
      </c>
      <c r="N6" s="41" t="s">
        <v>158</v>
      </c>
      <c r="O6" s="41" t="s">
        <v>158</v>
      </c>
      <c r="P6" s="39">
        <v>6</v>
      </c>
      <c r="Q6" s="39">
        <v>6</v>
      </c>
      <c r="R6" s="39">
        <v>6</v>
      </c>
      <c r="S6" s="39">
        <v>6</v>
      </c>
      <c r="T6" s="39">
        <v>20</v>
      </c>
      <c r="U6" s="21"/>
      <c r="V6" s="21"/>
      <c r="W6" s="21"/>
      <c r="X6" s="62"/>
      <c r="Y6" s="77">
        <f ca="1" t="shared" si="8"/>
        <v>0</v>
      </c>
      <c r="Z6" s="78">
        <f ca="1" t="shared" si="9"/>
        <v>0</v>
      </c>
      <c r="AA6" s="21">
        <f ca="1">MAX(ROUND(Y6*物品定价!$C$8/(VLOOKUP(A6,关卡产出!$A:$I,6,FALSE)/物品定价!$B$3),0),0)</f>
        <v>0</v>
      </c>
      <c r="AB6" s="62">
        <f ca="1">MAX(ROUND(Z6/(VLOOKUP(A6,关卡产出!$A:$I,6,FALSE)/物品定价!$B$3),0),0)</f>
        <v>0</v>
      </c>
      <c r="AD6">
        <f>VLOOKUP(L6,装备!$B$3:$E$12,3,FALSE)+VLOOKUP(N6,装备!$B$3:$E$12,3,FALSE)</f>
        <v>40</v>
      </c>
      <c r="AE6">
        <f>VLOOKUP(M6,装备!$B$23:$E$42,4,FALSE)+VLOOKUP(O6,装备!$B$23:$E$42,4,FALSE)</f>
        <v>400</v>
      </c>
      <c r="AF6">
        <f>VLOOKUP(L6,装备!$B$3:$H$12,6,FALSE)*P6+VLOOKUP(N6,装备!$B$3:H$12,6,FALSE)*R6</f>
        <v>48</v>
      </c>
      <c r="AG6">
        <f>VLOOKUP(M6,装备!$B$23:$H$42,7,FALSE)*Q6+VLOOKUP(O6,装备!$B$23:$H$42,7,FALSE)*S6</f>
        <v>480</v>
      </c>
      <c r="AH6">
        <f ca="1">SUM('天赋（不含大天赋）'!D$3:OFFSET('天赋（不含大天赋）'!D$3,$T6-1,0,1,1))</f>
        <v>19</v>
      </c>
      <c r="AI6">
        <f ca="1">SUM('天赋（不含大天赋）'!E$3:OFFSET('天赋（不含大天赋）'!E$3,$T6-1,0,1,1))</f>
        <v>190</v>
      </c>
      <c r="AJ6">
        <f ca="1">SUM('天赋（不含大天赋）'!F$3:OFFSET('天赋（不含大天赋）'!F$3,$T6-1,0,1,1))</f>
        <v>11</v>
      </c>
      <c r="AK6">
        <f ca="1">SUM('天赋（不含大天赋）'!G$3:OFFSET('天赋（不含大天赋）'!G$3,$T6-1,0,1,1))</f>
        <v>95</v>
      </c>
      <c r="AM6" t="str">
        <f t="shared" si="10"/>
        <v>绿</v>
      </c>
      <c r="AN6" t="str">
        <f t="shared" si="11"/>
        <v>绿</v>
      </c>
      <c r="AO6" t="str">
        <f t="shared" si="12"/>
        <v>绿</v>
      </c>
      <c r="AP6" t="str">
        <f t="shared" si="13"/>
        <v>绿</v>
      </c>
      <c r="AQ6">
        <f ca="1">SUM(装备强化!$C$3:OFFSET(装备强化!$C$3,P6-1,0,1,1))</f>
        <v>15</v>
      </c>
      <c r="AR6">
        <f ca="1">SUM(装备强化!$C$3:OFFSET(装备强化!$C$3,Q6-1,0,1,1))</f>
        <v>15</v>
      </c>
      <c r="AS6">
        <f ca="1">SUM(装备强化!$C$3:OFFSET(装备强化!$C$3,R6-1,0,1,1))</f>
        <v>15</v>
      </c>
      <c r="AT6">
        <f ca="1">SUM(装备强化!$C$3:OFFSET(装备强化!$C$3,S6-1,0,1,1))</f>
        <v>15</v>
      </c>
      <c r="AU6" s="90">
        <f ca="1">SUM(装备强化!$B$3:OFFSET(装备强化!$B$3,P6-1,0,1,1))+SUM(装备强化!$B$3:OFFSET(装备强化!$B$3,Q6-1,0,1,1))+SUM(装备强化!$B$3:OFFSET(装备强化!$B$3,R6-1,0,1,1))+SUM(装备强化!$B$3:OFFSET(装备强化!$B$3,S6-1,0,1,1))</f>
        <v>36000</v>
      </c>
      <c r="AV6" s="90">
        <f ca="1">SUM('天赋（不含大天赋）'!$C$3:OFFSET('天赋（不含大天赋）'!$C$2,T6,0,1,1))</f>
        <v>175000</v>
      </c>
      <c r="AX6" s="91">
        <f>ROUND((VLOOKUP(A6,关卡产出!$A:$I,8,FALSE)*数据模拟!$B$11*数据模拟!$B$8+VLOOKUP(A6,关卡产出!$A:$I,8,FALSE)*24+数据模拟!$E$6+数据模拟!$E$19)*(J6-J5)+AX5,0)</f>
        <v>116</v>
      </c>
      <c r="AY6" s="90">
        <f>ROUND((数据模拟!$B$9*VLOOKUP(A6,关卡产出!$A:$I,2,FALSE)+数据模拟!$B$9*数据模拟!$B$12+VLOOKUP(A6,关卡产出!$A:$I,6,FALSE)*数据模拟!$B$11*数据模拟!$B$8+VLOOKUP(A6,关卡产出!$A:$I,6,FALSE)*24+数据模拟!$E$18)*(J6-J5)+AY5,0)</f>
        <v>226090</v>
      </c>
      <c r="AZ6" s="91"/>
    </row>
    <row r="7" ht="15.6" spans="1:52">
      <c r="A7" s="17">
        <v>4</v>
      </c>
      <c r="B7" s="21">
        <f ca="1" t="shared" si="4"/>
        <v>196</v>
      </c>
      <c r="C7" s="21">
        <f ca="1" t="shared" si="5"/>
        <v>1960</v>
      </c>
      <c r="D7" s="21">
        <f ca="1" t="shared" si="6"/>
        <v>216</v>
      </c>
      <c r="E7" s="22">
        <f ca="1" t="shared" si="7"/>
        <v>2750</v>
      </c>
      <c r="F7" s="25">
        <f ca="1" t="shared" si="0"/>
        <v>432</v>
      </c>
      <c r="G7" s="25">
        <f ca="1" t="shared" si="1"/>
        <v>432</v>
      </c>
      <c r="H7" s="26">
        <f ca="1" t="shared" si="2"/>
        <v>216</v>
      </c>
      <c r="J7">
        <v>2</v>
      </c>
      <c r="K7">
        <f>VLOOKUP(J7,玩家等级!I:J,2,FALSE)</f>
        <v>12</v>
      </c>
      <c r="L7" s="42" t="s">
        <v>159</v>
      </c>
      <c r="M7" s="43" t="s">
        <v>159</v>
      </c>
      <c r="N7" s="41" t="s">
        <v>158</v>
      </c>
      <c r="O7" s="41" t="s">
        <v>158</v>
      </c>
      <c r="P7" s="39">
        <v>10</v>
      </c>
      <c r="Q7" s="39">
        <v>10</v>
      </c>
      <c r="R7" s="39">
        <v>10</v>
      </c>
      <c r="S7" s="39">
        <v>10</v>
      </c>
      <c r="T7" s="39">
        <f t="shared" ref="T7:T18" si="14">ROUND(K7*4*0.9,0)</f>
        <v>43</v>
      </c>
      <c r="U7" s="63">
        <v>0.05</v>
      </c>
      <c r="V7" s="63">
        <v>0.05</v>
      </c>
      <c r="W7" s="63">
        <v>0.05</v>
      </c>
      <c r="X7" s="64">
        <v>0.05</v>
      </c>
      <c r="Y7" s="77">
        <f ca="1" t="shared" si="8"/>
        <v>0</v>
      </c>
      <c r="Z7" s="78">
        <f ca="1" t="shared" si="9"/>
        <v>502810</v>
      </c>
      <c r="AA7" s="21">
        <f ca="1">MAX(ROUND(Y7*物品定价!$C$8/(VLOOKUP(A7,关卡产出!$A:$I,6,FALSE)/物品定价!$B$3),0),0)</f>
        <v>0</v>
      </c>
      <c r="AB7" s="62">
        <f ca="1">MAX(ROUND(Z7/(VLOOKUP(A7,关卡产出!$A:$I,6,FALSE)/物品定价!$B$3),0),0)</f>
        <v>1934</v>
      </c>
      <c r="AD7">
        <f>VLOOKUP(L7,装备!$B$3:$E$12,3,FALSE)+VLOOKUP(N7,装备!$B$3:$E$12,3,FALSE)</f>
        <v>50</v>
      </c>
      <c r="AE7">
        <f>VLOOKUP(M7,装备!$B$23:$E$42,4,FALSE)+VLOOKUP(O7,装备!$B$23:$E$42,4,FALSE)</f>
        <v>500</v>
      </c>
      <c r="AF7">
        <f>VLOOKUP(L7,装备!$B$3:$H$12,6,FALSE)*P7+VLOOKUP(N7,装备!$B$3:H$12,6,FALSE)*R7</f>
        <v>90</v>
      </c>
      <c r="AG7">
        <f>VLOOKUP(M7,装备!$B$23:$H$42,7,FALSE)*Q7+VLOOKUP(O7,装备!$B$23:$H$42,7,FALSE)*S7</f>
        <v>900</v>
      </c>
      <c r="AH7">
        <f ca="1">SUM('天赋（不含大天赋）'!D$3:OFFSET('天赋（不含大天赋）'!D$3,$T7-1,0,1,1))</f>
        <v>56</v>
      </c>
      <c r="AI7">
        <f ca="1">SUM('天赋（不含大天赋）'!E$3:OFFSET('天赋（不含大天赋）'!E$3,$T7-1,0,1,1))</f>
        <v>560</v>
      </c>
      <c r="AJ7">
        <f ca="1">SUM('天赋（不含大天赋）'!F$3:OFFSET('天赋（不含大天赋）'!F$3,$T7-1,0,1,1))</f>
        <v>30</v>
      </c>
      <c r="AK7">
        <f ca="1">SUM('天赋（不含大天赋）'!G$3:OFFSET('天赋（不含大天赋）'!G$3,$T7-1,0,1,1))</f>
        <v>240</v>
      </c>
      <c r="AM7" t="str">
        <f t="shared" si="10"/>
        <v>蓝</v>
      </c>
      <c r="AN7" t="str">
        <f t="shared" si="11"/>
        <v>蓝</v>
      </c>
      <c r="AO7" t="str">
        <f t="shared" si="12"/>
        <v>绿</v>
      </c>
      <c r="AP7" t="str">
        <f t="shared" si="13"/>
        <v>绿</v>
      </c>
      <c r="AQ7">
        <f ca="1">SUM(装备强化!$C$3:OFFSET(装备强化!$C$3,P7-1,0,1,1))</f>
        <v>45</v>
      </c>
      <c r="AR7">
        <f ca="1">SUM(装备强化!$C$3:OFFSET(装备强化!$C$3,Q7-1,0,1,1))</f>
        <v>45</v>
      </c>
      <c r="AS7">
        <f ca="1">SUM(装备强化!$C$3:OFFSET(装备强化!$C$3,R7-1,0,1,1))</f>
        <v>45</v>
      </c>
      <c r="AT7">
        <f ca="1">SUM(装备强化!$C$3:OFFSET(装备强化!$C$3,S7-1,0,1,1))</f>
        <v>45</v>
      </c>
      <c r="AU7" s="90">
        <f ca="1">SUM(装备强化!$B$3:OFFSET(装备强化!$B$3,P7-1,0,1,1))+SUM(装备强化!$B$3:OFFSET(装备强化!$B$3,Q7-1,0,1,1))+SUM(装备强化!$B$3:OFFSET(装备强化!$B$3,R7-1,0,1,1))+SUM(装备强化!$B$3:OFFSET(装备强化!$B$3,S7-1,0,1,1))</f>
        <v>116000</v>
      </c>
      <c r="AV7" s="90">
        <f ca="1">SUM('天赋（不含大天赋）'!$C$3:OFFSET('天赋（不含大天赋）'!$C$2,T7,0,1,1))</f>
        <v>865000</v>
      </c>
      <c r="AX7" s="91">
        <f>ROUND((VLOOKUP(A7,关卡产出!$A:$I,8,FALSE)*数据模拟!$B$11*数据模拟!$B$8+VLOOKUP(A7,关卡产出!$A:$I,8,FALSE)*24+数据模拟!$E$6+数据模拟!$E$19)*(J7-J6)+AX6,0)</f>
        <v>233</v>
      </c>
      <c r="AY7" s="90">
        <f>ROUND((数据模拟!$B$9*VLOOKUP(A7,关卡产出!$A:$I,2,FALSE)+数据模拟!$B$9*数据模拟!$B$12+VLOOKUP(A7,关卡产出!$A:$I,6,FALSE)*数据模拟!$B$11*数据模拟!$B$8+VLOOKUP(A7,关卡产出!$A:$I,6,FALSE)*24+数据模拟!$E$18)*(J7-J6)+AY6,0)</f>
        <v>478190</v>
      </c>
      <c r="AZ7" s="91"/>
    </row>
    <row r="8" ht="15.6" spans="1:52">
      <c r="A8" s="17">
        <v>5</v>
      </c>
      <c r="B8" s="21">
        <f ca="1" t="shared" si="4"/>
        <v>290</v>
      </c>
      <c r="C8" s="21">
        <f ca="1" t="shared" si="5"/>
        <v>2900</v>
      </c>
      <c r="D8" s="21">
        <f ca="1" t="shared" si="6"/>
        <v>348</v>
      </c>
      <c r="E8" s="22">
        <f ca="1" t="shared" si="7"/>
        <v>4004</v>
      </c>
      <c r="F8" s="25">
        <f ca="1" t="shared" si="0"/>
        <v>696</v>
      </c>
      <c r="G8" s="25">
        <f ca="1" t="shared" si="1"/>
        <v>696</v>
      </c>
      <c r="H8" s="26">
        <f ca="1" t="shared" si="2"/>
        <v>348</v>
      </c>
      <c r="J8">
        <v>3</v>
      </c>
      <c r="K8">
        <f>VLOOKUP(J8,玩家等级!I:J,2,FALSE)</f>
        <v>15</v>
      </c>
      <c r="L8" s="42" t="s">
        <v>159</v>
      </c>
      <c r="M8" s="43" t="s">
        <v>159</v>
      </c>
      <c r="N8" s="43" t="s">
        <v>159</v>
      </c>
      <c r="O8" s="43" t="s">
        <v>159</v>
      </c>
      <c r="P8" s="39">
        <v>15</v>
      </c>
      <c r="Q8" s="39">
        <v>15</v>
      </c>
      <c r="R8" s="39">
        <v>15</v>
      </c>
      <c r="S8" s="39">
        <v>15</v>
      </c>
      <c r="T8" s="39">
        <f t="shared" si="14"/>
        <v>54</v>
      </c>
      <c r="U8" s="63">
        <v>0.1</v>
      </c>
      <c r="V8" s="63">
        <f t="shared" ref="V8" si="15">V7</f>
        <v>0.05</v>
      </c>
      <c r="W8" s="63">
        <v>0.1</v>
      </c>
      <c r="X8" s="64">
        <f t="shared" ref="X8" si="16">X7</f>
        <v>0.05</v>
      </c>
      <c r="Y8" s="77">
        <f ca="1" t="shared" si="8"/>
        <v>70</v>
      </c>
      <c r="Z8" s="78">
        <f ca="1" t="shared" si="9"/>
        <v>952410</v>
      </c>
      <c r="AA8" s="21">
        <f ca="1">MAX(ROUND(Y8*物品定价!$C$8/(VLOOKUP(A8,关卡产出!$A:$I,6,FALSE)/物品定价!$B$3),0),0)</f>
        <v>500</v>
      </c>
      <c r="AB8" s="62">
        <f ca="1">MAX(ROUND(Z8/(VLOOKUP(A8,关卡产出!$A:$I,6,FALSE)/物品定价!$B$3),0),0)</f>
        <v>3401</v>
      </c>
      <c r="AD8">
        <f>VLOOKUP(L8,装备!$B$3:$E$12,3,FALSE)+VLOOKUP(N8,装备!$B$3:$E$12,3,FALSE)</f>
        <v>60</v>
      </c>
      <c r="AE8">
        <f>VLOOKUP(M8,装备!$B$23:$E$42,4,FALSE)+VLOOKUP(O8,装备!$B$23:$E$42,4,FALSE)</f>
        <v>600</v>
      </c>
      <c r="AF8">
        <f>VLOOKUP(L8,装备!$B$3:$H$12,6,FALSE)*P8+VLOOKUP(N8,装备!$B$3:H$12,6,FALSE)*R8</f>
        <v>150</v>
      </c>
      <c r="AG8">
        <f>VLOOKUP(M8,装备!$B$23:$H$42,7,FALSE)*Q8+VLOOKUP(O8,装备!$B$23:$H$42,7,FALSE)*S8</f>
        <v>1500</v>
      </c>
      <c r="AH8">
        <f ca="1">SUM('天赋（不含大天赋）'!D$3:OFFSET('天赋（不含大天赋）'!D$3,$T8-1,0,1,1))</f>
        <v>80</v>
      </c>
      <c r="AI8">
        <f ca="1">SUM('天赋（不含大天赋）'!E$3:OFFSET('天赋（不含大天赋）'!E$3,$T8-1,0,1,1))</f>
        <v>800</v>
      </c>
      <c r="AJ8">
        <f ca="1">SUM('天赋（不含大天赋）'!F$3:OFFSET('天赋（不含大天赋）'!F$3,$T8-1,0,1,1))</f>
        <v>38</v>
      </c>
      <c r="AK8">
        <f ca="1">SUM('天赋（不含大天赋）'!G$3:OFFSET('天赋（不含大天赋）'!G$3,$T8-1,0,1,1))</f>
        <v>360</v>
      </c>
      <c r="AM8" t="str">
        <f t="shared" si="10"/>
        <v>蓝</v>
      </c>
      <c r="AN8" t="str">
        <f t="shared" si="11"/>
        <v>蓝</v>
      </c>
      <c r="AO8" t="str">
        <f t="shared" si="12"/>
        <v>蓝</v>
      </c>
      <c r="AP8" t="str">
        <f t="shared" si="13"/>
        <v>蓝</v>
      </c>
      <c r="AQ8">
        <f ca="1">SUM(装备强化!$C$3:OFFSET(装备强化!$C$3,P8-1,0,1,1))</f>
        <v>105</v>
      </c>
      <c r="AR8">
        <f ca="1">SUM(装备强化!$C$3:OFFSET(装备强化!$C$3,Q8-1,0,1,1))</f>
        <v>105</v>
      </c>
      <c r="AS8">
        <f ca="1">SUM(装备强化!$C$3:OFFSET(装备强化!$C$3,R8-1,0,1,1))</f>
        <v>105</v>
      </c>
      <c r="AT8">
        <f ca="1">SUM(装备强化!$C$3:OFFSET(装备强化!$C$3,S8-1,0,1,1))</f>
        <v>105</v>
      </c>
      <c r="AU8" s="90">
        <f ca="1">SUM(装备强化!$B$3:OFFSET(装备强化!$B$3,P8-1,0,1,1))+SUM(装备强化!$B$3:OFFSET(装备强化!$B$3,Q8-1,0,1,1))+SUM(装备强化!$B$3:OFFSET(装备强化!$B$3,R8-1,0,1,1))+SUM(装备强化!$B$3:OFFSET(装备强化!$B$3,S8-1,0,1,1))</f>
        <v>316000</v>
      </c>
      <c r="AV8" s="90">
        <f ca="1">SUM('天赋（不含大天赋）'!$C$3:OFFSET('天赋（不含大天赋）'!$C$2,T8,0,1,1))</f>
        <v>1382000</v>
      </c>
      <c r="AX8" s="91">
        <f>ROUND((VLOOKUP(A8,关卡产出!$A:$I,8,FALSE)*数据模拟!$B$11*数据模拟!$B$8+VLOOKUP(A8,关卡产出!$A:$I,8,FALSE)*24+数据模拟!$E$6+数据模拟!$E$19)*(J8-J7)+AX7,0)</f>
        <v>350</v>
      </c>
      <c r="AY8" s="90">
        <f>ROUND((数据模拟!$B$9*VLOOKUP(A8,关卡产出!$A:$I,2,FALSE)+数据模拟!$B$9*数据模拟!$B$12+VLOOKUP(A8,关卡产出!$A:$I,6,FALSE)*数据模拟!$B$11*数据模拟!$B$8+VLOOKUP(A8,关卡产出!$A:$I,6,FALSE)*24+数据模拟!$E$18)*(J8-J7)+AY7,0)</f>
        <v>745590</v>
      </c>
      <c r="AZ8" s="91"/>
    </row>
    <row r="9" ht="15.6" spans="1:52">
      <c r="A9" s="17">
        <v>6</v>
      </c>
      <c r="B9" s="21">
        <f ca="1" t="shared" si="4"/>
        <v>430</v>
      </c>
      <c r="C9" s="21">
        <f ca="1" t="shared" si="5"/>
        <v>4200</v>
      </c>
      <c r="D9" s="21">
        <f ca="1" t="shared" si="6"/>
        <v>516</v>
      </c>
      <c r="E9" s="22">
        <f ca="1" t="shared" si="7"/>
        <v>6264</v>
      </c>
      <c r="F9" s="25">
        <f ca="1" t="shared" si="0"/>
        <v>1032</v>
      </c>
      <c r="G9" s="25">
        <f ca="1" t="shared" si="1"/>
        <v>1032</v>
      </c>
      <c r="H9" s="26">
        <f ca="1" t="shared" si="2"/>
        <v>516</v>
      </c>
      <c r="J9">
        <v>4</v>
      </c>
      <c r="K9">
        <f>VLOOKUP(J9,玩家等级!I:J,2,FALSE)</f>
        <v>18</v>
      </c>
      <c r="L9" s="44" t="s">
        <v>160</v>
      </c>
      <c r="M9" s="45" t="s">
        <v>160</v>
      </c>
      <c r="N9" s="43" t="s">
        <v>159</v>
      </c>
      <c r="O9" s="43" t="s">
        <v>159</v>
      </c>
      <c r="P9" s="39">
        <v>20</v>
      </c>
      <c r="Q9" s="39">
        <v>20</v>
      </c>
      <c r="R9" s="39">
        <v>20</v>
      </c>
      <c r="S9" s="39">
        <v>20</v>
      </c>
      <c r="T9" s="39">
        <f t="shared" si="14"/>
        <v>65</v>
      </c>
      <c r="U9" s="63">
        <v>0.1</v>
      </c>
      <c r="V9" s="63">
        <v>0.1</v>
      </c>
      <c r="W9" s="63">
        <v>0.1</v>
      </c>
      <c r="X9" s="64">
        <v>0.1</v>
      </c>
      <c r="Y9" s="77">
        <f ca="1" t="shared" si="8"/>
        <v>293</v>
      </c>
      <c r="Z9" s="78">
        <f ca="1" t="shared" si="9"/>
        <v>1607710</v>
      </c>
      <c r="AA9" s="21">
        <f ca="1">MAX(ROUND(Y9*物品定价!$C$8/(VLOOKUP(A9,关卡产出!$A:$I,6,FALSE)/物品定价!$B$3),0),0)</f>
        <v>1953</v>
      </c>
      <c r="AB9" s="62">
        <f ca="1">MAX(ROUND(Z9/(VLOOKUP(A9,关卡产出!$A:$I,6,FALSE)/物品定价!$B$3),0),0)</f>
        <v>5359</v>
      </c>
      <c r="AD9">
        <f>VLOOKUP(L9,装备!$B$3:$E$12,3,FALSE)+VLOOKUP(N9,装备!$B$3:$E$12,3,FALSE)</f>
        <v>80</v>
      </c>
      <c r="AE9">
        <f>VLOOKUP(M9,装备!$B$23:$E$42,4,FALSE)+VLOOKUP(O9,装备!$B$23:$E$42,4,FALSE)</f>
        <v>800</v>
      </c>
      <c r="AF9">
        <f>VLOOKUP(L9,装备!$B$3:$H$12,6,FALSE)*P9+VLOOKUP(N9,装备!$B$3:H$12,6,FALSE)*R9</f>
        <v>240</v>
      </c>
      <c r="AG9">
        <f>VLOOKUP(M9,装备!$B$23:$H$42,7,FALSE)*Q9+VLOOKUP(O9,装备!$B$23:$H$42,7,FALSE)*S9</f>
        <v>2400</v>
      </c>
      <c r="AH9">
        <f ca="1">SUM('天赋（不含大天赋）'!D$3:OFFSET('天赋（不含大天赋）'!D$3,$T9-1,0,1,1))</f>
        <v>110</v>
      </c>
      <c r="AI9">
        <f ca="1">SUM('天赋（不含大天赋）'!E$3:OFFSET('天赋（不含大天赋）'!E$3,$T9-1,0,1,1))</f>
        <v>1000</v>
      </c>
      <c r="AJ9">
        <f ca="1">SUM('天赋（不含大天赋）'!F$3:OFFSET('天赋（不含大天赋）'!F$3,$T9-1,0,1,1))</f>
        <v>52</v>
      </c>
      <c r="AK9">
        <f ca="1">SUM('天赋（不含大天赋）'!G$3:OFFSET('天赋（不含大天赋）'!G$3,$T9-1,0,1,1))</f>
        <v>500</v>
      </c>
      <c r="AM9" t="str">
        <f t="shared" si="10"/>
        <v>紫</v>
      </c>
      <c r="AN9" t="str">
        <f t="shared" si="11"/>
        <v>紫</v>
      </c>
      <c r="AO9" t="str">
        <f t="shared" si="12"/>
        <v>蓝</v>
      </c>
      <c r="AP9" t="str">
        <f t="shared" si="13"/>
        <v>蓝</v>
      </c>
      <c r="AQ9">
        <f ca="1">SUM(装备强化!$C$3:OFFSET(装备强化!$C$3,P9-1,0,1,1))</f>
        <v>190</v>
      </c>
      <c r="AR9">
        <f ca="1">SUM(装备强化!$C$3:OFFSET(装备强化!$C$3,Q9-1,0,1,1))</f>
        <v>190</v>
      </c>
      <c r="AS9">
        <f ca="1">SUM(装备强化!$C$3:OFFSET(装备强化!$C$3,R9-1,0,1,1))</f>
        <v>190</v>
      </c>
      <c r="AT9">
        <f ca="1">SUM(装备强化!$C$3:OFFSET(装备强化!$C$3,S9-1,0,1,1))</f>
        <v>190</v>
      </c>
      <c r="AU9" s="90">
        <f ca="1">SUM(装备强化!$B$3:OFFSET(装备强化!$B$3,P9-1,0,1,1))+SUM(装备强化!$B$3:OFFSET(装备强化!$B$3,Q9-1,0,1,1))+SUM(装备强化!$B$3:OFFSET(装备强化!$B$3,R9-1,0,1,1))+SUM(装备强化!$B$3:OFFSET(装备强化!$B$3,S9-1,0,1,1))</f>
        <v>616000</v>
      </c>
      <c r="AV9" s="90">
        <f ca="1">SUM('天赋（不含大天赋）'!$C$3:OFFSET('天赋（不含大天赋）'!$C$2,T9,0,1,1))</f>
        <v>2020000</v>
      </c>
      <c r="AX9" s="91">
        <f>ROUND((VLOOKUP(A9,关卡产出!$A:$I,8,FALSE)*数据模拟!$B$11*数据模拟!$B$8+VLOOKUP(A9,关卡产出!$A:$I,8,FALSE)*24+数据模拟!$E$6+数据模拟!$E$19)*(J9-J8)+AX8,0)</f>
        <v>467</v>
      </c>
      <c r="AY9" s="90">
        <f>ROUND((数据模拟!$B$9*VLOOKUP(A9,关卡产出!$A:$I,2,FALSE)+数据模拟!$B$9*数据模拟!$B$12+VLOOKUP(A9,关卡产出!$A:$I,6,FALSE)*数据模拟!$B$11*数据模拟!$B$8+VLOOKUP(A9,关卡产出!$A:$I,6,FALSE)*24+数据模拟!$E$18)*(J9-J8)+AY8,0)</f>
        <v>1028290</v>
      </c>
      <c r="AZ9" s="91"/>
    </row>
    <row r="10" ht="15.6" spans="1:52">
      <c r="A10" s="17">
        <v>7</v>
      </c>
      <c r="B10" s="21">
        <f ca="1" t="shared" si="4"/>
        <v>570</v>
      </c>
      <c r="C10" s="21">
        <f ca="1" t="shared" si="5"/>
        <v>5700</v>
      </c>
      <c r="D10" s="21">
        <f ca="1" t="shared" si="6"/>
        <v>741</v>
      </c>
      <c r="E10" s="22">
        <f ca="1" t="shared" si="7"/>
        <v>8304</v>
      </c>
      <c r="F10" s="25">
        <f ca="1" t="shared" si="0"/>
        <v>1482</v>
      </c>
      <c r="G10" s="25">
        <f ca="1" t="shared" si="1"/>
        <v>1482</v>
      </c>
      <c r="H10" s="26">
        <f ca="1" t="shared" si="2"/>
        <v>741</v>
      </c>
      <c r="J10">
        <v>5</v>
      </c>
      <c r="K10">
        <f>VLOOKUP(J10,玩家等级!I:J,2,FALSE)</f>
        <v>20</v>
      </c>
      <c r="L10" s="44" t="s">
        <v>160</v>
      </c>
      <c r="M10" s="45" t="s">
        <v>160</v>
      </c>
      <c r="N10" s="45" t="s">
        <v>160</v>
      </c>
      <c r="O10" s="45" t="s">
        <v>160</v>
      </c>
      <c r="P10" s="39">
        <v>25</v>
      </c>
      <c r="Q10" s="39">
        <v>25</v>
      </c>
      <c r="R10" s="39">
        <v>25</v>
      </c>
      <c r="S10" s="39">
        <v>25</v>
      </c>
      <c r="T10" s="39">
        <f t="shared" si="14"/>
        <v>72</v>
      </c>
      <c r="U10" s="63">
        <v>0.15</v>
      </c>
      <c r="V10" s="63">
        <f t="shared" ref="V10:V16" si="17">V9</f>
        <v>0.1</v>
      </c>
      <c r="W10" s="63">
        <v>0.15</v>
      </c>
      <c r="X10" s="64">
        <f t="shared" ref="X10:X18" si="18">X9</f>
        <v>0.1</v>
      </c>
      <c r="Y10" s="77">
        <f ca="1" t="shared" si="8"/>
        <v>616</v>
      </c>
      <c r="Z10" s="78">
        <f ca="1" t="shared" si="9"/>
        <v>2178710</v>
      </c>
      <c r="AA10" s="21">
        <f ca="1">MAX(ROUND(Y10*物品定价!$C$8/(VLOOKUP(A10,关卡产出!$A:$I,6,FALSE)/物品定价!$B$3),0),0)</f>
        <v>3850</v>
      </c>
      <c r="AB10" s="62">
        <f ca="1">MAX(ROUND(Z10/(VLOOKUP(A10,关卡产出!$A:$I,6,FALSE)/物品定价!$B$3),0),0)</f>
        <v>6808</v>
      </c>
      <c r="AD10">
        <f>VLOOKUP(L10,装备!$B$3:$E$12,3,FALSE)+VLOOKUP(N10,装备!$B$3:$E$12,3,FALSE)</f>
        <v>100</v>
      </c>
      <c r="AE10">
        <f>VLOOKUP(M10,装备!$B$23:$E$42,4,FALSE)+VLOOKUP(O10,装备!$B$23:$E$42,4,FALSE)</f>
        <v>1000</v>
      </c>
      <c r="AF10">
        <f>VLOOKUP(L10,装备!$B$3:$H$12,6,FALSE)*P10+VLOOKUP(N10,装备!$B$3:H$12,6,FALSE)*R10</f>
        <v>350</v>
      </c>
      <c r="AG10">
        <f>VLOOKUP(M10,装备!$B$23:$H$42,7,FALSE)*Q10+VLOOKUP(O10,装备!$B$23:$H$42,7,FALSE)*S10</f>
        <v>3500</v>
      </c>
      <c r="AH10">
        <f ca="1">SUM('天赋（不含大天赋）'!D$3:OFFSET('天赋（不含大天赋）'!D$3,$T10-1,0,1,1))</f>
        <v>120</v>
      </c>
      <c r="AI10">
        <f ca="1">SUM('天赋（不含大天赋）'!E$3:OFFSET('天赋（不含大天赋）'!E$3,$T10-1,0,1,1))</f>
        <v>1200</v>
      </c>
      <c r="AJ10">
        <f ca="1">SUM('天赋（不含大天赋）'!F$3:OFFSET('天赋（不含大天赋）'!F$3,$T10-1,0,1,1))</f>
        <v>62</v>
      </c>
      <c r="AK10">
        <f ca="1">SUM('天赋（不含大天赋）'!G$3:OFFSET('天赋（不含大天赋）'!G$3,$T10-1,0,1,1))</f>
        <v>600</v>
      </c>
      <c r="AM10" t="str">
        <f t="shared" si="10"/>
        <v>紫</v>
      </c>
      <c r="AN10" t="str">
        <f t="shared" si="11"/>
        <v>紫</v>
      </c>
      <c r="AO10" t="str">
        <f t="shared" si="12"/>
        <v>紫</v>
      </c>
      <c r="AP10" t="str">
        <f t="shared" si="13"/>
        <v>紫</v>
      </c>
      <c r="AQ10">
        <f ca="1">SUM(装备强化!$C$3:OFFSET(装备强化!$C$3,P10-1,0,1,1))</f>
        <v>300</v>
      </c>
      <c r="AR10">
        <f ca="1">SUM(装备强化!$C$3:OFFSET(装备强化!$C$3,Q10-1,0,1,1))</f>
        <v>300</v>
      </c>
      <c r="AS10">
        <f ca="1">SUM(装备强化!$C$3:OFFSET(装备强化!$C$3,R10-1,0,1,1))</f>
        <v>300</v>
      </c>
      <c r="AT10">
        <f ca="1">SUM(装备强化!$C$3:OFFSET(装备强化!$C$3,S10-1,0,1,1))</f>
        <v>300</v>
      </c>
      <c r="AU10" s="90">
        <f ca="1">SUM(装备强化!$B$3:OFFSET(装备强化!$B$3,P10-1,0,1,1))+SUM(装备强化!$B$3:OFFSET(装备强化!$B$3,Q10-1,0,1,1))+SUM(装备强化!$B$3:OFFSET(装备强化!$B$3,R10-1,0,1,1))+SUM(装备强化!$B$3:OFFSET(装备强化!$B$3,S10-1,0,1,1))</f>
        <v>1016000</v>
      </c>
      <c r="AV10" s="90">
        <f ca="1">SUM('天赋（不含大天赋）'!$C$3:OFFSET('天赋（不含大天赋）'!$C$2,T10,0,1,1))</f>
        <v>2489000</v>
      </c>
      <c r="AX10" s="91">
        <f>ROUND((VLOOKUP(A10,关卡产出!$A:$I,8,FALSE)*数据模拟!$B$11*数据模拟!$B$8+VLOOKUP(A10,关卡产出!$A:$I,8,FALSE)*24+数据模拟!$E$6+数据模拟!$E$19)*(J10-J9)+AX9,0)</f>
        <v>584</v>
      </c>
      <c r="AY10" s="90">
        <f>ROUND((数据模拟!$B$9*VLOOKUP(A10,关卡产出!$A:$I,2,FALSE)+数据模拟!$B$9*数据模拟!$B$12+VLOOKUP(A10,关卡产出!$A:$I,6,FALSE)*数据模拟!$B$11*数据模拟!$B$8+VLOOKUP(A10,关卡产出!$A:$I,6,FALSE)*24+数据模拟!$E$18)*(J10-J9)+AY9,0)</f>
        <v>1326290</v>
      </c>
      <c r="AZ10" s="91"/>
    </row>
    <row r="11" ht="15.6" spans="1:52">
      <c r="A11" s="17">
        <v>8</v>
      </c>
      <c r="B11" s="21">
        <f ca="1" t="shared" si="4"/>
        <v>750</v>
      </c>
      <c r="C11" s="21">
        <f ca="1" t="shared" si="5"/>
        <v>7500</v>
      </c>
      <c r="D11" s="21">
        <f ca="1" t="shared" si="6"/>
        <v>975</v>
      </c>
      <c r="E11" s="22">
        <f ca="1" t="shared" si="7"/>
        <v>11772</v>
      </c>
      <c r="F11" s="25">
        <f ca="1" t="shared" si="0"/>
        <v>1950</v>
      </c>
      <c r="G11" s="25">
        <f ca="1" t="shared" si="1"/>
        <v>1950</v>
      </c>
      <c r="H11" s="26">
        <f ca="1" t="shared" si="2"/>
        <v>975</v>
      </c>
      <c r="J11">
        <v>7</v>
      </c>
      <c r="K11">
        <f>VLOOKUP(J11,玩家等级!I:J,2,FALSE)</f>
        <v>23</v>
      </c>
      <c r="L11" s="46" t="s">
        <v>161</v>
      </c>
      <c r="M11" s="47" t="s">
        <v>161</v>
      </c>
      <c r="N11" s="45" t="s">
        <v>160</v>
      </c>
      <c r="O11" s="45" t="s">
        <v>160</v>
      </c>
      <c r="P11" s="39">
        <v>30</v>
      </c>
      <c r="Q11" s="39">
        <v>30</v>
      </c>
      <c r="R11" s="39">
        <v>30</v>
      </c>
      <c r="S11" s="39">
        <v>30</v>
      </c>
      <c r="T11" s="39">
        <f t="shared" si="14"/>
        <v>83</v>
      </c>
      <c r="U11" s="63">
        <v>0.15</v>
      </c>
      <c r="V11" s="63">
        <v>0.15</v>
      </c>
      <c r="W11" s="63">
        <v>0.15</v>
      </c>
      <c r="X11" s="64">
        <v>0.15</v>
      </c>
      <c r="Y11" s="77">
        <f ca="1" t="shared" si="8"/>
        <v>922</v>
      </c>
      <c r="Z11" s="78">
        <f ca="1" t="shared" si="9"/>
        <v>2888110</v>
      </c>
      <c r="AA11" s="21">
        <f ca="1">MAX(ROUND(Y11*物品定价!$C$8/(VLOOKUP(A11,关卡产出!$A:$I,6,FALSE)/物品定价!$B$3),0),0)</f>
        <v>5424</v>
      </c>
      <c r="AB11" s="62">
        <f ca="1">MAX(ROUND(Z11/(VLOOKUP(A11,关卡产出!$A:$I,6,FALSE)/物品定价!$B$3),0),0)</f>
        <v>8494</v>
      </c>
      <c r="AD11">
        <f>VLOOKUP(L11,装备!$B$3:$E$12,3,FALSE)+VLOOKUP(N11,装备!$B$3:$E$12,3,FALSE)</f>
        <v>110</v>
      </c>
      <c r="AE11">
        <f>VLOOKUP(M11,装备!$B$23:$E$42,4,FALSE)+VLOOKUP(O11,装备!$B$23:$E$42,4,FALSE)</f>
        <v>1100</v>
      </c>
      <c r="AF11">
        <f>VLOOKUP(L11,装备!$B$3:$H$12,6,FALSE)*P11+VLOOKUP(N11,装备!$B$3:H$12,6,FALSE)*R11</f>
        <v>480</v>
      </c>
      <c r="AG11">
        <f>VLOOKUP(M11,装备!$B$23:$H$42,7,FALSE)*Q11+VLOOKUP(O11,装备!$B$23:$H$42,7,FALSE)*S11</f>
        <v>4800</v>
      </c>
      <c r="AH11">
        <f ca="1">SUM('天赋（不含大天赋）'!D$3:OFFSET('天赋（不含大天赋）'!D$3,$T11-1,0,1,1))</f>
        <v>160</v>
      </c>
      <c r="AI11">
        <f ca="1">SUM('天赋（不含大天赋）'!E$3:OFFSET('天赋（不含大天赋）'!E$3,$T11-1,0,1,1))</f>
        <v>1600</v>
      </c>
      <c r="AJ11">
        <f ca="1">SUM('天赋（不含大天赋）'!F$3:OFFSET('天赋（不含大天赋）'!F$3,$T11-1,0,1,1))</f>
        <v>83</v>
      </c>
      <c r="AK11">
        <f ca="1">SUM('天赋（不含大天赋）'!G$3:OFFSET('天赋（不含大天赋）'!G$3,$T11-1,0,1,1))</f>
        <v>725</v>
      </c>
      <c r="AM11" t="str">
        <f t="shared" si="10"/>
        <v>紫+</v>
      </c>
      <c r="AN11" t="str">
        <f t="shared" si="11"/>
        <v>紫+</v>
      </c>
      <c r="AO11" t="str">
        <f t="shared" si="12"/>
        <v>紫</v>
      </c>
      <c r="AP11" t="str">
        <f t="shared" si="13"/>
        <v>紫</v>
      </c>
      <c r="AQ11">
        <f ca="1">SUM(装备强化!$C$3:OFFSET(装备强化!$C$3,P11-1,0,1,1))</f>
        <v>435</v>
      </c>
      <c r="AR11">
        <f ca="1">SUM(装备强化!$C$3:OFFSET(装备强化!$C$3,Q11-1,0,1,1))</f>
        <v>435</v>
      </c>
      <c r="AS11">
        <f ca="1">SUM(装备强化!$C$3:OFFSET(装备强化!$C$3,R11-1,0,1,1))</f>
        <v>435</v>
      </c>
      <c r="AT11">
        <f ca="1">SUM(装备强化!$C$3:OFFSET(装备强化!$C$3,S11-1,0,1,1))</f>
        <v>435</v>
      </c>
      <c r="AU11" s="90">
        <f ca="1">SUM(装备强化!$B$3:OFFSET(装备强化!$B$3,P11-1,0,1,1))+SUM(装备强化!$B$3:OFFSET(装备强化!$B$3,Q11-1,0,1,1))+SUM(装备强化!$B$3:OFFSET(装备强化!$B$3,R11-1,0,1,1))+SUM(装备强化!$B$3:OFFSET(装备强化!$B$3,S11-1,0,1,1))</f>
        <v>1516000</v>
      </c>
      <c r="AV11" s="90">
        <f ca="1">SUM('天赋（不含大天赋）'!$C$3:OFFSET('天赋（不含大天赋）'!$C$2,T11,0,1,1))</f>
        <v>3325000</v>
      </c>
      <c r="AX11" s="91">
        <f>ROUND((VLOOKUP(A11,关卡产出!$A:$I,8,FALSE)*数据模拟!$B$11*数据模拟!$B$8+VLOOKUP(A11,关卡产出!$A:$I,8,FALSE)*24+数据模拟!$E$6+数据模拟!$E$19)*(J11-J10)+AX10,0)</f>
        <v>818</v>
      </c>
      <c r="AY11" s="90">
        <f>ROUND((数据模拟!$B$9*VLOOKUP(A11,关卡产出!$A:$I,2,FALSE)+数据模拟!$B$9*数据模拟!$B$12+VLOOKUP(A11,关卡产出!$A:$I,6,FALSE)*数据模拟!$B$11*数据模拟!$B$8+VLOOKUP(A11,关卡产出!$A:$I,6,FALSE)*24+数据模拟!$E$18)*(J11-J10)+AY10,0)</f>
        <v>1952890</v>
      </c>
      <c r="AZ11" s="91"/>
    </row>
    <row r="12" ht="15.6" spans="1:52">
      <c r="A12" s="17">
        <v>9</v>
      </c>
      <c r="B12" s="21">
        <f ca="1" t="shared" si="4"/>
        <v>955</v>
      </c>
      <c r="C12" s="21">
        <f ca="1" t="shared" si="5"/>
        <v>9550</v>
      </c>
      <c r="D12" s="21">
        <f ca="1" t="shared" si="6"/>
        <v>1337</v>
      </c>
      <c r="E12" s="22">
        <f ca="1" t="shared" si="7"/>
        <v>14937</v>
      </c>
      <c r="F12" s="25">
        <f ca="1" t="shared" si="0"/>
        <v>2674</v>
      </c>
      <c r="G12" s="25">
        <f ca="1" t="shared" si="1"/>
        <v>2674</v>
      </c>
      <c r="H12" s="26">
        <f ca="1" t="shared" si="2"/>
        <v>1337</v>
      </c>
      <c r="J12">
        <v>10</v>
      </c>
      <c r="K12">
        <f>VLOOKUP(J12,玩家等级!I:J,2,FALSE)</f>
        <v>26</v>
      </c>
      <c r="L12" s="46" t="s">
        <v>161</v>
      </c>
      <c r="M12" s="47" t="s">
        <v>161</v>
      </c>
      <c r="N12" s="47" t="s">
        <v>161</v>
      </c>
      <c r="O12" s="47" t="s">
        <v>161</v>
      </c>
      <c r="P12" s="39">
        <v>35</v>
      </c>
      <c r="Q12" s="39">
        <v>35</v>
      </c>
      <c r="R12" s="39">
        <v>35</v>
      </c>
      <c r="S12" s="39">
        <v>35</v>
      </c>
      <c r="T12" s="39">
        <f t="shared" si="14"/>
        <v>94</v>
      </c>
      <c r="U12" s="63">
        <v>0.2</v>
      </c>
      <c r="V12" s="63">
        <f t="shared" si="17"/>
        <v>0.15</v>
      </c>
      <c r="W12" s="63">
        <v>0.2</v>
      </c>
      <c r="X12" s="64">
        <f t="shared" ref="X12:X18" si="19">X11</f>
        <v>0.15</v>
      </c>
      <c r="Y12" s="77">
        <f ca="1" t="shared" si="8"/>
        <v>1212</v>
      </c>
      <c r="Z12" s="78">
        <f ca="1" t="shared" si="9"/>
        <v>3459310</v>
      </c>
      <c r="AA12" s="21">
        <f ca="1">MAX(ROUND(Y12*物品定价!$C$8/(VLOOKUP(A12,关卡产出!$A:$I,6,FALSE)/物品定价!$B$3),0),0)</f>
        <v>6733</v>
      </c>
      <c r="AB12" s="62">
        <f ca="1">MAX(ROUND(Z12/(VLOOKUP(A12,关卡产出!$A:$I,6,FALSE)/物品定价!$B$3),0),0)</f>
        <v>9609</v>
      </c>
      <c r="AD12">
        <f>VLOOKUP(L12,装备!$B$3:$E$12,3,FALSE)+VLOOKUP(N12,装备!$B$3:$E$12,3,FALSE)</f>
        <v>120</v>
      </c>
      <c r="AE12">
        <f>VLOOKUP(M12,装备!$B$23:$E$42,4,FALSE)+VLOOKUP(O12,装备!$B$23:$E$42,4,FALSE)</f>
        <v>1200</v>
      </c>
      <c r="AF12">
        <f>VLOOKUP(L12,装备!$B$3:$H$12,6,FALSE)*P12+VLOOKUP(N12,装备!$B$3:H$12,6,FALSE)*R12</f>
        <v>630</v>
      </c>
      <c r="AG12">
        <f>VLOOKUP(M12,装备!$B$23:$H$42,7,FALSE)*Q12+VLOOKUP(O12,装备!$B$23:$H$42,7,FALSE)*S12</f>
        <v>6300</v>
      </c>
      <c r="AH12">
        <f ca="1">SUM('天赋（不含大天赋）'!D$3:OFFSET('天赋（不含大天赋）'!D$3,$T12-1,0,1,1))</f>
        <v>205</v>
      </c>
      <c r="AI12">
        <f ca="1">SUM('天赋（不含大天赋）'!E$3:OFFSET('天赋（不含大天赋）'!E$3,$T12-1,0,1,1))</f>
        <v>2050</v>
      </c>
      <c r="AJ12">
        <f ca="1">SUM('天赋（不含大天赋）'!F$3:OFFSET('天赋（不含大天赋）'!F$3,$T12-1,0,1,1))</f>
        <v>99</v>
      </c>
      <c r="AK12">
        <f ca="1">SUM('天赋（不含大天赋）'!G$3:OFFSET('天赋（不含大天赋）'!G$3,$T12-1,0,1,1))</f>
        <v>950</v>
      </c>
      <c r="AM12" t="str">
        <f t="shared" si="10"/>
        <v>紫+</v>
      </c>
      <c r="AN12" t="str">
        <f t="shared" si="11"/>
        <v>紫+</v>
      </c>
      <c r="AO12" t="str">
        <f t="shared" si="12"/>
        <v>紫+</v>
      </c>
      <c r="AP12" t="str">
        <f t="shared" si="13"/>
        <v>紫+</v>
      </c>
      <c r="AQ12">
        <f ca="1">SUM(装备强化!$C$3:OFFSET(装备强化!$C$3,P12-1,0,1,1))</f>
        <v>595</v>
      </c>
      <c r="AR12">
        <f ca="1">SUM(装备强化!$C$3:OFFSET(装备强化!$C$3,Q12-1,0,1,1))</f>
        <v>595</v>
      </c>
      <c r="AS12">
        <f ca="1">SUM(装备强化!$C$3:OFFSET(装备强化!$C$3,R12-1,0,1,1))</f>
        <v>595</v>
      </c>
      <c r="AT12">
        <f ca="1">SUM(装备强化!$C$3:OFFSET(装备强化!$C$3,S12-1,0,1,1))</f>
        <v>595</v>
      </c>
      <c r="AU12" s="90">
        <f ca="1">SUM(装备强化!$B$3:OFFSET(装备强化!$B$3,P12-1,0,1,1))+SUM(装备强化!$B$3:OFFSET(装备强化!$B$3,Q12-1,0,1,1))+SUM(装备强化!$B$3:OFFSET(装备强化!$B$3,R12-1,0,1,1))+SUM(装备强化!$B$3:OFFSET(装备强化!$B$3,S12-1,0,1,1))</f>
        <v>2116000</v>
      </c>
      <c r="AV12" s="90">
        <f ca="1">SUM('天赋（不含大天赋）'!$C$3:OFFSET('天赋（不含大天赋）'!$C$2,T12,0,1,1))</f>
        <v>4282000</v>
      </c>
      <c r="AX12" s="91">
        <f>ROUND((VLOOKUP(A12,关卡产出!$A:$I,8,FALSE)*数据模拟!$B$11*数据模拟!$B$8+VLOOKUP(A12,关卡产出!$A:$I,8,FALSE)*24+数据模拟!$E$6+数据模拟!$E$19)*(J12-J11)+AX11,0)</f>
        <v>1168</v>
      </c>
      <c r="AY12" s="90">
        <f>ROUND((数据模拟!$B$9*VLOOKUP(A12,关卡产出!$A:$I,2,FALSE)+数据模拟!$B$9*数据模拟!$B$12+VLOOKUP(A12,关卡产出!$A:$I,6,FALSE)*数据模拟!$B$11*数据模拟!$B$8+VLOOKUP(A12,关卡产出!$A:$I,6,FALSE)*24+数据模拟!$E$18)*(J12-J11)+AY11,0)</f>
        <v>2938690</v>
      </c>
      <c r="AZ12" s="91"/>
    </row>
    <row r="13" ht="15.6" spans="1:52">
      <c r="A13" s="17">
        <v>10</v>
      </c>
      <c r="B13" s="21">
        <f ca="1" t="shared" si="4"/>
        <v>1195</v>
      </c>
      <c r="C13" s="21">
        <f ca="1" t="shared" si="5"/>
        <v>11950</v>
      </c>
      <c r="D13" s="21">
        <f ca="1" t="shared" si="6"/>
        <v>1673</v>
      </c>
      <c r="E13" s="22">
        <f ca="1" t="shared" si="7"/>
        <v>20503</v>
      </c>
      <c r="F13" s="25">
        <f ca="1" t="shared" si="0"/>
        <v>3346</v>
      </c>
      <c r="G13" s="25">
        <f ca="1" t="shared" si="1"/>
        <v>3346</v>
      </c>
      <c r="H13" s="26">
        <f ca="1" t="shared" si="2"/>
        <v>1673</v>
      </c>
      <c r="J13">
        <v>14</v>
      </c>
      <c r="K13">
        <f>VLOOKUP(J13,玩家等级!I:J,2,FALSE)</f>
        <v>30</v>
      </c>
      <c r="L13" s="46" t="s">
        <v>162</v>
      </c>
      <c r="M13" s="47" t="s">
        <v>162</v>
      </c>
      <c r="N13" s="47" t="s">
        <v>161</v>
      </c>
      <c r="O13" s="47" t="s">
        <v>161</v>
      </c>
      <c r="P13" s="39">
        <v>40</v>
      </c>
      <c r="Q13" s="39">
        <v>40</v>
      </c>
      <c r="R13" s="39">
        <v>40</v>
      </c>
      <c r="S13" s="39">
        <v>40</v>
      </c>
      <c r="T13" s="39">
        <f t="shared" si="14"/>
        <v>108</v>
      </c>
      <c r="U13" s="63">
        <f t="shared" ref="U13:U17" si="20">U12</f>
        <v>0.2</v>
      </c>
      <c r="V13" s="63">
        <v>0.2</v>
      </c>
      <c r="W13" s="63">
        <f t="shared" ref="W13:W18" si="21">W12</f>
        <v>0.2</v>
      </c>
      <c r="X13" s="64">
        <v>0.2</v>
      </c>
      <c r="Y13" s="77">
        <f ca="1" t="shared" si="8"/>
        <v>1485</v>
      </c>
      <c r="Z13" s="78">
        <f ca="1" t="shared" si="9"/>
        <v>4276710</v>
      </c>
      <c r="AA13" s="21">
        <f ca="1">MAX(ROUND(Y13*物品定价!$C$8/(VLOOKUP(A13,关卡产出!$A:$I,6,FALSE)/物品定价!$B$3),0),0)</f>
        <v>7816</v>
      </c>
      <c r="AB13" s="62">
        <f ca="1">MAX(ROUND(Z13/(VLOOKUP(A13,关卡产出!$A:$I,6,FALSE)/物品定价!$B$3),0),0)</f>
        <v>11255</v>
      </c>
      <c r="AD13">
        <f>VLOOKUP(L13,装备!$B$3:$E$12,3,FALSE)+VLOOKUP(N13,装备!$B$3:$E$12,3,FALSE)</f>
        <v>130</v>
      </c>
      <c r="AE13">
        <f>VLOOKUP(M13,装备!$B$23:$E$42,4,FALSE)+VLOOKUP(O13,装备!$B$23:$E$42,4,FALSE)</f>
        <v>1300</v>
      </c>
      <c r="AF13">
        <f>VLOOKUP(L13,装备!$B$3:$H$12,6,FALSE)*P13+VLOOKUP(N13,装备!$B$3:H$12,6,FALSE)*R13</f>
        <v>800</v>
      </c>
      <c r="AG13">
        <f>VLOOKUP(M13,装备!$B$23:$H$42,7,FALSE)*Q13+VLOOKUP(O13,装备!$B$23:$H$42,7,FALSE)*S13</f>
        <v>8000</v>
      </c>
      <c r="AH13">
        <f ca="1">SUM('天赋（不含大天赋）'!D$3:OFFSET('天赋（不含大天赋）'!D$3,$T13-1,0,1,1))</f>
        <v>265</v>
      </c>
      <c r="AI13">
        <f ca="1">SUM('天赋（不含大天赋）'!E$3:OFFSET('天赋（不含大天赋）'!E$3,$T13-1,0,1,1))</f>
        <v>2650</v>
      </c>
      <c r="AJ13">
        <f ca="1">SUM('天赋（不含大天赋）'!F$3:OFFSET('天赋（不含大天赋）'!F$3,$T13-1,0,1,1))</f>
        <v>137</v>
      </c>
      <c r="AK13">
        <f ca="1">SUM('天赋（不含大天赋）'!G$3:OFFSET('天赋（不含大天赋）'!G$3,$T13-1,0,1,1))</f>
        <v>1325</v>
      </c>
      <c r="AM13" t="str">
        <f t="shared" si="10"/>
        <v>紫++</v>
      </c>
      <c r="AN13" t="str">
        <f t="shared" si="11"/>
        <v>紫++</v>
      </c>
      <c r="AO13" t="str">
        <f t="shared" si="12"/>
        <v>紫+</v>
      </c>
      <c r="AP13" t="str">
        <f t="shared" si="13"/>
        <v>紫+</v>
      </c>
      <c r="AQ13">
        <f ca="1">SUM(装备强化!$C$3:OFFSET(装备强化!$C$3,P13-1,0,1,1))</f>
        <v>780</v>
      </c>
      <c r="AR13">
        <f ca="1">SUM(装备强化!$C$3:OFFSET(装备强化!$C$3,Q13-1,0,1,1))</f>
        <v>780</v>
      </c>
      <c r="AS13">
        <f ca="1">SUM(装备强化!$C$3:OFFSET(装备强化!$C$3,R13-1,0,1,1))</f>
        <v>780</v>
      </c>
      <c r="AT13">
        <f ca="1">SUM(装备强化!$C$3:OFFSET(装备强化!$C$3,S13-1,0,1,1))</f>
        <v>780</v>
      </c>
      <c r="AU13" s="90">
        <f ca="1">SUM(装备强化!$B$3:OFFSET(装备强化!$B$3,P13-1,0,1,1))+SUM(装备强化!$B$3:OFFSET(装备强化!$B$3,Q13-1,0,1,1))+SUM(装备强化!$B$3:OFFSET(装备强化!$B$3,R13-1,0,1,1))+SUM(装备强化!$B$3:OFFSET(装备强化!$B$3,S13-1,0,1,1))</f>
        <v>2916000</v>
      </c>
      <c r="AV13" s="90">
        <f ca="1">SUM('天赋（不含大天赋）'!$C$3:OFFSET('天赋（不含大天赋）'!$C$2,T13,0,1,1))</f>
        <v>5675000</v>
      </c>
      <c r="AX13" s="91">
        <f>ROUND((VLOOKUP(A13,关卡产出!$A:$I,8,FALSE)*数据模拟!$B$11*数据模拟!$B$8+VLOOKUP(A13,关卡产出!$A:$I,8,FALSE)*24+数据模拟!$E$6+数据模拟!$E$19)*(J13-J12)+AX12,0)</f>
        <v>1635</v>
      </c>
      <c r="AY13" s="90">
        <f>ROUND((数据模拟!$B$9*VLOOKUP(A13,关卡产出!$A:$I,2,FALSE)+数据模拟!$B$9*数据模拟!$B$12+VLOOKUP(A13,关卡产出!$A:$I,6,FALSE)*数据模拟!$B$11*数据模拟!$B$8+VLOOKUP(A13,关卡产出!$A:$I,6,FALSE)*24+数据模拟!$E$18)*(J13-J12)+AY12,0)</f>
        <v>4314290</v>
      </c>
      <c r="AZ13" s="91"/>
    </row>
    <row r="14" ht="15.6" spans="1:52">
      <c r="A14" s="17">
        <v>11</v>
      </c>
      <c r="B14" s="21">
        <f ca="1" t="shared" si="4"/>
        <v>1490</v>
      </c>
      <c r="C14" s="21">
        <f ca="1" t="shared" si="5"/>
        <v>14900</v>
      </c>
      <c r="D14" s="21">
        <f ca="1" t="shared" si="6"/>
        <v>2235</v>
      </c>
      <c r="E14" s="22">
        <f ca="1" t="shared" si="7"/>
        <v>25627</v>
      </c>
      <c r="F14" s="25">
        <f ca="1" t="shared" si="0"/>
        <v>4470</v>
      </c>
      <c r="G14" s="25">
        <f ca="1" t="shared" si="1"/>
        <v>4470</v>
      </c>
      <c r="H14" s="26">
        <f ca="1" t="shared" si="2"/>
        <v>2235</v>
      </c>
      <c r="J14">
        <v>19</v>
      </c>
      <c r="K14">
        <f>VLOOKUP(J14,玩家等级!I:J,2,FALSE)</f>
        <v>34</v>
      </c>
      <c r="L14" s="46" t="s">
        <v>162</v>
      </c>
      <c r="M14" s="47" t="s">
        <v>162</v>
      </c>
      <c r="N14" s="47" t="s">
        <v>162</v>
      </c>
      <c r="O14" s="47" t="s">
        <v>162</v>
      </c>
      <c r="P14" s="39">
        <v>45</v>
      </c>
      <c r="Q14" s="39">
        <v>45</v>
      </c>
      <c r="R14" s="39">
        <v>45</v>
      </c>
      <c r="S14" s="39">
        <v>45</v>
      </c>
      <c r="T14" s="39">
        <f t="shared" si="14"/>
        <v>122</v>
      </c>
      <c r="U14" s="63">
        <v>0.25</v>
      </c>
      <c r="V14" s="63">
        <f t="shared" si="17"/>
        <v>0.2</v>
      </c>
      <c r="W14" s="63">
        <v>0.25</v>
      </c>
      <c r="X14" s="64">
        <f t="shared" ref="X14:X18" si="22">X13</f>
        <v>0.2</v>
      </c>
      <c r="Y14" s="77">
        <f ca="1" t="shared" si="8"/>
        <v>1741</v>
      </c>
      <c r="Z14" s="78">
        <f ca="1" t="shared" si="9"/>
        <v>5069710</v>
      </c>
      <c r="AA14" s="21">
        <f ca="1">MAX(ROUND(Y14*物品定价!$C$8/(VLOOKUP(A14,关卡产出!$A:$I,6,FALSE)/物品定价!$B$3),0),0)</f>
        <v>8705</v>
      </c>
      <c r="AB14" s="62">
        <f ca="1">MAX(ROUND(Z14/(VLOOKUP(A14,关卡产出!$A:$I,6,FALSE)/物品定价!$B$3),0),0)</f>
        <v>12674</v>
      </c>
      <c r="AD14">
        <f>VLOOKUP(L14,装备!$B$3:$E$12,3,FALSE)+VLOOKUP(N14,装备!$B$3:$E$12,3,FALSE)</f>
        <v>140</v>
      </c>
      <c r="AE14">
        <f>VLOOKUP(M14,装备!$B$23:$E$42,4,FALSE)+VLOOKUP(O14,装备!$B$23:$E$42,4,FALSE)</f>
        <v>1400</v>
      </c>
      <c r="AF14">
        <f>VLOOKUP(L14,装备!$B$3:$H$12,6,FALSE)*P14+VLOOKUP(N14,装备!$B$3:H$12,6,FALSE)*R14</f>
        <v>990</v>
      </c>
      <c r="AG14">
        <f>VLOOKUP(M14,装备!$B$23:$H$42,7,FALSE)*Q14+VLOOKUP(O14,装备!$B$23:$H$42,7,FALSE)*S14</f>
        <v>9900</v>
      </c>
      <c r="AH14">
        <f ca="1">SUM('天赋（不含大天赋）'!D$3:OFFSET('天赋（不含大天赋）'!D$3,$T14-1,0,1,1))</f>
        <v>360</v>
      </c>
      <c r="AI14">
        <f ca="1">SUM('天赋（不含大天赋）'!E$3:OFFSET('天赋（不含大天赋）'!E$3,$T14-1,0,1,1))</f>
        <v>3600</v>
      </c>
      <c r="AJ14">
        <f ca="1">SUM('天赋（不含大天赋）'!F$3:OFFSET('天赋（不含大天赋）'!F$3,$T14-1,0,1,1))</f>
        <v>173</v>
      </c>
      <c r="AK14">
        <f ca="1">SUM('天赋（不含大天赋）'!G$3:OFFSET('天赋（不含大天赋）'!G$3,$T14-1,0,1,1))</f>
        <v>1675</v>
      </c>
      <c r="AM14" t="str">
        <f t="shared" si="10"/>
        <v>紫++</v>
      </c>
      <c r="AN14" t="str">
        <f t="shared" si="11"/>
        <v>紫++</v>
      </c>
      <c r="AO14" t="str">
        <f t="shared" si="12"/>
        <v>紫++</v>
      </c>
      <c r="AP14" t="str">
        <f t="shared" si="13"/>
        <v>紫++</v>
      </c>
      <c r="AQ14">
        <f ca="1">SUM(装备强化!$C$3:OFFSET(装备强化!$C$3,P14-1,0,1,1))</f>
        <v>990</v>
      </c>
      <c r="AR14">
        <f ca="1">SUM(装备强化!$C$3:OFFSET(装备强化!$C$3,Q14-1,0,1,1))</f>
        <v>990</v>
      </c>
      <c r="AS14">
        <f ca="1">SUM(装备强化!$C$3:OFFSET(装备强化!$C$3,R14-1,0,1,1))</f>
        <v>990</v>
      </c>
      <c r="AT14">
        <f ca="1">SUM(装备强化!$C$3:OFFSET(装备强化!$C$3,S14-1,0,1,1))</f>
        <v>990</v>
      </c>
      <c r="AU14" s="90">
        <f ca="1">SUM(装备强化!$B$3:OFFSET(装备强化!$B$3,P14-1,0,1,1))+SUM(装备强化!$B$3:OFFSET(装备强化!$B$3,Q14-1,0,1,1))+SUM(装备强化!$B$3:OFFSET(装备强化!$B$3,R14-1,0,1,1))+SUM(装备强化!$B$3:OFFSET(装备强化!$B$3,S14-1,0,1,1))</f>
        <v>3916000</v>
      </c>
      <c r="AV14" s="90">
        <f ca="1">SUM('天赋（不含大天赋）'!$C$3:OFFSET('天赋（不含大天赋）'!$C$2,T14,0,1,1))</f>
        <v>7264000</v>
      </c>
      <c r="AX14" s="91">
        <f>ROUND((VLOOKUP(A14,关卡产出!$A:$I,8,FALSE)*数据模拟!$B$11*数据模拟!$B$8+VLOOKUP(A14,关卡产出!$A:$I,8,FALSE)*24+数据模拟!$E$6+数据模拟!$E$19)*(J14-J13)+AX13,0)</f>
        <v>2219</v>
      </c>
      <c r="AY14" s="90">
        <f>ROUND((数据模拟!$B$9*VLOOKUP(A14,关卡产出!$A:$I,2,FALSE)+数据模拟!$B$9*数据模拟!$B$12+VLOOKUP(A14,关卡产出!$A:$I,6,FALSE)*数据模拟!$B$11*数据模拟!$B$8+VLOOKUP(A14,关卡产出!$A:$I,6,FALSE)*24+数据模拟!$E$18)*(J14-J13)+AY13,0)</f>
        <v>6110290</v>
      </c>
      <c r="AZ14" s="91"/>
    </row>
    <row r="15" ht="15.6" spans="1:52">
      <c r="A15" s="17">
        <v>12</v>
      </c>
      <c r="B15" s="21">
        <f ca="1" t="shared" si="4"/>
        <v>1835</v>
      </c>
      <c r="C15" s="21">
        <f ca="1" t="shared" si="5"/>
        <v>18050</v>
      </c>
      <c r="D15" s="21">
        <f ca="1" t="shared" si="6"/>
        <v>2753</v>
      </c>
      <c r="E15" s="22">
        <f ca="1" t="shared" si="7"/>
        <v>33713</v>
      </c>
      <c r="F15" s="25">
        <f ca="1" t="shared" si="0"/>
        <v>5506</v>
      </c>
      <c r="G15" s="25">
        <f ca="1" t="shared" si="1"/>
        <v>5506</v>
      </c>
      <c r="H15" s="26">
        <f ca="1" t="shared" si="2"/>
        <v>2753</v>
      </c>
      <c r="J15">
        <v>25</v>
      </c>
      <c r="K15">
        <f>VLOOKUP(J15,玩家等级!I:J,2,FALSE)</f>
        <v>38</v>
      </c>
      <c r="L15" s="48" t="s">
        <v>163</v>
      </c>
      <c r="M15" s="49" t="s">
        <v>163</v>
      </c>
      <c r="N15" s="47" t="s">
        <v>162</v>
      </c>
      <c r="O15" s="47" t="s">
        <v>162</v>
      </c>
      <c r="P15" s="39">
        <v>50</v>
      </c>
      <c r="Q15" s="39">
        <v>50</v>
      </c>
      <c r="R15" s="39">
        <v>50</v>
      </c>
      <c r="S15" s="39">
        <v>50</v>
      </c>
      <c r="T15" s="39">
        <f t="shared" si="14"/>
        <v>137</v>
      </c>
      <c r="U15" s="63">
        <f t="shared" si="20"/>
        <v>0.25</v>
      </c>
      <c r="V15" s="63">
        <v>0.25</v>
      </c>
      <c r="W15" s="63">
        <f t="shared" ref="W15:W18" si="23">W14</f>
        <v>0.25</v>
      </c>
      <c r="X15" s="64">
        <v>0.25</v>
      </c>
      <c r="Y15" s="77">
        <f ca="1" t="shared" si="8"/>
        <v>1980</v>
      </c>
      <c r="Z15" s="78">
        <f ca="1" t="shared" si="9"/>
        <v>5942710</v>
      </c>
      <c r="AA15" s="21">
        <f ca="1">MAX(ROUND(Y15*物品定价!$C$8/(VLOOKUP(A15,关卡产出!$A:$I,6,FALSE)/物品定价!$B$3),0),0)</f>
        <v>9429</v>
      </c>
      <c r="AB15" s="62">
        <f ca="1">MAX(ROUND(Z15/(VLOOKUP(A15,关卡产出!$A:$I,6,FALSE)/物品定价!$B$3),0),0)</f>
        <v>14149</v>
      </c>
      <c r="AD15">
        <f>VLOOKUP(L15,装备!$B$3:$E$12,3,FALSE)+VLOOKUP(N15,装备!$B$3:$E$12,3,FALSE)</f>
        <v>170</v>
      </c>
      <c r="AE15">
        <f>VLOOKUP(M15,装备!$B$23:$E$42,4,FALSE)+VLOOKUP(O15,装备!$B$23:$E$42,4,FALSE)</f>
        <v>1700</v>
      </c>
      <c r="AF15">
        <f>VLOOKUP(L15,装备!$B$3:$H$12,6,FALSE)*P15+VLOOKUP(N15,装备!$B$3:H$12,6,FALSE)*R15</f>
        <v>1200</v>
      </c>
      <c r="AG15">
        <f>VLOOKUP(M15,装备!$B$23:$H$42,7,FALSE)*Q15+VLOOKUP(O15,装备!$B$23:$H$42,7,FALSE)*S15</f>
        <v>12000</v>
      </c>
      <c r="AH15">
        <f ca="1">SUM('天赋（不含大天赋）'!D$3:OFFSET('天赋（不含大天赋）'!D$3,$T15-1,0,1,1))</f>
        <v>465</v>
      </c>
      <c r="AI15">
        <f ca="1">SUM('天赋（不含大天赋）'!E$3:OFFSET('天赋（不含大天赋）'!E$3,$T15-1,0,1,1))</f>
        <v>4350</v>
      </c>
      <c r="AJ15">
        <f ca="1">SUM('天赋（不含大天赋）'!F$3:OFFSET('天赋（不含大天赋）'!F$3,$T15-1,0,1,1))</f>
        <v>225</v>
      </c>
      <c r="AK15">
        <f ca="1">SUM('天赋（不含大天赋）'!G$3:OFFSET('天赋（不含大天赋）'!G$3,$T15-1,0,1,1))</f>
        <v>2175</v>
      </c>
      <c r="AM15" t="str">
        <f t="shared" si="10"/>
        <v>金</v>
      </c>
      <c r="AN15" t="str">
        <f t="shared" si="11"/>
        <v>金</v>
      </c>
      <c r="AO15" t="str">
        <f t="shared" si="12"/>
        <v>紫++</v>
      </c>
      <c r="AP15" t="str">
        <f t="shared" si="13"/>
        <v>紫++</v>
      </c>
      <c r="AQ15">
        <f ca="1">SUM(装备强化!$C$3:OFFSET(装备强化!$C$3,P15-1,0,1,1))</f>
        <v>1225</v>
      </c>
      <c r="AR15">
        <f ca="1">SUM(装备强化!$C$3:OFFSET(装备强化!$C$3,Q15-1,0,1,1))</f>
        <v>1225</v>
      </c>
      <c r="AS15">
        <f ca="1">SUM(装备强化!$C$3:OFFSET(装备强化!$C$3,R15-1,0,1,1))</f>
        <v>1225</v>
      </c>
      <c r="AT15">
        <f ca="1">SUM(装备强化!$C$3:OFFSET(装备强化!$C$3,S15-1,0,1,1))</f>
        <v>1225</v>
      </c>
      <c r="AU15" s="90">
        <f ca="1">SUM(装备强化!$B$3:OFFSET(装备强化!$B$3,P15-1,0,1,1))+SUM(装备强化!$B$3:OFFSET(装备强化!$B$3,Q15-1,0,1,1))+SUM(装备强化!$B$3:OFFSET(装备强化!$B$3,R15-1,0,1,1))+SUM(装备强化!$B$3:OFFSET(装备强化!$B$3,S15-1,0,1,1))</f>
        <v>5116000</v>
      </c>
      <c r="AV15" s="90">
        <f ca="1">SUM('天赋（不含大天赋）'!$C$3:OFFSET('天赋（不含大天赋）'!$C$2,T15,0,1,1))</f>
        <v>9184000</v>
      </c>
      <c r="AX15" s="91">
        <f>ROUND((VLOOKUP(A15,关卡产出!$A:$I,8,FALSE)*数据模拟!$B$11*数据模拟!$B$8+VLOOKUP(A15,关卡产出!$A:$I,8,FALSE)*24+数据模拟!$E$6+数据模拟!$E$19)*(J15-J14)+AX14,0)</f>
        <v>2920</v>
      </c>
      <c r="AY15" s="90">
        <f>ROUND((数据模拟!$B$9*VLOOKUP(A15,关卡产出!$A:$I,2,FALSE)+数据模拟!$B$9*数据模拟!$B$12+VLOOKUP(A15,关卡产出!$A:$I,6,FALSE)*数据模拟!$B$11*数据模拟!$B$8+VLOOKUP(A15,关卡产出!$A:$I,6,FALSE)*24+数据模拟!$E$18)*(J15-J14)+AY14,0)</f>
        <v>8357290</v>
      </c>
      <c r="AZ15" s="91"/>
    </row>
    <row r="16" ht="15.6" spans="1:52">
      <c r="A16" s="17">
        <v>13</v>
      </c>
      <c r="B16" s="21">
        <f ca="1" t="shared" si="4"/>
        <v>2215</v>
      </c>
      <c r="C16" s="21">
        <f ca="1" t="shared" si="5"/>
        <v>22150</v>
      </c>
      <c r="D16" s="21">
        <f ca="1" t="shared" si="6"/>
        <v>3544</v>
      </c>
      <c r="E16" s="22">
        <f ca="1" t="shared" si="7"/>
        <v>41888</v>
      </c>
      <c r="F16" s="25">
        <f ca="1" t="shared" si="0"/>
        <v>7088</v>
      </c>
      <c r="G16" s="25">
        <f ca="1" t="shared" si="1"/>
        <v>7088</v>
      </c>
      <c r="H16" s="26">
        <f ca="1" t="shared" si="2"/>
        <v>3544</v>
      </c>
      <c r="J16">
        <v>32</v>
      </c>
      <c r="K16">
        <f>VLOOKUP(J16,玩家等级!I:J,2,FALSE)</f>
        <v>43</v>
      </c>
      <c r="L16" s="48" t="s">
        <v>163</v>
      </c>
      <c r="M16" s="49" t="s">
        <v>163</v>
      </c>
      <c r="N16" s="49" t="s">
        <v>163</v>
      </c>
      <c r="O16" s="49" t="s">
        <v>163</v>
      </c>
      <c r="P16" s="39">
        <v>55</v>
      </c>
      <c r="Q16" s="39">
        <v>55</v>
      </c>
      <c r="R16" s="39">
        <v>55</v>
      </c>
      <c r="S16" s="39">
        <v>55</v>
      </c>
      <c r="T16" s="39">
        <f t="shared" si="14"/>
        <v>155</v>
      </c>
      <c r="U16" s="63">
        <v>0.3</v>
      </c>
      <c r="V16" s="63">
        <f t="shared" si="17"/>
        <v>0.25</v>
      </c>
      <c r="W16" s="63">
        <v>0.3</v>
      </c>
      <c r="X16" s="64">
        <f t="shared" ref="X16:X18" si="24">X15</f>
        <v>0.25</v>
      </c>
      <c r="Y16" s="77">
        <f ca="1" t="shared" si="8"/>
        <v>2202</v>
      </c>
      <c r="Z16" s="78">
        <f ca="1" t="shared" si="9"/>
        <v>7215110</v>
      </c>
      <c r="AA16" s="21">
        <f ca="1">MAX(ROUND(Y16*物品定价!$C$8/(VLOOKUP(A16,关卡产出!$A:$I,6,FALSE)/物品定价!$B$3),0),0)</f>
        <v>10009</v>
      </c>
      <c r="AB16" s="62">
        <f ca="1">MAX(ROUND(Z16/(VLOOKUP(A16,关卡产出!$A:$I,6,FALSE)/物品定价!$B$3),0),0)</f>
        <v>16398</v>
      </c>
      <c r="AD16">
        <f>VLOOKUP(L16,装备!$B$3:$E$12,3,FALSE)+VLOOKUP(N16,装备!$B$3:$E$12,3,FALSE)</f>
        <v>200</v>
      </c>
      <c r="AE16">
        <f>VLOOKUP(M16,装备!$B$23:$E$42,4,FALSE)+VLOOKUP(O16,装备!$B$23:$E$42,4,FALSE)</f>
        <v>2000</v>
      </c>
      <c r="AF16">
        <f>VLOOKUP(L16,装备!$B$3:$H$12,6,FALSE)*P16+VLOOKUP(N16,装备!$B$3:H$12,6,FALSE)*R16</f>
        <v>1430</v>
      </c>
      <c r="AG16">
        <f>VLOOKUP(M16,装备!$B$23:$H$42,7,FALSE)*Q16+VLOOKUP(O16,装备!$B$23:$H$42,7,FALSE)*S16</f>
        <v>14300</v>
      </c>
      <c r="AH16">
        <f ca="1">SUM('天赋（不含大天赋）'!D$3:OFFSET('天赋（不含大天赋）'!D$3,$T16-1,0,1,1))</f>
        <v>585</v>
      </c>
      <c r="AI16">
        <f ca="1">SUM('天赋（不含大天赋）'!E$3:OFFSET('天赋（不含大天赋）'!E$3,$T16-1,0,1,1))</f>
        <v>5850</v>
      </c>
      <c r="AJ16">
        <f ca="1">SUM('天赋（不含大天赋）'!F$3:OFFSET('天赋（不含大天赋）'!F$3,$T16-1,0,1,1))</f>
        <v>300</v>
      </c>
      <c r="AK16">
        <f ca="1">SUM('天赋（不含大天赋）'!G$3:OFFSET('天赋（不含大天赋）'!G$3,$T16-1,0,1,1))</f>
        <v>2775</v>
      </c>
      <c r="AM16" t="str">
        <f t="shared" si="10"/>
        <v>金</v>
      </c>
      <c r="AN16" t="str">
        <f t="shared" si="11"/>
        <v>金</v>
      </c>
      <c r="AO16" t="str">
        <f t="shared" si="12"/>
        <v>金</v>
      </c>
      <c r="AP16" t="str">
        <f t="shared" si="13"/>
        <v>金</v>
      </c>
      <c r="AQ16">
        <f ca="1">SUM(装备强化!$C$3:OFFSET(装备强化!$C$3,P16-1,0,1,1))</f>
        <v>1485</v>
      </c>
      <c r="AR16">
        <f ca="1">SUM(装备强化!$C$3:OFFSET(装备强化!$C$3,Q16-1,0,1,1))</f>
        <v>1485</v>
      </c>
      <c r="AS16">
        <f ca="1">SUM(装备强化!$C$3:OFFSET(装备强化!$C$3,R16-1,0,1,1))</f>
        <v>1485</v>
      </c>
      <c r="AT16">
        <f ca="1">SUM(装备强化!$C$3:OFFSET(装备强化!$C$3,S16-1,0,1,1))</f>
        <v>1485</v>
      </c>
      <c r="AU16" s="90">
        <f ca="1">SUM(装备强化!$B$3:OFFSET(装备强化!$B$3,P16-1,0,1,1))+SUM(装备强化!$B$3:OFFSET(装备强化!$B$3,Q16-1,0,1,1))+SUM(装备强化!$B$3:OFFSET(装备强化!$B$3,R16-1,0,1,1))+SUM(装备强化!$B$3:OFFSET(装备强化!$B$3,S16-1,0,1,1))</f>
        <v>6516000</v>
      </c>
      <c r="AV16" s="90">
        <f ca="1">SUM('天赋（不含大天赋）'!$C$3:OFFSET('天赋（不含大天赋）'!$C$2,T16,0,1,1))</f>
        <v>11785000</v>
      </c>
      <c r="AX16" s="91">
        <f>ROUND((VLOOKUP(A16,关卡产出!$A:$I,8,FALSE)*数据模拟!$B$11*数据模拟!$B$8+VLOOKUP(A16,关卡产出!$A:$I,8,FALSE)*24+数据模拟!$E$6+数据模拟!$E$19)*(J16-J15)+AX15,0)</f>
        <v>3738</v>
      </c>
      <c r="AY16" s="90">
        <f>ROUND((数据模拟!$B$9*VLOOKUP(A16,关卡产出!$A:$I,2,FALSE)+数据模拟!$B$9*数据模拟!$B$12+VLOOKUP(A16,关卡产出!$A:$I,6,FALSE)*数据模拟!$B$11*数据模拟!$B$8+VLOOKUP(A16,关卡产出!$A:$I,6,FALSE)*24+数据模拟!$E$18)*(J16-J15)+AY15,0)</f>
        <v>11085890</v>
      </c>
      <c r="AZ16" s="91"/>
    </row>
    <row r="17" ht="15.6" spans="1:52">
      <c r="A17" s="17">
        <v>14</v>
      </c>
      <c r="B17" s="21">
        <f ca="1" t="shared" si="4"/>
        <v>2675</v>
      </c>
      <c r="C17" s="21">
        <f ca="1" t="shared" si="5"/>
        <v>26350</v>
      </c>
      <c r="D17" s="21">
        <f ca="1" t="shared" si="6"/>
        <v>4280</v>
      </c>
      <c r="E17" s="22">
        <f ca="1" t="shared" si="7"/>
        <v>53560</v>
      </c>
      <c r="F17" s="25">
        <f ca="1" t="shared" si="0"/>
        <v>8560</v>
      </c>
      <c r="G17" s="25">
        <f ca="1" t="shared" si="1"/>
        <v>8560</v>
      </c>
      <c r="H17" s="26">
        <f ca="1" t="shared" si="2"/>
        <v>4280</v>
      </c>
      <c r="J17">
        <v>40</v>
      </c>
      <c r="K17">
        <f>VLOOKUP(J17,玩家等级!I:J,2,FALSE)</f>
        <v>47</v>
      </c>
      <c r="L17" s="50" t="s">
        <v>164</v>
      </c>
      <c r="M17" s="51" t="s">
        <v>164</v>
      </c>
      <c r="N17" s="49" t="s">
        <v>163</v>
      </c>
      <c r="O17" s="49" t="s">
        <v>163</v>
      </c>
      <c r="P17" s="39">
        <v>60</v>
      </c>
      <c r="Q17" s="39">
        <v>60</v>
      </c>
      <c r="R17" s="39">
        <v>60</v>
      </c>
      <c r="S17" s="39">
        <v>60</v>
      </c>
      <c r="T17" s="39">
        <f t="shared" si="14"/>
        <v>169</v>
      </c>
      <c r="U17" s="63">
        <f t="shared" si="20"/>
        <v>0.3</v>
      </c>
      <c r="V17" s="63">
        <v>0.3</v>
      </c>
      <c r="W17" s="63">
        <f t="shared" ref="W17:W18" si="25">W16</f>
        <v>0.3</v>
      </c>
      <c r="X17" s="64">
        <v>0.3</v>
      </c>
      <c r="Y17" s="77">
        <f ca="1" t="shared" si="8"/>
        <v>2408</v>
      </c>
      <c r="Z17" s="78">
        <f ca="1" t="shared" si="9"/>
        <v>7821310</v>
      </c>
      <c r="AA17" s="21">
        <f ca="1">MAX(ROUND(Y17*物品定价!$C$8/(VLOOKUP(A17,关卡产出!$A:$I,6,FALSE)/物品定价!$B$3),0),0)</f>
        <v>10470</v>
      </c>
      <c r="AB17" s="62">
        <f ca="1">MAX(ROUND(Z17/(VLOOKUP(A17,关卡产出!$A:$I,6,FALSE)/物品定价!$B$3),0),0)</f>
        <v>17003</v>
      </c>
      <c r="AD17">
        <f>VLOOKUP(L17,装备!$B$3:$E$12,3,FALSE)+VLOOKUP(N17,装备!$B$3:$E$12,3,FALSE)</f>
        <v>250</v>
      </c>
      <c r="AE17">
        <f>VLOOKUP(M17,装备!$B$23:$E$42,4,FALSE)+VLOOKUP(O17,装备!$B$23:$E$42,4,FALSE)</f>
        <v>2500</v>
      </c>
      <c r="AF17">
        <f>VLOOKUP(L17,装备!$B$3:$H$12,6,FALSE)*P17+VLOOKUP(N17,装备!$B$3:H$12,6,FALSE)*R17</f>
        <v>1680</v>
      </c>
      <c r="AG17">
        <f>VLOOKUP(M17,装备!$B$23:$H$42,7,FALSE)*Q17+VLOOKUP(O17,装备!$B$23:$H$42,7,FALSE)*S17</f>
        <v>16800</v>
      </c>
      <c r="AH17">
        <f ca="1">SUM('天赋（不含大天赋）'!D$3:OFFSET('天赋（不含大天赋）'!D$3,$T17-1,0,1,1))</f>
        <v>745</v>
      </c>
      <c r="AI17">
        <f ca="1">SUM('天赋（不含大天赋）'!E$3:OFFSET('天赋（不含大天赋）'!E$3,$T17-1,0,1,1))</f>
        <v>7050</v>
      </c>
      <c r="AJ17">
        <f ca="1">SUM('天赋（不含大天赋）'!F$3:OFFSET('天赋（不含大天赋）'!F$3,$T17-1,0,1,1))</f>
        <v>360</v>
      </c>
      <c r="AK17">
        <f ca="1">SUM('天赋（不含大天赋）'!G$3:OFFSET('天赋（不含大天赋）'!G$3,$T17-1,0,1,1))</f>
        <v>3525</v>
      </c>
      <c r="AM17" t="str">
        <f t="shared" si="10"/>
        <v>金+</v>
      </c>
      <c r="AN17" t="str">
        <f t="shared" si="11"/>
        <v>金+</v>
      </c>
      <c r="AO17" t="str">
        <f t="shared" si="12"/>
        <v>金</v>
      </c>
      <c r="AP17" t="str">
        <f t="shared" si="13"/>
        <v>金</v>
      </c>
      <c r="AQ17">
        <f ca="1">SUM(装备强化!$C$3:OFFSET(装备强化!$C$3,P17-1,0,1,1))</f>
        <v>1770</v>
      </c>
      <c r="AR17">
        <f ca="1">SUM(装备强化!$C$3:OFFSET(装备强化!$C$3,Q17-1,0,1,1))</f>
        <v>1770</v>
      </c>
      <c r="AS17">
        <f ca="1">SUM(装备强化!$C$3:OFFSET(装备强化!$C$3,R17-1,0,1,1))</f>
        <v>1770</v>
      </c>
      <c r="AT17">
        <f ca="1">SUM(装备强化!$C$3:OFFSET(装备强化!$C$3,S17-1,0,1,1))</f>
        <v>1770</v>
      </c>
      <c r="AU17" s="90">
        <f ca="1">SUM(装备强化!$B$3:OFFSET(装备强化!$B$3,P17-1,0,1,1))+SUM(装备强化!$B$3:OFFSET(装备强化!$B$3,Q17-1,0,1,1))+SUM(装备强化!$B$3:OFFSET(装备强化!$B$3,R17-1,0,1,1))+SUM(装备强化!$B$3:OFFSET(装备强化!$B$3,S17-1,0,1,1))</f>
        <v>8116000</v>
      </c>
      <c r="AV17" s="90">
        <f ca="1">SUM('天赋（不含大天赋）'!$C$3:OFFSET('天赋（不含大天赋）'!$C$2,T17,0,1,1))</f>
        <v>14032000</v>
      </c>
      <c r="AX17" s="91">
        <f>ROUND((VLOOKUP(A17,关卡产出!$A:$I,8,FALSE)*数据模拟!$B$11*数据模拟!$B$8+VLOOKUP(A17,关卡产出!$A:$I,8,FALSE)*24+数据模拟!$E$6+数据模拟!$E$19)*(J17-J16)+AX16,0)</f>
        <v>4672</v>
      </c>
      <c r="AY17" s="90">
        <f>ROUND((数据模拟!$B$9*VLOOKUP(A17,关卡产出!$A:$I,2,FALSE)+数据模拟!$B$9*数据模拟!$B$12+VLOOKUP(A17,关卡产出!$A:$I,6,FALSE)*数据模拟!$B$11*数据模拟!$B$8+VLOOKUP(A17,关卡产出!$A:$I,6,FALSE)*24+数据模拟!$E$18)*(J17-J16)+AY16,0)</f>
        <v>14326690</v>
      </c>
      <c r="AZ17" s="91"/>
    </row>
    <row r="18" ht="15.6" spans="1:52">
      <c r="A18" s="27">
        <v>15</v>
      </c>
      <c r="B18" s="28">
        <f ca="1" t="shared" si="4"/>
        <v>3085</v>
      </c>
      <c r="C18" s="28">
        <f ca="1" t="shared" si="5"/>
        <v>30850</v>
      </c>
      <c r="D18" s="28">
        <f ca="1" t="shared" si="6"/>
        <v>5245</v>
      </c>
      <c r="E18" s="29">
        <f ca="1" t="shared" si="7"/>
        <v>66768</v>
      </c>
      <c r="F18" s="25">
        <f ca="1" t="shared" si="0"/>
        <v>10490</v>
      </c>
      <c r="G18" s="25">
        <f ca="1" t="shared" si="1"/>
        <v>10490</v>
      </c>
      <c r="H18" s="26">
        <f ca="1" t="shared" si="2"/>
        <v>5245</v>
      </c>
      <c r="J18">
        <v>49</v>
      </c>
      <c r="K18">
        <f>VLOOKUP(J18,玩家等级!I:J,2,FALSE)</f>
        <v>50</v>
      </c>
      <c r="L18" s="52" t="s">
        <v>164</v>
      </c>
      <c r="M18" s="53" t="s">
        <v>164</v>
      </c>
      <c r="N18" s="53" t="s">
        <v>164</v>
      </c>
      <c r="O18" s="53" t="s">
        <v>164</v>
      </c>
      <c r="P18" s="54">
        <v>65</v>
      </c>
      <c r="Q18" s="54">
        <v>65</v>
      </c>
      <c r="R18" s="54">
        <v>65</v>
      </c>
      <c r="S18" s="54">
        <v>65</v>
      </c>
      <c r="T18" s="54">
        <f t="shared" si="14"/>
        <v>180</v>
      </c>
      <c r="U18" s="65">
        <v>0.35</v>
      </c>
      <c r="V18" s="65">
        <v>0.35</v>
      </c>
      <c r="W18" s="65">
        <v>0.35</v>
      </c>
      <c r="X18" s="66">
        <v>0.35</v>
      </c>
      <c r="Y18" s="79">
        <f ca="1" t="shared" si="8"/>
        <v>2597</v>
      </c>
      <c r="Z18" s="80">
        <f ca="1" t="shared" si="9"/>
        <v>7740710</v>
      </c>
      <c r="AA18" s="81">
        <f ca="1">MAX(ROUND(Y18*物品定价!$C$8/(VLOOKUP(A18,关卡产出!$A:$I,6,FALSE)/物品定价!$B$3),0),0)</f>
        <v>10821</v>
      </c>
      <c r="AB18" s="82">
        <f ca="1">MAX(ROUND(Z18/(VLOOKUP(A18,关卡产出!$A:$I,6,FALSE)/物品定价!$B$3),0),0)</f>
        <v>16126</v>
      </c>
      <c r="AD18">
        <f>VLOOKUP(L18,装备!$B$3:$E$12,3,FALSE)+VLOOKUP(N18,装备!$B$3:$E$12,3,FALSE)</f>
        <v>300</v>
      </c>
      <c r="AE18">
        <f>VLOOKUP(M18,装备!$B$23:$E$42,4,FALSE)+VLOOKUP(O18,装备!$B$23:$E$42,4,FALSE)</f>
        <v>3000</v>
      </c>
      <c r="AF18">
        <f>VLOOKUP(L18,装备!$B$3:$H$12,6,FALSE)*P18+VLOOKUP(N18,装备!$B$3:H$12,6,FALSE)*R18</f>
        <v>1950</v>
      </c>
      <c r="AG18">
        <f>VLOOKUP(M18,装备!$B$23:$H$42,7,FALSE)*Q18+VLOOKUP(O18,装备!$B$23:$H$42,7,FALSE)*S18</f>
        <v>19500</v>
      </c>
      <c r="AH18">
        <f ca="1">SUM('天赋（不含大天赋）'!D$3:OFFSET('天赋（不含大天赋）'!D$3,$T18-1,0,1,1))</f>
        <v>835</v>
      </c>
      <c r="AI18">
        <f ca="1">SUM('天赋（不含大天赋）'!E$3:OFFSET('天赋（不含大天赋）'!E$3,$T18-1,0,1,1))</f>
        <v>8350</v>
      </c>
      <c r="AJ18">
        <f ca="1">SUM('天赋（不含大天赋）'!F$3:OFFSET('天赋（不含大天赋）'!F$3,$T18-1,0,1,1))</f>
        <v>425</v>
      </c>
      <c r="AK18">
        <f ca="1">SUM('天赋（不含大天赋）'!G$3:OFFSET('天赋（不含大天赋）'!G$3,$T18-1,0,1,1))</f>
        <v>4175</v>
      </c>
      <c r="AM18" t="str">
        <f t="shared" si="10"/>
        <v>金+</v>
      </c>
      <c r="AN18" t="str">
        <f t="shared" si="11"/>
        <v>金+</v>
      </c>
      <c r="AO18" t="str">
        <f t="shared" si="12"/>
        <v>金+</v>
      </c>
      <c r="AP18" t="str">
        <f t="shared" si="13"/>
        <v>金+</v>
      </c>
      <c r="AQ18">
        <f ca="1">SUM(装备强化!$C$3:OFFSET(装备强化!$C$3,P18-1,0,1,1))</f>
        <v>2080</v>
      </c>
      <c r="AR18">
        <f ca="1">SUM(装备强化!$C$3:OFFSET(装备强化!$C$3,Q18-1,0,1,1))</f>
        <v>2080</v>
      </c>
      <c r="AS18">
        <f ca="1">SUM(装备强化!$C$3:OFFSET(装备强化!$C$3,R18-1,0,1,1))</f>
        <v>2080</v>
      </c>
      <c r="AT18">
        <f ca="1">SUM(装备强化!$C$3:OFFSET(装备强化!$C$3,S18-1,0,1,1))</f>
        <v>2080</v>
      </c>
      <c r="AU18" s="90">
        <f ca="1">SUM(装备强化!$B$3:OFFSET(装备强化!$B$3,P18-1,0,1,1))+SUM(装备强化!$B$3:OFFSET(装备强化!$B$3,Q18-1,0,1,1))+SUM(装备强化!$B$3:OFFSET(装备强化!$B$3,R18-1,0,1,1))+SUM(装备强化!$B$3:OFFSET(装备强化!$B$3,S18-1,0,1,1))</f>
        <v>9916000</v>
      </c>
      <c r="AV18" s="90">
        <f ca="1">SUM('天赋（不含大天赋）'!$C$3:OFFSET('天赋（不含大天赋）'!$C$2,T18,0,1,1))</f>
        <v>15935000</v>
      </c>
      <c r="AX18" s="91">
        <f>ROUND((VLOOKUP(A18,关卡产出!$A:$I,8,FALSE)*数据模拟!$B$11*数据模拟!$B$8+VLOOKUP(A18,关卡产出!$A:$I,8,FALSE)*24+数据模拟!$E$6+数据模拟!$E$19)*(J18-J17)+AX17,0)</f>
        <v>5723</v>
      </c>
      <c r="AY18" s="90">
        <f>ROUND((数据模拟!$B$9*VLOOKUP(A18,关卡产出!$A:$I,2,FALSE)+数据模拟!$B$9*数据模拟!$B$12+VLOOKUP(A18,关卡产出!$A:$I,6,FALSE)*数据模拟!$B$11*数据模拟!$B$8+VLOOKUP(A18,关卡产出!$A:$I,6,FALSE)*24+数据模拟!$E$18)*(J18-J17)+AY17,0)</f>
        <v>18110290</v>
      </c>
      <c r="AZ18" s="91"/>
    </row>
    <row r="24" spans="33:33">
      <c r="AG24" s="86"/>
    </row>
  </sheetData>
  <mergeCells count="26">
    <mergeCell ref="L1:X1"/>
    <mergeCell ref="Y1:AB1"/>
    <mergeCell ref="AD1:AK1"/>
    <mergeCell ref="AM1:AV1"/>
    <mergeCell ref="B2:C2"/>
    <mergeCell ref="D2:E2"/>
    <mergeCell ref="L2:O2"/>
    <mergeCell ref="P2:S2"/>
    <mergeCell ref="U2:V2"/>
    <mergeCell ref="W2:X2"/>
    <mergeCell ref="AD2:AE2"/>
    <mergeCell ref="AF2:AG2"/>
    <mergeCell ref="AH2:AK2"/>
    <mergeCell ref="AM2:AP2"/>
    <mergeCell ref="AQ2:AT2"/>
    <mergeCell ref="J2:J3"/>
    <mergeCell ref="K2:K3"/>
    <mergeCell ref="T2:T3"/>
    <mergeCell ref="Y2:Y3"/>
    <mergeCell ref="Z2:Z3"/>
    <mergeCell ref="AA2:AA3"/>
    <mergeCell ref="AB2:AB3"/>
    <mergeCell ref="AU2:AU3"/>
    <mergeCell ref="AV2:AV3"/>
    <mergeCell ref="AX2:AX3"/>
    <mergeCell ref="AY2:AY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"/>
  <sheetViews>
    <sheetView workbookViewId="0">
      <selection activeCell="E31" sqref="E31"/>
    </sheetView>
  </sheetViews>
  <sheetFormatPr defaultColWidth="9" defaultRowHeight="13.8"/>
  <cols>
    <col min="3" max="3" width="11.3333333333333" customWidth="1"/>
    <col min="4" max="4" width="9.33333333333333" customWidth="1"/>
    <col min="5" max="5" width="18.3333333333333" customWidth="1"/>
    <col min="6" max="6" width="32.6666666666667" customWidth="1"/>
    <col min="7" max="7" width="30" customWidth="1"/>
  </cols>
  <sheetData>
    <row r="1" spans="1:10">
      <c r="A1" t="s">
        <v>165</v>
      </c>
      <c r="B1" t="s">
        <v>166</v>
      </c>
      <c r="C1" s="12" t="s">
        <v>167</v>
      </c>
      <c r="D1" s="12" t="s">
        <v>168</v>
      </c>
      <c r="E1" s="12" t="s">
        <v>169</v>
      </c>
      <c r="F1" s="12" t="s">
        <v>170</v>
      </c>
      <c r="G1" s="12" t="s">
        <v>171</v>
      </c>
      <c r="I1" s="12" t="s">
        <v>172</v>
      </c>
      <c r="J1" s="12" t="s">
        <v>4</v>
      </c>
    </row>
    <row r="2" spans="1:10">
      <c r="A2">
        <v>1</v>
      </c>
      <c r="E2">
        <v>1</v>
      </c>
      <c r="F2">
        <f>VLOOKUP(E2,关卡产出!A:E,3,FALSE)*(数据模拟!$B$9)+VLOOKUP(E2,关卡产出!A:I,7,FALSE)*12+VLOOKUP(E2,关卡产出!A:I,7,FALSE)*数据模拟!$B$7*数据模拟!$B$8</f>
        <v>39600</v>
      </c>
      <c r="G2">
        <f>VLOOKUP(E2,关卡产出!A:E,3,FALSE)*(数据模拟!$B$10)+VLOOKUP(E2,关卡产出!A:I,7,FALSE)*12+VLOOKUP(E2,关卡产出!A:I,7,FALSE)*数据模拟!$B$7*数据模拟!$B$8</f>
        <v>44100</v>
      </c>
      <c r="I2">
        <v>1</v>
      </c>
      <c r="J2">
        <f>COUNTIF(D:D,"&lt;"&amp;I2)+1</f>
        <v>8</v>
      </c>
    </row>
    <row r="3" spans="1:10">
      <c r="A3">
        <v>2</v>
      </c>
      <c r="B3">
        <v>1000</v>
      </c>
      <c r="C3" s="13">
        <f>B3/F2</f>
        <v>0.0252525252525253</v>
      </c>
      <c r="D3" s="13">
        <f>SUM($C$3:C3)</f>
        <v>0.0252525252525253</v>
      </c>
      <c r="E3">
        <v>2</v>
      </c>
      <c r="F3">
        <f>VLOOKUP(E3,关卡产出!A:E,3,FALSE)*(数据模拟!$B$9)+VLOOKUP(E3,关卡产出!A:I,7,FALSE)*12+VLOOKUP(E3,关卡产出!A:I,7,FALSE)*数据模拟!$B$7*数据模拟!$B$8</f>
        <v>43560</v>
      </c>
      <c r="G3">
        <f>VLOOKUP(E3,关卡产出!A:E,3,FALSE)*(数据模拟!$B$10)+VLOOKUP(E3,关卡产出!A:I,7,FALSE)*12+VLOOKUP(E3,关卡产出!A:I,7,FALSE)*数据模拟!$B$7*数据模拟!$B$8</f>
        <v>48510</v>
      </c>
      <c r="I3">
        <v>2</v>
      </c>
      <c r="J3">
        <f t="shared" ref="J3:J66" si="0">COUNTIF(D:D,"&lt;"&amp;I3)+1</f>
        <v>12</v>
      </c>
    </row>
    <row r="4" spans="1:10">
      <c r="A4">
        <v>3</v>
      </c>
      <c r="B4">
        <f>B3+1000</f>
        <v>2000</v>
      </c>
      <c r="C4" s="13">
        <f t="shared" ref="C4:C51" si="1">B4/F3</f>
        <v>0.0459136822773186</v>
      </c>
      <c r="D4" s="13">
        <f>SUM($C$3:C4)</f>
        <v>0.0711662075298439</v>
      </c>
      <c r="E4">
        <v>3</v>
      </c>
      <c r="F4">
        <f>VLOOKUP(E4,关卡产出!A:E,3,FALSE)*(数据模拟!$B$9)+VLOOKUP(E4,关卡产出!A:I,7,FALSE)*12+VLOOKUP(E4,关卡产出!A:I,7,FALSE)*数据模拟!$B$7*数据模拟!$B$8</f>
        <v>47520</v>
      </c>
      <c r="G4">
        <f>VLOOKUP(E4,关卡产出!A:E,3,FALSE)*(数据模拟!$B$10)+VLOOKUP(E4,关卡产出!A:I,7,FALSE)*12+VLOOKUP(E4,关卡产出!A:I,7,FALSE)*数据模拟!$B$7*数据模拟!$B$8</f>
        <v>52920</v>
      </c>
      <c r="I4">
        <v>3</v>
      </c>
      <c r="J4">
        <f t="shared" si="0"/>
        <v>15</v>
      </c>
    </row>
    <row r="5" spans="1:10">
      <c r="A5">
        <v>4</v>
      </c>
      <c r="B5">
        <f t="shared" ref="B5" si="2">B4+1000</f>
        <v>3000</v>
      </c>
      <c r="C5" s="13">
        <f t="shared" si="1"/>
        <v>0.0631313131313131</v>
      </c>
      <c r="D5" s="13">
        <f>SUM($C$3:C5)</f>
        <v>0.134297520661157</v>
      </c>
      <c r="E5">
        <v>3</v>
      </c>
      <c r="F5">
        <f>VLOOKUP(E5,关卡产出!A:E,3,FALSE)*(数据模拟!$B$9)+VLOOKUP(E5,关卡产出!A:I,7,FALSE)*12+VLOOKUP(E5,关卡产出!A:I,7,FALSE)*数据模拟!$B$7*数据模拟!$B$8</f>
        <v>47520</v>
      </c>
      <c r="G5">
        <f>VLOOKUP(E5,关卡产出!A:E,3,FALSE)*(数据模拟!$B$10)+VLOOKUP(E5,关卡产出!A:I,7,FALSE)*12+VLOOKUP(E5,关卡产出!A:I,7,FALSE)*数据模拟!$B$7*数据模拟!$B$8</f>
        <v>52920</v>
      </c>
      <c r="I5">
        <v>4</v>
      </c>
      <c r="J5">
        <f t="shared" si="0"/>
        <v>18</v>
      </c>
    </row>
    <row r="6" spans="1:10">
      <c r="A6">
        <v>5</v>
      </c>
      <c r="B6">
        <v>5000</v>
      </c>
      <c r="C6" s="13">
        <f t="shared" si="1"/>
        <v>0.105218855218855</v>
      </c>
      <c r="D6" s="13">
        <f>SUM($C$3:C6)</f>
        <v>0.239516375880012</v>
      </c>
      <c r="E6">
        <v>4</v>
      </c>
      <c r="F6">
        <f>VLOOKUP(E6,关卡产出!A:E,3,FALSE)*(数据模拟!$B$9)+VLOOKUP(E6,关卡产出!A:I,7,FALSE)*12+VLOOKUP(E6,关卡产出!A:I,7,FALSE)*数据模拟!$B$7*数据模拟!$B$8</f>
        <v>51480</v>
      </c>
      <c r="G6">
        <f>VLOOKUP(E6,关卡产出!A:E,3,FALSE)*(数据模拟!$B$10)+VLOOKUP(E6,关卡产出!A:I,7,FALSE)*12+VLOOKUP(E6,关卡产出!A:I,7,FALSE)*数据模拟!$B$7*数据模拟!$B$8</f>
        <v>57330</v>
      </c>
      <c r="I6">
        <v>5</v>
      </c>
      <c r="J6">
        <f t="shared" si="0"/>
        <v>20</v>
      </c>
    </row>
    <row r="7" spans="1:10">
      <c r="A7">
        <v>6</v>
      </c>
      <c r="B7">
        <v>7000</v>
      </c>
      <c r="C7" s="13">
        <f t="shared" si="1"/>
        <v>0.135975135975136</v>
      </c>
      <c r="D7" s="13">
        <f>SUM($C$3:C7)</f>
        <v>0.375491511855148</v>
      </c>
      <c r="E7">
        <v>4</v>
      </c>
      <c r="F7">
        <f>VLOOKUP(E7,关卡产出!A:E,3,FALSE)*(数据模拟!$B$9)+VLOOKUP(E7,关卡产出!A:I,7,FALSE)*12+VLOOKUP(E7,关卡产出!A:I,7,FALSE)*数据模拟!$B$7*数据模拟!$B$8</f>
        <v>51480</v>
      </c>
      <c r="G7">
        <f>VLOOKUP(E7,关卡产出!A:E,3,FALSE)*(数据模拟!$B$10)+VLOOKUP(E7,关卡产出!A:I,7,FALSE)*12+VLOOKUP(E7,关卡产出!A:I,7,FALSE)*数据模拟!$B$7*数据模拟!$B$8</f>
        <v>57330</v>
      </c>
      <c r="I7">
        <v>6</v>
      </c>
      <c r="J7">
        <f t="shared" si="0"/>
        <v>21</v>
      </c>
    </row>
    <row r="8" spans="1:10">
      <c r="A8">
        <v>7</v>
      </c>
      <c r="B8">
        <v>9000</v>
      </c>
      <c r="C8" s="13">
        <f t="shared" si="1"/>
        <v>0.174825174825175</v>
      </c>
      <c r="D8" s="13">
        <f>SUM($C$3:C8)</f>
        <v>0.550316686680323</v>
      </c>
      <c r="E8">
        <v>4</v>
      </c>
      <c r="F8">
        <f>VLOOKUP(E8,关卡产出!A:E,3,FALSE)*(数据模拟!$B$9)+VLOOKUP(E8,关卡产出!A:I,7,FALSE)*12+VLOOKUP(E8,关卡产出!A:I,7,FALSE)*数据模拟!$B$7*数据模拟!$B$8</f>
        <v>51480</v>
      </c>
      <c r="G8">
        <f>VLOOKUP(E8,关卡产出!A:E,3,FALSE)*(数据模拟!$B$10)+VLOOKUP(E8,关卡产出!A:I,7,FALSE)*12+VLOOKUP(E8,关卡产出!A:I,7,FALSE)*数据模拟!$B$7*数据模拟!$B$8</f>
        <v>57330</v>
      </c>
      <c r="I8">
        <v>7</v>
      </c>
      <c r="J8">
        <f t="shared" si="0"/>
        <v>23</v>
      </c>
    </row>
    <row r="9" spans="1:10">
      <c r="A9">
        <v>8</v>
      </c>
      <c r="B9">
        <v>11000</v>
      </c>
      <c r="C9" s="13">
        <f t="shared" si="1"/>
        <v>0.213675213675214</v>
      </c>
      <c r="D9" s="13">
        <f>SUM($C$3:C9)</f>
        <v>0.763991900355537</v>
      </c>
      <c r="E9">
        <v>4</v>
      </c>
      <c r="F9">
        <f>VLOOKUP(E9,关卡产出!A:E,3,FALSE)*(数据模拟!$B$9)+VLOOKUP(E9,关卡产出!A:I,7,FALSE)*12+VLOOKUP(E9,关卡产出!A:I,7,FALSE)*数据模拟!$B$7*数据模拟!$B$8</f>
        <v>51480</v>
      </c>
      <c r="G9">
        <f>VLOOKUP(E9,关卡产出!A:E,3,FALSE)*(数据模拟!$B$10)+VLOOKUP(E9,关卡产出!A:I,7,FALSE)*12+VLOOKUP(E9,关卡产出!A:I,7,FALSE)*数据模拟!$B$7*数据模拟!$B$8</f>
        <v>57330</v>
      </c>
      <c r="I9">
        <v>8</v>
      </c>
      <c r="J9">
        <f t="shared" si="0"/>
        <v>24</v>
      </c>
    </row>
    <row r="10" spans="1:10">
      <c r="A10">
        <v>9</v>
      </c>
      <c r="B10">
        <v>13000</v>
      </c>
      <c r="C10" s="13">
        <f t="shared" si="1"/>
        <v>0.252525252525253</v>
      </c>
      <c r="D10" s="13">
        <f>SUM($C$3:C10)</f>
        <v>1.01651715288079</v>
      </c>
      <c r="E10">
        <v>5</v>
      </c>
      <c r="F10">
        <f>VLOOKUP(E10,关卡产出!A:E,3,FALSE)*(数据模拟!$B$9)+VLOOKUP(E10,关卡产出!A:I,7,FALSE)*24+VLOOKUP(E10,关卡产出!A:I,7,FALSE)*数据模拟!$B$7*数据模拟!$B$8</f>
        <v>75600</v>
      </c>
      <c r="G10">
        <f>VLOOKUP(E10,关卡产出!A:E,3,FALSE)*(数据模拟!$B$10)+VLOOKUP(E10,关卡产出!A:I,7,FALSE)*24+VLOOKUP(E10,关卡产出!A:I,7,FALSE)*数据模拟!$B$7*数据模拟!$B$8</f>
        <v>81900</v>
      </c>
      <c r="I10">
        <v>9</v>
      </c>
      <c r="J10">
        <f t="shared" si="0"/>
        <v>25</v>
      </c>
    </row>
    <row r="11" spans="1:10">
      <c r="A11">
        <v>10</v>
      </c>
      <c r="B11">
        <v>15000</v>
      </c>
      <c r="C11" s="13">
        <f t="shared" si="1"/>
        <v>0.198412698412698</v>
      </c>
      <c r="D11" s="13">
        <f>SUM($C$3:C11)</f>
        <v>1.21492985129349</v>
      </c>
      <c r="E11">
        <v>5</v>
      </c>
      <c r="F11">
        <f>VLOOKUP(E11,关卡产出!A:E,3,FALSE)*(数据模拟!$B$9)+VLOOKUP(E11,关卡产出!A:I,7,FALSE)*24+VLOOKUP(E11,关卡产出!A:I,7,FALSE)*数据模拟!$B$7*数据模拟!$B$8</f>
        <v>75600</v>
      </c>
      <c r="G11">
        <f>VLOOKUP(E11,关卡产出!A:E,3,FALSE)*(数据模拟!$B$10)+VLOOKUP(E11,关卡产出!A:I,7,FALSE)*24+VLOOKUP(E11,关卡产出!A:I,7,FALSE)*数据模拟!$B$7*数据模拟!$B$8</f>
        <v>81900</v>
      </c>
      <c r="I11">
        <v>10</v>
      </c>
      <c r="J11">
        <f t="shared" si="0"/>
        <v>26</v>
      </c>
    </row>
    <row r="12" spans="1:10">
      <c r="A12">
        <v>11</v>
      </c>
      <c r="B12">
        <v>20000</v>
      </c>
      <c r="C12" s="13">
        <f t="shared" si="1"/>
        <v>0.264550264550265</v>
      </c>
      <c r="D12" s="13">
        <f>SUM($C$3:C12)</f>
        <v>1.47948011584375</v>
      </c>
      <c r="E12">
        <v>5</v>
      </c>
      <c r="F12">
        <f>VLOOKUP(E12,关卡产出!A:E,3,FALSE)*(数据模拟!$B$9)+VLOOKUP(E12,关卡产出!A:I,7,FALSE)*24+VLOOKUP(E12,关卡产出!A:I,7,FALSE)*数据模拟!$B$7*数据模拟!$B$8</f>
        <v>75600</v>
      </c>
      <c r="G12">
        <f>VLOOKUP(E12,关卡产出!A:E,3,FALSE)*(数据模拟!$B$10)+VLOOKUP(E12,关卡产出!A:I,7,FALSE)*24+VLOOKUP(E12,关卡产出!A:I,7,FALSE)*数据模拟!$B$7*数据模拟!$B$8</f>
        <v>81900</v>
      </c>
      <c r="I12">
        <v>11</v>
      </c>
      <c r="J12">
        <f t="shared" si="0"/>
        <v>27</v>
      </c>
    </row>
    <row r="13" spans="1:10">
      <c r="A13">
        <v>12</v>
      </c>
      <c r="B13">
        <f t="shared" ref="B13:B21" si="3">B12+2000</f>
        <v>22000</v>
      </c>
      <c r="C13" s="13">
        <f t="shared" si="1"/>
        <v>0.291005291005291</v>
      </c>
      <c r="D13" s="13">
        <f>SUM($C$3:C13)</f>
        <v>1.77048540684904</v>
      </c>
      <c r="E13">
        <v>5</v>
      </c>
      <c r="F13">
        <f>VLOOKUP(E13,关卡产出!A:E,3,FALSE)*(数据模拟!$B$9)+VLOOKUP(E13,关卡产出!A:I,7,FALSE)*24+VLOOKUP(E13,关卡产出!A:I,7,FALSE)*数据模拟!$B$7*数据模拟!$B$8</f>
        <v>75600</v>
      </c>
      <c r="G13">
        <f>VLOOKUP(E13,关卡产出!A:E,3,FALSE)*(数据模拟!$B$10)+VLOOKUP(E13,关卡产出!A:I,7,FALSE)*24+VLOOKUP(E13,关卡产出!A:I,7,FALSE)*数据模拟!$B$7*数据模拟!$B$8</f>
        <v>81900</v>
      </c>
      <c r="I13">
        <v>12</v>
      </c>
      <c r="J13">
        <f t="shared" si="0"/>
        <v>28</v>
      </c>
    </row>
    <row r="14" spans="1:10">
      <c r="A14">
        <v>13</v>
      </c>
      <c r="B14">
        <f t="shared" si="3"/>
        <v>24000</v>
      </c>
      <c r="C14" s="13">
        <f t="shared" si="1"/>
        <v>0.317460317460317</v>
      </c>
      <c r="D14" s="13">
        <f>SUM($C$3:C14)</f>
        <v>2.08794572430936</v>
      </c>
      <c r="E14">
        <v>6</v>
      </c>
      <c r="F14">
        <f>VLOOKUP(E14,关卡产出!A:E,3,FALSE)*(数据模拟!$B$9)+VLOOKUP(E14,关卡产出!A:I,7,FALSE)*24+VLOOKUP(E14,关卡产出!A:I,7,FALSE)*数据模拟!$B$7*数据模拟!$B$8</f>
        <v>81000</v>
      </c>
      <c r="G14">
        <f>VLOOKUP(E14,关卡产出!A:E,3,FALSE)*(数据模拟!$B$10)+VLOOKUP(E14,关卡产出!A:I,7,FALSE)*24+VLOOKUP(E14,关卡产出!A:I,7,FALSE)*数据模拟!$B$7*数据模拟!$B$8</f>
        <v>87750</v>
      </c>
      <c r="I14">
        <v>13</v>
      </c>
      <c r="J14">
        <f t="shared" si="0"/>
        <v>30</v>
      </c>
    </row>
    <row r="15" spans="1:10">
      <c r="A15">
        <v>14</v>
      </c>
      <c r="B15">
        <f t="shared" si="3"/>
        <v>26000</v>
      </c>
      <c r="C15" s="13">
        <f t="shared" si="1"/>
        <v>0.320987654320988</v>
      </c>
      <c r="D15" s="13">
        <f>SUM($C$3:C15)</f>
        <v>2.40893337863035</v>
      </c>
      <c r="E15">
        <v>6</v>
      </c>
      <c r="F15">
        <f>VLOOKUP(E15,关卡产出!A:E,3,FALSE)*(数据模拟!$B$9)+VLOOKUP(E15,关卡产出!A:I,7,FALSE)*24+VLOOKUP(E15,关卡产出!A:I,7,FALSE)*数据模拟!$B$7*数据模拟!$B$8</f>
        <v>81000</v>
      </c>
      <c r="G15">
        <f>VLOOKUP(E15,关卡产出!A:E,3,FALSE)*(数据模拟!$B$10)+VLOOKUP(E15,关卡产出!A:I,7,FALSE)*24+VLOOKUP(E15,关卡产出!A:I,7,FALSE)*数据模拟!$B$7*数据模拟!$B$8</f>
        <v>87750</v>
      </c>
      <c r="I15">
        <v>14</v>
      </c>
      <c r="J15">
        <f t="shared" si="0"/>
        <v>30</v>
      </c>
    </row>
    <row r="16" spans="1:10">
      <c r="A16">
        <v>15</v>
      </c>
      <c r="B16">
        <f t="shared" si="3"/>
        <v>28000</v>
      </c>
      <c r="C16" s="13">
        <f t="shared" si="1"/>
        <v>0.345679012345679</v>
      </c>
      <c r="D16" s="13">
        <f>SUM($C$3:C16)</f>
        <v>2.75461239097603</v>
      </c>
      <c r="E16">
        <v>6</v>
      </c>
      <c r="F16">
        <f>VLOOKUP(E16,关卡产出!A:E,3,FALSE)*(数据模拟!$B$9)+VLOOKUP(E16,关卡产出!A:I,7,FALSE)*24+VLOOKUP(E16,关卡产出!A:I,7,FALSE)*数据模拟!$B$7*数据模拟!$B$8</f>
        <v>81000</v>
      </c>
      <c r="G16">
        <f>VLOOKUP(E16,关卡产出!A:E,3,FALSE)*(数据模拟!$B$10)+VLOOKUP(E16,关卡产出!A:I,7,FALSE)*24+VLOOKUP(E16,关卡产出!A:I,7,FALSE)*数据模拟!$B$7*数据模拟!$B$8</f>
        <v>87750</v>
      </c>
      <c r="I16">
        <v>15</v>
      </c>
      <c r="J16">
        <f t="shared" si="0"/>
        <v>31</v>
      </c>
    </row>
    <row r="17" spans="1:10">
      <c r="A17">
        <v>16</v>
      </c>
      <c r="B17">
        <f t="shared" si="3"/>
        <v>30000</v>
      </c>
      <c r="C17" s="13">
        <f t="shared" si="1"/>
        <v>0.37037037037037</v>
      </c>
      <c r="D17" s="13">
        <f>SUM($C$3:C17)</f>
        <v>3.1249827613464</v>
      </c>
      <c r="E17">
        <f t="shared" ref="E17:E51" si="4">E13+1</f>
        <v>6</v>
      </c>
      <c r="F17">
        <f>VLOOKUP(E17,关卡产出!A:E,3,FALSE)*(数据模拟!$B$9)+VLOOKUP(E17,关卡产出!A:I,7,FALSE)*24+VLOOKUP(E17,关卡产出!A:I,7,FALSE)*数据模拟!$B$7*数据模拟!$B$8</f>
        <v>81000</v>
      </c>
      <c r="G17">
        <f>VLOOKUP(E17,关卡产出!A:E,3,FALSE)*(数据模拟!$B$10)+VLOOKUP(E17,关卡产出!A:I,7,FALSE)*24+VLOOKUP(E17,关卡产出!A:I,7,FALSE)*数据模拟!$B$7*数据模拟!$B$8</f>
        <v>87750</v>
      </c>
      <c r="I17">
        <v>16</v>
      </c>
      <c r="J17">
        <f t="shared" si="0"/>
        <v>32</v>
      </c>
    </row>
    <row r="18" spans="1:10">
      <c r="A18">
        <v>17</v>
      </c>
      <c r="B18">
        <f t="shared" si="3"/>
        <v>32000</v>
      </c>
      <c r="C18" s="13">
        <f t="shared" si="1"/>
        <v>0.395061728395062</v>
      </c>
      <c r="D18" s="13">
        <f>SUM($C$3:C18)</f>
        <v>3.52004448974146</v>
      </c>
      <c r="E18">
        <f t="shared" si="4"/>
        <v>7</v>
      </c>
      <c r="F18">
        <f>VLOOKUP(E18,关卡产出!A:E,3,FALSE)*(数据模拟!$B$9)+VLOOKUP(E18,关卡产出!A:I,7,FALSE)*24+VLOOKUP(E18,关卡产出!A:I,7,FALSE)*数据模拟!$B$7*数据模拟!$B$8</f>
        <v>86400</v>
      </c>
      <c r="G18">
        <f>VLOOKUP(E18,关卡产出!A:E,3,FALSE)*(数据模拟!$B$10)+VLOOKUP(E18,关卡产出!A:I,7,FALSE)*24+VLOOKUP(E18,关卡产出!A:I,7,FALSE)*数据模拟!$B$7*数据模拟!$B$8</f>
        <v>93600</v>
      </c>
      <c r="I18">
        <v>17</v>
      </c>
      <c r="J18">
        <f t="shared" si="0"/>
        <v>33</v>
      </c>
    </row>
    <row r="19" spans="1:10">
      <c r="A19">
        <v>18</v>
      </c>
      <c r="B19">
        <f t="shared" si="3"/>
        <v>34000</v>
      </c>
      <c r="C19" s="13">
        <f t="shared" si="1"/>
        <v>0.393518518518519</v>
      </c>
      <c r="D19" s="13">
        <f>SUM($C$3:C19)</f>
        <v>3.91356300825998</v>
      </c>
      <c r="E19">
        <f t="shared" si="4"/>
        <v>7</v>
      </c>
      <c r="F19">
        <f>VLOOKUP(E19,关卡产出!A:E,3,FALSE)*(数据模拟!$B$9)+VLOOKUP(E19,关卡产出!A:I,7,FALSE)*24+VLOOKUP(E19,关卡产出!A:I,7,FALSE)*数据模拟!$B$7*数据模拟!$B$8</f>
        <v>86400</v>
      </c>
      <c r="G19">
        <f>VLOOKUP(E19,关卡产出!A:E,3,FALSE)*(数据模拟!$B$10)+VLOOKUP(E19,关卡产出!A:I,7,FALSE)*24+VLOOKUP(E19,关卡产出!A:I,7,FALSE)*数据模拟!$B$7*数据模拟!$B$8</f>
        <v>93600</v>
      </c>
      <c r="I19">
        <v>18</v>
      </c>
      <c r="J19">
        <f t="shared" si="0"/>
        <v>34</v>
      </c>
    </row>
    <row r="20" spans="1:10">
      <c r="A20">
        <v>19</v>
      </c>
      <c r="B20">
        <f t="shared" si="3"/>
        <v>36000</v>
      </c>
      <c r="C20" s="13">
        <f t="shared" si="1"/>
        <v>0.416666666666667</v>
      </c>
      <c r="D20" s="13">
        <f>SUM($C$3:C20)</f>
        <v>4.33022967492664</v>
      </c>
      <c r="E20">
        <f t="shared" si="4"/>
        <v>7</v>
      </c>
      <c r="F20">
        <f>VLOOKUP(E20,关卡产出!A:E,3,FALSE)*(数据模拟!$B$9)+VLOOKUP(E20,关卡产出!A:I,7,FALSE)*24+VLOOKUP(E20,关卡产出!A:I,7,FALSE)*数据模拟!$B$7*数据模拟!$B$8</f>
        <v>86400</v>
      </c>
      <c r="G20">
        <f>VLOOKUP(E20,关卡产出!A:E,3,FALSE)*(数据模拟!$B$10)+VLOOKUP(E20,关卡产出!A:I,7,FALSE)*24+VLOOKUP(E20,关卡产出!A:I,7,FALSE)*数据模拟!$B$7*数据模拟!$B$8</f>
        <v>93600</v>
      </c>
      <c r="I20">
        <v>19</v>
      </c>
      <c r="J20">
        <f t="shared" si="0"/>
        <v>34</v>
      </c>
    </row>
    <row r="21" spans="1:10">
      <c r="A21">
        <v>20</v>
      </c>
      <c r="B21">
        <f t="shared" si="3"/>
        <v>38000</v>
      </c>
      <c r="C21" s="13">
        <f t="shared" si="1"/>
        <v>0.439814814814815</v>
      </c>
      <c r="D21" s="13">
        <f>SUM($C$3:C21)</f>
        <v>4.77004448974146</v>
      </c>
      <c r="E21">
        <f t="shared" si="4"/>
        <v>7</v>
      </c>
      <c r="F21">
        <f>VLOOKUP(E21,关卡产出!A:E,3,FALSE)*(数据模拟!$B$9)+VLOOKUP(E21,关卡产出!A:I,7,FALSE)*24+VLOOKUP(E21,关卡产出!A:I,7,FALSE)*数据模拟!$B$7*数据模拟!$B$8</f>
        <v>86400</v>
      </c>
      <c r="G21">
        <f>VLOOKUP(E21,关卡产出!A:E,3,FALSE)*(数据模拟!$B$10)+VLOOKUP(E21,关卡产出!A:I,7,FALSE)*24+VLOOKUP(E21,关卡产出!A:I,7,FALSE)*数据模拟!$B$7*数据模拟!$B$8</f>
        <v>93600</v>
      </c>
      <c r="I21">
        <v>20</v>
      </c>
      <c r="J21">
        <f t="shared" si="0"/>
        <v>35</v>
      </c>
    </row>
    <row r="22" spans="1:10">
      <c r="A22">
        <v>21</v>
      </c>
      <c r="B22">
        <v>60000</v>
      </c>
      <c r="C22" s="13">
        <f t="shared" si="1"/>
        <v>0.694444444444444</v>
      </c>
      <c r="D22" s="13">
        <f>SUM($C$3:C22)</f>
        <v>5.4644889341859</v>
      </c>
      <c r="E22">
        <f t="shared" si="4"/>
        <v>8</v>
      </c>
      <c r="F22">
        <f>VLOOKUP(E22,关卡产出!A:E,3,FALSE)*(数据模拟!$B$9)+VLOOKUP(E22,关卡产出!A:I,7,FALSE)*24+VLOOKUP(E22,关卡产出!A:I,7,FALSE)*数据模拟!$B$7*数据模拟!$B$8</f>
        <v>91800</v>
      </c>
      <c r="G22">
        <f>VLOOKUP(E22,关卡产出!A:E,3,FALSE)*(数据模拟!$B$10)+VLOOKUP(E22,关卡产出!A:I,7,FALSE)*24+VLOOKUP(E22,关卡产出!A:I,7,FALSE)*数据模拟!$B$7*数据模拟!$B$8</f>
        <v>99450</v>
      </c>
      <c r="I22">
        <v>21</v>
      </c>
      <c r="J22">
        <f t="shared" si="0"/>
        <v>36</v>
      </c>
    </row>
    <row r="23" spans="1:10">
      <c r="A23">
        <v>22</v>
      </c>
      <c r="B23">
        <f>B22+4000</f>
        <v>64000</v>
      </c>
      <c r="C23" s="13">
        <f t="shared" si="1"/>
        <v>0.697167755991285</v>
      </c>
      <c r="D23" s="13">
        <f>SUM($C$3:C23)</f>
        <v>6.16165669017719</v>
      </c>
      <c r="E23">
        <f t="shared" si="4"/>
        <v>8</v>
      </c>
      <c r="F23">
        <f>VLOOKUP(E23,关卡产出!A:E,3,FALSE)*(数据模拟!$B$9)+VLOOKUP(E23,关卡产出!A:I,7,FALSE)*24+VLOOKUP(E23,关卡产出!A:I,7,FALSE)*数据模拟!$B$7*数据模拟!$B$8</f>
        <v>91800</v>
      </c>
      <c r="G23">
        <f>VLOOKUP(E23,关卡产出!A:E,3,FALSE)*(数据模拟!$B$10)+VLOOKUP(E23,关卡产出!A:I,7,FALSE)*24+VLOOKUP(E23,关卡产出!A:I,7,FALSE)*数据模拟!$B$7*数据模拟!$B$8</f>
        <v>99450</v>
      </c>
      <c r="I23">
        <v>22</v>
      </c>
      <c r="J23">
        <f t="shared" si="0"/>
        <v>36</v>
      </c>
    </row>
    <row r="24" spans="1:10">
      <c r="A24">
        <v>23</v>
      </c>
      <c r="B24">
        <f t="shared" ref="B24:B31" si="5">B23+4000</f>
        <v>68000</v>
      </c>
      <c r="C24" s="13">
        <f t="shared" si="1"/>
        <v>0.740740740740741</v>
      </c>
      <c r="D24" s="13">
        <f>SUM($C$3:C24)</f>
        <v>6.90239743091793</v>
      </c>
      <c r="E24">
        <f t="shared" si="4"/>
        <v>8</v>
      </c>
      <c r="F24">
        <f>VLOOKUP(E24,关卡产出!A:E,3,FALSE)*(数据模拟!$B$9)+VLOOKUP(E24,关卡产出!A:I,7,FALSE)*24+VLOOKUP(E24,关卡产出!A:I,7,FALSE)*数据模拟!$B$7*数据模拟!$B$8</f>
        <v>91800</v>
      </c>
      <c r="G24">
        <f>VLOOKUP(E24,关卡产出!A:E,3,FALSE)*(数据模拟!$B$10)+VLOOKUP(E24,关卡产出!A:I,7,FALSE)*24+VLOOKUP(E24,关卡产出!A:I,7,FALSE)*数据模拟!$B$7*数据模拟!$B$8</f>
        <v>99450</v>
      </c>
      <c r="I24">
        <v>23</v>
      </c>
      <c r="J24">
        <f t="shared" si="0"/>
        <v>37</v>
      </c>
    </row>
    <row r="25" spans="1:10">
      <c r="A25">
        <v>24</v>
      </c>
      <c r="B25">
        <f t="shared" si="5"/>
        <v>72000</v>
      </c>
      <c r="C25" s="13">
        <f t="shared" si="1"/>
        <v>0.784313725490196</v>
      </c>
      <c r="D25" s="13">
        <f>SUM($C$3:C25)</f>
        <v>7.68671115640813</v>
      </c>
      <c r="E25">
        <f t="shared" si="4"/>
        <v>8</v>
      </c>
      <c r="F25">
        <f>VLOOKUP(E25,关卡产出!A:E,3,FALSE)*(数据模拟!$B$9)+VLOOKUP(E25,关卡产出!A:I,7,FALSE)*24+VLOOKUP(E25,关卡产出!A:I,7,FALSE)*数据模拟!$B$7*数据模拟!$B$8</f>
        <v>91800</v>
      </c>
      <c r="G25">
        <f>VLOOKUP(E25,关卡产出!A:E,3,FALSE)*(数据模拟!$B$10)+VLOOKUP(E25,关卡产出!A:I,7,FALSE)*24+VLOOKUP(E25,关卡产出!A:I,7,FALSE)*数据模拟!$B$7*数据模拟!$B$8</f>
        <v>99450</v>
      </c>
      <c r="I25">
        <v>24</v>
      </c>
      <c r="J25">
        <f t="shared" si="0"/>
        <v>38</v>
      </c>
    </row>
    <row r="26" spans="1:10">
      <c r="A26">
        <v>25</v>
      </c>
      <c r="B26">
        <f t="shared" si="5"/>
        <v>76000</v>
      </c>
      <c r="C26" s="13">
        <f t="shared" si="1"/>
        <v>0.827886710239651</v>
      </c>
      <c r="D26" s="13">
        <f>SUM($C$3:C26)</f>
        <v>8.51459786664778</v>
      </c>
      <c r="E26">
        <f t="shared" si="4"/>
        <v>9</v>
      </c>
      <c r="F26">
        <f>VLOOKUP(E26,关卡产出!A:E,3,FALSE)*(数据模拟!$B$9)+VLOOKUP(E26,关卡产出!A:I,7,FALSE)*24+VLOOKUP(E26,关卡产出!A:I,7,FALSE)*数据模拟!$B$7*数据模拟!$B$8</f>
        <v>97200</v>
      </c>
      <c r="G26">
        <f>VLOOKUP(E26,关卡产出!A:E,3,FALSE)*(数据模拟!$B$10)+VLOOKUP(E26,关卡产出!A:I,7,FALSE)*24+VLOOKUP(E26,关卡产出!A:I,7,FALSE)*数据模拟!$B$7*数据模拟!$B$8</f>
        <v>105300</v>
      </c>
      <c r="I26">
        <v>25</v>
      </c>
      <c r="J26">
        <f t="shared" si="0"/>
        <v>38</v>
      </c>
    </row>
    <row r="27" spans="1:10">
      <c r="A27">
        <v>26</v>
      </c>
      <c r="B27">
        <f t="shared" si="5"/>
        <v>80000</v>
      </c>
      <c r="C27" s="13">
        <f t="shared" si="1"/>
        <v>0.823045267489712</v>
      </c>
      <c r="D27" s="13">
        <f>SUM($C$3:C27)</f>
        <v>9.33764313413749</v>
      </c>
      <c r="E27">
        <f t="shared" si="4"/>
        <v>9</v>
      </c>
      <c r="F27">
        <f>VLOOKUP(E27,关卡产出!A:E,3,FALSE)*(数据模拟!$B$9)+VLOOKUP(E27,关卡产出!A:I,7,FALSE)*24+VLOOKUP(E27,关卡产出!A:I,7,FALSE)*数据模拟!$B$7*数据模拟!$B$8</f>
        <v>97200</v>
      </c>
      <c r="G27">
        <f>VLOOKUP(E27,关卡产出!A:E,3,FALSE)*(数据模拟!$B$10)+VLOOKUP(E27,关卡产出!A:I,7,FALSE)*24+VLOOKUP(E27,关卡产出!A:I,7,FALSE)*数据模拟!$B$7*数据模拟!$B$8</f>
        <v>105300</v>
      </c>
      <c r="I27">
        <v>26</v>
      </c>
      <c r="J27">
        <f t="shared" si="0"/>
        <v>39</v>
      </c>
    </row>
    <row r="28" spans="1:10">
      <c r="A28">
        <v>27</v>
      </c>
      <c r="B28">
        <f t="shared" si="5"/>
        <v>84000</v>
      </c>
      <c r="C28" s="13">
        <f t="shared" si="1"/>
        <v>0.864197530864197</v>
      </c>
      <c r="D28" s="13">
        <f>SUM($C$3:C28)</f>
        <v>10.2018406650017</v>
      </c>
      <c r="E28">
        <f t="shared" si="4"/>
        <v>9</v>
      </c>
      <c r="F28">
        <f>VLOOKUP(E28,关卡产出!A:E,3,FALSE)*(数据模拟!$B$9)+VLOOKUP(E28,关卡产出!A:I,7,FALSE)*24+VLOOKUP(E28,关卡产出!A:I,7,FALSE)*数据模拟!$B$7*数据模拟!$B$8</f>
        <v>97200</v>
      </c>
      <c r="G28">
        <f>VLOOKUP(E28,关卡产出!A:E,3,FALSE)*(数据模拟!$B$10)+VLOOKUP(E28,关卡产出!A:I,7,FALSE)*24+VLOOKUP(E28,关卡产出!A:I,7,FALSE)*数据模拟!$B$7*数据模拟!$B$8</f>
        <v>105300</v>
      </c>
      <c r="I28">
        <v>27</v>
      </c>
      <c r="J28">
        <f t="shared" si="0"/>
        <v>40</v>
      </c>
    </row>
    <row r="29" spans="1:10">
      <c r="A29">
        <v>28</v>
      </c>
      <c r="B29">
        <f t="shared" si="5"/>
        <v>88000</v>
      </c>
      <c r="C29" s="13">
        <f t="shared" si="1"/>
        <v>0.905349794238683</v>
      </c>
      <c r="D29" s="13">
        <f>SUM($C$3:C29)</f>
        <v>11.1071904592404</v>
      </c>
      <c r="E29">
        <f t="shared" si="4"/>
        <v>9</v>
      </c>
      <c r="F29">
        <f>VLOOKUP(E29,关卡产出!A:E,3,FALSE)*(数据模拟!$B$9)+VLOOKUP(E29,关卡产出!A:I,7,FALSE)*24+VLOOKUP(E29,关卡产出!A:I,7,FALSE)*数据模拟!$B$7*数据模拟!$B$8</f>
        <v>97200</v>
      </c>
      <c r="G29">
        <f>VLOOKUP(E29,关卡产出!A:E,3,FALSE)*(数据模拟!$B$10)+VLOOKUP(E29,关卡产出!A:I,7,FALSE)*24+VLOOKUP(E29,关卡产出!A:I,7,FALSE)*数据模拟!$B$7*数据模拟!$B$8</f>
        <v>105300</v>
      </c>
      <c r="I29">
        <v>28</v>
      </c>
      <c r="J29">
        <f t="shared" si="0"/>
        <v>40</v>
      </c>
    </row>
    <row r="30" spans="1:10">
      <c r="A30">
        <v>29</v>
      </c>
      <c r="B30">
        <f t="shared" si="5"/>
        <v>92000</v>
      </c>
      <c r="C30" s="13">
        <f t="shared" si="1"/>
        <v>0.946502057613169</v>
      </c>
      <c r="D30" s="13">
        <f>SUM($C$3:C30)</f>
        <v>12.0536925168535</v>
      </c>
      <c r="E30">
        <f t="shared" si="4"/>
        <v>10</v>
      </c>
      <c r="F30">
        <f>VLOOKUP(E30,关卡产出!A:E,3,FALSE)*(数据模拟!$B$9)+VLOOKUP(E30,关卡产出!A:I,7,FALSE)*24+VLOOKUP(E30,关卡产出!A:I,7,FALSE)*数据模拟!$B$7*数据模拟!$B$8</f>
        <v>102600</v>
      </c>
      <c r="G30">
        <f>VLOOKUP(E30,关卡产出!A:E,3,FALSE)*(数据模拟!$B$10)+VLOOKUP(E30,关卡产出!A:I,7,FALSE)*24+VLOOKUP(E30,关卡产出!A:I,7,FALSE)*数据模拟!$B$7*数据模拟!$B$8</f>
        <v>111150</v>
      </c>
      <c r="I30">
        <v>29</v>
      </c>
      <c r="J30">
        <f t="shared" si="0"/>
        <v>41</v>
      </c>
    </row>
    <row r="31" spans="1:10">
      <c r="A31">
        <v>30</v>
      </c>
      <c r="B31">
        <f t="shared" si="5"/>
        <v>96000</v>
      </c>
      <c r="C31" s="13">
        <f t="shared" si="1"/>
        <v>0.935672514619883</v>
      </c>
      <c r="D31" s="13">
        <f>SUM($C$3:C31)</f>
        <v>12.9893650314734</v>
      </c>
      <c r="E31">
        <f t="shared" si="4"/>
        <v>10</v>
      </c>
      <c r="F31">
        <f>VLOOKUP(E31,关卡产出!A:E,3,FALSE)*(数据模拟!$B$9)+VLOOKUP(E31,关卡产出!A:I,7,FALSE)*24+VLOOKUP(E31,关卡产出!A:I,7,FALSE)*数据模拟!$B$7*数据模拟!$B$8</f>
        <v>102600</v>
      </c>
      <c r="G31">
        <f>VLOOKUP(E31,关卡产出!A:E,3,FALSE)*(数据模拟!$B$10)+VLOOKUP(E31,关卡产出!A:I,7,FALSE)*24+VLOOKUP(E31,关卡产出!A:I,7,FALSE)*数据模拟!$B$7*数据模拟!$B$8</f>
        <v>111150</v>
      </c>
      <c r="I31">
        <v>30</v>
      </c>
      <c r="J31">
        <f t="shared" si="0"/>
        <v>41</v>
      </c>
    </row>
    <row r="32" spans="1:10">
      <c r="A32">
        <v>31</v>
      </c>
      <c r="B32">
        <v>120000</v>
      </c>
      <c r="C32" s="13">
        <f t="shared" si="1"/>
        <v>1.16959064327485</v>
      </c>
      <c r="D32" s="13">
        <f>SUM($C$3:C32)</f>
        <v>14.1589556747483</v>
      </c>
      <c r="E32">
        <f t="shared" si="4"/>
        <v>10</v>
      </c>
      <c r="F32">
        <f>VLOOKUP(E32,关卡产出!A:E,3,FALSE)*(数据模拟!$B$9)+VLOOKUP(E32,关卡产出!A:I,7,FALSE)*24+VLOOKUP(E32,关卡产出!A:I,7,FALSE)*数据模拟!$B$7*数据模拟!$B$8</f>
        <v>102600</v>
      </c>
      <c r="G32">
        <f>VLOOKUP(E32,关卡产出!A:E,3,FALSE)*(数据模拟!$B$10)+VLOOKUP(E32,关卡产出!A:I,7,FALSE)*24+VLOOKUP(E32,关卡产出!A:I,7,FALSE)*数据模拟!$B$7*数据模拟!$B$8</f>
        <v>111150</v>
      </c>
      <c r="I32">
        <v>31</v>
      </c>
      <c r="J32">
        <f t="shared" si="0"/>
        <v>42</v>
      </c>
    </row>
    <row r="33" spans="1:10">
      <c r="A33">
        <v>32</v>
      </c>
      <c r="B33">
        <f>B32+6000</f>
        <v>126000</v>
      </c>
      <c r="C33" s="13">
        <f t="shared" si="1"/>
        <v>1.2280701754386</v>
      </c>
      <c r="D33" s="13">
        <f>SUM($C$3:C33)</f>
        <v>15.3870258501869</v>
      </c>
      <c r="E33">
        <f t="shared" si="4"/>
        <v>10</v>
      </c>
      <c r="F33">
        <f>VLOOKUP(E33,关卡产出!A:E,3,FALSE)*(数据模拟!$B$9)+VLOOKUP(E33,关卡产出!A:I,7,FALSE)*24+VLOOKUP(E33,关卡产出!A:I,7,FALSE)*数据模拟!$B$7*数据模拟!$B$8</f>
        <v>102600</v>
      </c>
      <c r="G33">
        <f>VLOOKUP(E33,关卡产出!A:E,3,FALSE)*(数据模拟!$B$10)+VLOOKUP(E33,关卡产出!A:I,7,FALSE)*24+VLOOKUP(E33,关卡产出!A:I,7,FALSE)*数据模拟!$B$7*数据模拟!$B$8</f>
        <v>111150</v>
      </c>
      <c r="I33">
        <v>32</v>
      </c>
      <c r="J33">
        <f t="shared" si="0"/>
        <v>43</v>
      </c>
    </row>
    <row r="34" spans="1:10">
      <c r="A34">
        <v>33</v>
      </c>
      <c r="B34">
        <f t="shared" ref="B34:B41" si="6">B33+6000</f>
        <v>132000</v>
      </c>
      <c r="C34" s="13">
        <f t="shared" si="1"/>
        <v>1.28654970760234</v>
      </c>
      <c r="D34" s="13">
        <f>SUM($C$3:C34)</f>
        <v>16.6735755577892</v>
      </c>
      <c r="E34">
        <f t="shared" si="4"/>
        <v>11</v>
      </c>
      <c r="F34">
        <f>VLOOKUP(E34,关卡产出!A:E,3,FALSE)*(数据模拟!$B$9)+VLOOKUP(E34,关卡产出!A:I,7,FALSE)*24+VLOOKUP(E34,关卡产出!A:I,7,FALSE)*数据模拟!$B$7*数据模拟!$B$8</f>
        <v>108000</v>
      </c>
      <c r="G34">
        <f>VLOOKUP(E34,关卡产出!A:E,3,FALSE)*(数据模拟!$B$10)+VLOOKUP(E34,关卡产出!A:I,7,FALSE)*24+VLOOKUP(E34,关卡产出!A:I,7,FALSE)*数据模拟!$B$7*数据模拟!$B$8</f>
        <v>117000</v>
      </c>
      <c r="I34">
        <v>33</v>
      </c>
      <c r="J34">
        <f t="shared" si="0"/>
        <v>43</v>
      </c>
    </row>
    <row r="35" spans="1:10">
      <c r="A35">
        <v>34</v>
      </c>
      <c r="B35">
        <f t="shared" si="6"/>
        <v>138000</v>
      </c>
      <c r="C35" s="13">
        <f t="shared" si="1"/>
        <v>1.27777777777778</v>
      </c>
      <c r="D35" s="13">
        <f>SUM($C$3:C35)</f>
        <v>17.951353335567</v>
      </c>
      <c r="E35">
        <f t="shared" si="4"/>
        <v>11</v>
      </c>
      <c r="F35">
        <f>VLOOKUP(E35,关卡产出!A:E,3,FALSE)*(数据模拟!$B$9)+VLOOKUP(E35,关卡产出!A:I,7,FALSE)*24+VLOOKUP(E35,关卡产出!A:I,7,FALSE)*数据模拟!$B$7*数据模拟!$B$8</f>
        <v>108000</v>
      </c>
      <c r="G35">
        <f>VLOOKUP(E35,关卡产出!A:E,3,FALSE)*(数据模拟!$B$10)+VLOOKUP(E35,关卡产出!A:I,7,FALSE)*24+VLOOKUP(E35,关卡产出!A:I,7,FALSE)*数据模拟!$B$7*数据模拟!$B$8</f>
        <v>117000</v>
      </c>
      <c r="I35">
        <v>34</v>
      </c>
      <c r="J35">
        <f t="shared" si="0"/>
        <v>44</v>
      </c>
    </row>
    <row r="36" spans="1:10">
      <c r="A36">
        <v>35</v>
      </c>
      <c r="B36">
        <f t="shared" si="6"/>
        <v>144000</v>
      </c>
      <c r="C36" s="13">
        <f t="shared" si="1"/>
        <v>1.33333333333333</v>
      </c>
      <c r="D36" s="13">
        <f>SUM($C$3:C36)</f>
        <v>19.2846866689003</v>
      </c>
      <c r="E36">
        <f t="shared" si="4"/>
        <v>11</v>
      </c>
      <c r="F36">
        <f>VLOOKUP(E36,关卡产出!A:E,3,FALSE)*(数据模拟!$B$9)+VLOOKUP(E36,关卡产出!A:I,7,FALSE)*24+VLOOKUP(E36,关卡产出!A:I,7,FALSE)*数据模拟!$B$7*数据模拟!$B$8</f>
        <v>108000</v>
      </c>
      <c r="G36">
        <f>VLOOKUP(E36,关卡产出!A:E,3,FALSE)*(数据模拟!$B$10)+VLOOKUP(E36,关卡产出!A:I,7,FALSE)*24+VLOOKUP(E36,关卡产出!A:I,7,FALSE)*数据模拟!$B$7*数据模拟!$B$8</f>
        <v>117000</v>
      </c>
      <c r="I36">
        <v>35</v>
      </c>
      <c r="J36">
        <f t="shared" si="0"/>
        <v>44</v>
      </c>
    </row>
    <row r="37" spans="1:10">
      <c r="A37">
        <v>36</v>
      </c>
      <c r="B37">
        <f t="shared" si="6"/>
        <v>150000</v>
      </c>
      <c r="C37" s="13">
        <f t="shared" si="1"/>
        <v>1.38888888888889</v>
      </c>
      <c r="D37" s="13">
        <f>SUM($C$3:C37)</f>
        <v>20.6735755577892</v>
      </c>
      <c r="E37">
        <f t="shared" si="4"/>
        <v>11</v>
      </c>
      <c r="F37">
        <f>VLOOKUP(E37,关卡产出!A:E,3,FALSE)*(数据模拟!$B$9)+VLOOKUP(E37,关卡产出!A:I,7,FALSE)*24+VLOOKUP(E37,关卡产出!A:I,7,FALSE)*数据模拟!$B$7*数据模拟!$B$8</f>
        <v>108000</v>
      </c>
      <c r="G37">
        <f>VLOOKUP(E37,关卡产出!A:E,3,FALSE)*(数据模拟!$B$10)+VLOOKUP(E37,关卡产出!A:I,7,FALSE)*24+VLOOKUP(E37,关卡产出!A:I,7,FALSE)*数据模拟!$B$7*数据模拟!$B$8</f>
        <v>117000</v>
      </c>
      <c r="I37">
        <v>36</v>
      </c>
      <c r="J37">
        <f t="shared" si="0"/>
        <v>45</v>
      </c>
    </row>
    <row r="38" spans="1:10">
      <c r="A38">
        <v>37</v>
      </c>
      <c r="B38">
        <f t="shared" si="6"/>
        <v>156000</v>
      </c>
      <c r="C38" s="13">
        <f t="shared" si="1"/>
        <v>1.44444444444444</v>
      </c>
      <c r="D38" s="13">
        <f>SUM($C$3:C38)</f>
        <v>22.1180200022337</v>
      </c>
      <c r="E38">
        <f t="shared" si="4"/>
        <v>12</v>
      </c>
      <c r="F38">
        <f>VLOOKUP(E38,关卡产出!A:E,3,FALSE)*(数据模拟!$B$9)+VLOOKUP(E38,关卡产出!A:I,7,FALSE)*24+VLOOKUP(E38,关卡产出!A:I,7,FALSE)*数据模拟!$B$7*数据模拟!$B$8</f>
        <v>113400</v>
      </c>
      <c r="G38">
        <f>VLOOKUP(E38,关卡产出!A:E,3,FALSE)*(数据模拟!$B$10)+VLOOKUP(E38,关卡产出!A:I,7,FALSE)*24+VLOOKUP(E38,关卡产出!A:I,7,FALSE)*数据模拟!$B$7*数据模拟!$B$8</f>
        <v>122850</v>
      </c>
      <c r="I38">
        <v>37</v>
      </c>
      <c r="J38">
        <f t="shared" si="0"/>
        <v>45</v>
      </c>
    </row>
    <row r="39" spans="1:10">
      <c r="A39">
        <v>38</v>
      </c>
      <c r="B39">
        <f t="shared" si="6"/>
        <v>162000</v>
      </c>
      <c r="C39" s="13">
        <f t="shared" si="1"/>
        <v>1.42857142857143</v>
      </c>
      <c r="D39" s="13">
        <f>SUM($C$3:C39)</f>
        <v>23.5465914308051</v>
      </c>
      <c r="E39">
        <f t="shared" si="4"/>
        <v>12</v>
      </c>
      <c r="F39">
        <f>VLOOKUP(E39,关卡产出!A:E,3,FALSE)*(数据模拟!$B$9)+VLOOKUP(E39,关卡产出!A:I,7,FALSE)*24+VLOOKUP(E39,关卡产出!A:I,7,FALSE)*数据模拟!$B$7*数据模拟!$B$8</f>
        <v>113400</v>
      </c>
      <c r="G39">
        <f>VLOOKUP(E39,关卡产出!A:E,3,FALSE)*(数据模拟!$B$10)+VLOOKUP(E39,关卡产出!A:I,7,FALSE)*24+VLOOKUP(E39,关卡产出!A:I,7,FALSE)*数据模拟!$B$7*数据模拟!$B$8</f>
        <v>122850</v>
      </c>
      <c r="I39">
        <v>38</v>
      </c>
      <c r="J39">
        <f t="shared" si="0"/>
        <v>46</v>
      </c>
    </row>
    <row r="40" spans="1:10">
      <c r="A40">
        <v>39</v>
      </c>
      <c r="B40">
        <f t="shared" si="6"/>
        <v>168000</v>
      </c>
      <c r="C40" s="13">
        <f t="shared" si="1"/>
        <v>1.48148148148148</v>
      </c>
      <c r="D40" s="13">
        <f>SUM($C$3:C40)</f>
        <v>25.0280729122866</v>
      </c>
      <c r="E40">
        <f t="shared" si="4"/>
        <v>12</v>
      </c>
      <c r="F40">
        <f>VLOOKUP(E40,关卡产出!A:E,3,FALSE)*(数据模拟!$B$9)+VLOOKUP(E40,关卡产出!A:I,7,FALSE)*24+VLOOKUP(E40,关卡产出!A:I,7,FALSE)*数据模拟!$B$7*数据模拟!$B$8</f>
        <v>113400</v>
      </c>
      <c r="G40">
        <f>VLOOKUP(E40,关卡产出!A:E,3,FALSE)*(数据模拟!$B$10)+VLOOKUP(E40,关卡产出!A:I,7,FALSE)*24+VLOOKUP(E40,关卡产出!A:I,7,FALSE)*数据模拟!$B$7*数据模拟!$B$8</f>
        <v>122850</v>
      </c>
      <c r="I40">
        <v>39</v>
      </c>
      <c r="J40">
        <f t="shared" si="0"/>
        <v>46</v>
      </c>
    </row>
    <row r="41" spans="1:10">
      <c r="A41">
        <v>40</v>
      </c>
      <c r="B41">
        <f t="shared" si="6"/>
        <v>174000</v>
      </c>
      <c r="C41" s="13">
        <f t="shared" si="1"/>
        <v>1.53439153439153</v>
      </c>
      <c r="D41" s="13">
        <f>SUM($C$3:C41)</f>
        <v>26.5624644466781</v>
      </c>
      <c r="E41">
        <f t="shared" si="4"/>
        <v>12</v>
      </c>
      <c r="F41">
        <f>VLOOKUP(E41,关卡产出!A:E,3,FALSE)*(数据模拟!$B$9)+VLOOKUP(E41,关卡产出!A:I,7,FALSE)*24+VLOOKUP(E41,关卡产出!A:I,7,FALSE)*数据模拟!$B$7*数据模拟!$B$8</f>
        <v>113400</v>
      </c>
      <c r="G41">
        <f>VLOOKUP(E41,关卡产出!A:E,3,FALSE)*(数据模拟!$B$10)+VLOOKUP(E41,关卡产出!A:I,7,FALSE)*24+VLOOKUP(E41,关卡产出!A:I,7,FALSE)*数据模拟!$B$7*数据模拟!$B$8</f>
        <v>122850</v>
      </c>
      <c r="I41">
        <v>40</v>
      </c>
      <c r="J41">
        <f t="shared" si="0"/>
        <v>47</v>
      </c>
    </row>
    <row r="42" spans="1:10">
      <c r="A42">
        <v>41</v>
      </c>
      <c r="B42">
        <v>200000</v>
      </c>
      <c r="C42" s="13">
        <f t="shared" si="1"/>
        <v>1.7636684303351</v>
      </c>
      <c r="D42" s="13">
        <f>SUM($C$3:C42)</f>
        <v>28.3261328770132</v>
      </c>
      <c r="E42">
        <f t="shared" si="4"/>
        <v>13</v>
      </c>
      <c r="F42">
        <f>VLOOKUP(E42,关卡产出!A:E,3,FALSE)*(数据模拟!$B$9)+VLOOKUP(E42,关卡产出!A:I,7,FALSE)*24+VLOOKUP(E42,关卡产出!A:I,7,FALSE)*数据模拟!$B$7*数据模拟!$B$8</f>
        <v>118800</v>
      </c>
      <c r="G42">
        <f>VLOOKUP(E42,关卡产出!A:E,3,FALSE)*(数据模拟!$B$10)+VLOOKUP(E42,关卡产出!A:I,7,FALSE)*24+VLOOKUP(E42,关卡产出!A:I,7,FALSE)*数据模拟!$B$7*数据模拟!$B$8</f>
        <v>128700</v>
      </c>
      <c r="I42">
        <v>41</v>
      </c>
      <c r="J42">
        <f t="shared" si="0"/>
        <v>47</v>
      </c>
    </row>
    <row r="43" spans="1:10">
      <c r="A43">
        <v>42</v>
      </c>
      <c r="B43">
        <f>B42+8000</f>
        <v>208000</v>
      </c>
      <c r="C43" s="13">
        <f t="shared" si="1"/>
        <v>1.75084175084175</v>
      </c>
      <c r="D43" s="13">
        <f>SUM($C$3:C43)</f>
        <v>30.0769746278549</v>
      </c>
      <c r="E43">
        <f t="shared" si="4"/>
        <v>13</v>
      </c>
      <c r="F43">
        <f>VLOOKUP(E43,关卡产出!A:E,3,FALSE)*(数据模拟!$B$9)+VLOOKUP(E43,关卡产出!A:I,7,FALSE)*24+VLOOKUP(E43,关卡产出!A:I,7,FALSE)*数据模拟!$B$7*数据模拟!$B$8</f>
        <v>118800</v>
      </c>
      <c r="G43">
        <f>VLOOKUP(E43,关卡产出!A:E,3,FALSE)*(数据模拟!$B$10)+VLOOKUP(E43,关卡产出!A:I,7,FALSE)*24+VLOOKUP(E43,关卡产出!A:I,7,FALSE)*数据模拟!$B$7*数据模拟!$B$8</f>
        <v>128700</v>
      </c>
      <c r="I43">
        <v>42</v>
      </c>
      <c r="J43">
        <f t="shared" si="0"/>
        <v>48</v>
      </c>
    </row>
    <row r="44" spans="1:10">
      <c r="A44">
        <v>43</v>
      </c>
      <c r="B44">
        <f t="shared" ref="B44:B51" si="7">B43+8000</f>
        <v>216000</v>
      </c>
      <c r="C44" s="13">
        <f t="shared" si="1"/>
        <v>1.81818181818182</v>
      </c>
      <c r="D44" s="13">
        <f>SUM($C$3:C44)</f>
        <v>31.8951564460368</v>
      </c>
      <c r="E44">
        <f t="shared" si="4"/>
        <v>13</v>
      </c>
      <c r="F44">
        <f>VLOOKUP(E44,关卡产出!A:E,3,FALSE)*(数据模拟!$B$9)+VLOOKUP(E44,关卡产出!A:I,7,FALSE)*24+VLOOKUP(E44,关卡产出!A:I,7,FALSE)*数据模拟!$B$7*数据模拟!$B$8</f>
        <v>118800</v>
      </c>
      <c r="G44">
        <f>VLOOKUP(E44,关卡产出!A:E,3,FALSE)*(数据模拟!$B$10)+VLOOKUP(E44,关卡产出!A:I,7,FALSE)*24+VLOOKUP(E44,关卡产出!A:I,7,FALSE)*数据模拟!$B$7*数据模拟!$B$8</f>
        <v>128700</v>
      </c>
      <c r="I44">
        <v>43</v>
      </c>
      <c r="J44">
        <f t="shared" si="0"/>
        <v>48</v>
      </c>
    </row>
    <row r="45" spans="1:10">
      <c r="A45">
        <v>44</v>
      </c>
      <c r="B45">
        <f t="shared" si="7"/>
        <v>224000</v>
      </c>
      <c r="C45" s="13">
        <f t="shared" si="1"/>
        <v>1.88552188552189</v>
      </c>
      <c r="D45" s="13">
        <f>SUM($C$3:C45)</f>
        <v>33.7806783315586</v>
      </c>
      <c r="E45">
        <f t="shared" si="4"/>
        <v>13</v>
      </c>
      <c r="F45">
        <f>VLOOKUP(E45,关卡产出!A:E,3,FALSE)*(数据模拟!$B$9)+VLOOKUP(E45,关卡产出!A:I,7,FALSE)*24+VLOOKUP(E45,关卡产出!A:I,7,FALSE)*数据模拟!$B$7*数据模拟!$B$8</f>
        <v>118800</v>
      </c>
      <c r="G45">
        <f>VLOOKUP(E45,关卡产出!A:E,3,FALSE)*(数据模拟!$B$10)+VLOOKUP(E45,关卡产出!A:I,7,FALSE)*24+VLOOKUP(E45,关卡产出!A:I,7,FALSE)*数据模拟!$B$7*数据模拟!$B$8</f>
        <v>128700</v>
      </c>
      <c r="I45">
        <v>44</v>
      </c>
      <c r="J45">
        <f t="shared" si="0"/>
        <v>49</v>
      </c>
    </row>
    <row r="46" spans="1:10">
      <c r="A46">
        <v>45</v>
      </c>
      <c r="B46">
        <f t="shared" si="7"/>
        <v>232000</v>
      </c>
      <c r="C46" s="13">
        <f t="shared" si="1"/>
        <v>1.95286195286195</v>
      </c>
      <c r="D46" s="13">
        <f>SUM($C$3:C46)</f>
        <v>35.7335402844206</v>
      </c>
      <c r="E46">
        <f t="shared" si="4"/>
        <v>14</v>
      </c>
      <c r="F46">
        <f>VLOOKUP(E46,关卡产出!A:E,3,FALSE)*(数据模拟!$B$9)+VLOOKUP(E46,关卡产出!A:I,7,FALSE)*24+VLOOKUP(E46,关卡产出!A:I,7,FALSE)*数据模拟!$B$7*数据模拟!$B$8</f>
        <v>124200</v>
      </c>
      <c r="G46">
        <f>VLOOKUP(E46,关卡产出!A:E,3,FALSE)*(数据模拟!$B$10)+VLOOKUP(E46,关卡产出!A:I,7,FALSE)*24+VLOOKUP(E46,关卡产出!A:I,7,FALSE)*数据模拟!$B$7*数据模拟!$B$8</f>
        <v>134550</v>
      </c>
      <c r="I46">
        <v>45</v>
      </c>
      <c r="J46">
        <f t="shared" si="0"/>
        <v>49</v>
      </c>
    </row>
    <row r="47" spans="1:10">
      <c r="A47">
        <v>46</v>
      </c>
      <c r="B47">
        <f t="shared" si="7"/>
        <v>240000</v>
      </c>
      <c r="C47" s="13">
        <f t="shared" si="1"/>
        <v>1.93236714975845</v>
      </c>
      <c r="D47" s="13">
        <f>SUM($C$3:C47)</f>
        <v>37.6659074341791</v>
      </c>
      <c r="E47">
        <f t="shared" si="4"/>
        <v>14</v>
      </c>
      <c r="F47">
        <f>VLOOKUP(E47,关卡产出!A:E,3,FALSE)*(数据模拟!$B$9)+VLOOKUP(E47,关卡产出!A:I,7,FALSE)*24+VLOOKUP(E47,关卡产出!A:I,7,FALSE)*数据模拟!$B$7*数据模拟!$B$8</f>
        <v>124200</v>
      </c>
      <c r="G47">
        <f>VLOOKUP(E47,关卡产出!A:E,3,FALSE)*(数据模拟!$B$10)+VLOOKUP(E47,关卡产出!A:I,7,FALSE)*24+VLOOKUP(E47,关卡产出!A:I,7,FALSE)*数据模拟!$B$7*数据模拟!$B$8</f>
        <v>134550</v>
      </c>
      <c r="I47">
        <v>46</v>
      </c>
      <c r="J47">
        <f t="shared" si="0"/>
        <v>50</v>
      </c>
    </row>
    <row r="48" spans="1:10">
      <c r="A48">
        <v>47</v>
      </c>
      <c r="B48">
        <f t="shared" si="7"/>
        <v>248000</v>
      </c>
      <c r="C48" s="13">
        <f t="shared" si="1"/>
        <v>1.99677938808374</v>
      </c>
      <c r="D48" s="13">
        <f>SUM($C$3:C48)</f>
        <v>39.6626868222628</v>
      </c>
      <c r="E48">
        <f t="shared" si="4"/>
        <v>14</v>
      </c>
      <c r="F48">
        <f>VLOOKUP(E48,关卡产出!A:E,3,FALSE)*(数据模拟!$B$9)+VLOOKUP(E48,关卡产出!A:I,7,FALSE)*24+VLOOKUP(E48,关卡产出!A:I,7,FALSE)*数据模拟!$B$7*数据模拟!$B$8</f>
        <v>124200</v>
      </c>
      <c r="G48">
        <f>VLOOKUP(E48,关卡产出!A:E,3,FALSE)*(数据模拟!$B$10)+VLOOKUP(E48,关卡产出!A:I,7,FALSE)*24+VLOOKUP(E48,关卡产出!A:I,7,FALSE)*数据模拟!$B$7*数据模拟!$B$8</f>
        <v>134550</v>
      </c>
      <c r="I48">
        <v>47</v>
      </c>
      <c r="J48">
        <f t="shared" si="0"/>
        <v>50</v>
      </c>
    </row>
    <row r="49" spans="1:10">
      <c r="A49">
        <v>48</v>
      </c>
      <c r="B49">
        <f t="shared" si="7"/>
        <v>256000</v>
      </c>
      <c r="C49" s="13">
        <f t="shared" si="1"/>
        <v>2.06119162640902</v>
      </c>
      <c r="D49" s="13">
        <f>SUM($C$3:C49)</f>
        <v>41.7238784486718</v>
      </c>
      <c r="E49">
        <f t="shared" si="4"/>
        <v>14</v>
      </c>
      <c r="F49">
        <f>VLOOKUP(E49,关卡产出!A:E,3,FALSE)*(数据模拟!$B$9)+VLOOKUP(E49,关卡产出!A:I,7,FALSE)*24+VLOOKUP(E49,关卡产出!A:I,7,FALSE)*数据模拟!$B$7*数据模拟!$B$8</f>
        <v>124200</v>
      </c>
      <c r="G49">
        <f>VLOOKUP(E49,关卡产出!A:E,3,FALSE)*(数据模拟!$B$10)+VLOOKUP(E49,关卡产出!A:I,7,FALSE)*24+VLOOKUP(E49,关卡产出!A:I,7,FALSE)*数据模拟!$B$7*数据模拟!$B$8</f>
        <v>134550</v>
      </c>
      <c r="I49">
        <v>48</v>
      </c>
      <c r="J49">
        <f t="shared" si="0"/>
        <v>50</v>
      </c>
    </row>
    <row r="50" spans="1:10">
      <c r="A50">
        <v>49</v>
      </c>
      <c r="B50">
        <f t="shared" si="7"/>
        <v>264000</v>
      </c>
      <c r="C50" s="13">
        <f t="shared" si="1"/>
        <v>2.1256038647343</v>
      </c>
      <c r="D50" s="13">
        <f>SUM($C$3:C50)</f>
        <v>43.8494823134061</v>
      </c>
      <c r="E50">
        <f t="shared" si="4"/>
        <v>15</v>
      </c>
      <c r="F50">
        <f>VLOOKUP(E50,关卡产出!A:E,3,FALSE)*(数据模拟!$B$9)+VLOOKUP(E50,关卡产出!A:I,7,FALSE)*24+VLOOKUP(E50,关卡产出!A:I,7,FALSE)*数据模拟!$B$7*数据模拟!$B$8</f>
        <v>129600</v>
      </c>
      <c r="G50">
        <f>VLOOKUP(E50,关卡产出!A:E,3,FALSE)*(数据模拟!$B$10)+VLOOKUP(E50,关卡产出!A:I,7,FALSE)*24+VLOOKUP(E50,关卡产出!A:I,7,FALSE)*数据模拟!$B$7*数据模拟!$B$8</f>
        <v>140400</v>
      </c>
      <c r="I50">
        <v>49</v>
      </c>
      <c r="J50">
        <f t="shared" si="0"/>
        <v>50</v>
      </c>
    </row>
    <row r="51" spans="1:10">
      <c r="A51">
        <v>50</v>
      </c>
      <c r="B51">
        <f t="shared" si="7"/>
        <v>272000</v>
      </c>
      <c r="C51" s="13">
        <f t="shared" si="1"/>
        <v>2.09876543209877</v>
      </c>
      <c r="D51" s="13">
        <f>SUM($C$3:C51)</f>
        <v>45.9482477455049</v>
      </c>
      <c r="E51">
        <f t="shared" si="4"/>
        <v>15</v>
      </c>
      <c r="F51">
        <f>VLOOKUP(E51,关卡产出!A:E,3,FALSE)*(数据模拟!$B$9)+VLOOKUP(E51,关卡产出!A:I,7,FALSE)*24+VLOOKUP(E51,关卡产出!A:I,7,FALSE)*数据模拟!$B$7*数据模拟!$B$8</f>
        <v>129600</v>
      </c>
      <c r="G51">
        <f>VLOOKUP(E51,关卡产出!A:E,3,FALSE)*(数据模拟!$B$10)+VLOOKUP(E51,关卡产出!A:I,7,FALSE)*24+VLOOKUP(E51,关卡产出!A:I,7,FALSE)*数据模拟!$B$7*数据模拟!$B$8</f>
        <v>140400</v>
      </c>
      <c r="I51">
        <v>50</v>
      </c>
      <c r="J51">
        <f t="shared" si="0"/>
        <v>50</v>
      </c>
    </row>
    <row r="52" spans="9:10">
      <c r="I52">
        <v>51</v>
      </c>
      <c r="J52">
        <f t="shared" si="0"/>
        <v>50</v>
      </c>
    </row>
    <row r="53" spans="9:10">
      <c r="I53">
        <v>52</v>
      </c>
      <c r="J53">
        <f t="shared" si="0"/>
        <v>50</v>
      </c>
    </row>
    <row r="54" spans="9:10">
      <c r="I54">
        <v>53</v>
      </c>
      <c r="J54">
        <f t="shared" si="0"/>
        <v>50</v>
      </c>
    </row>
    <row r="55" spans="9:10">
      <c r="I55">
        <v>54</v>
      </c>
      <c r="J55">
        <f t="shared" si="0"/>
        <v>50</v>
      </c>
    </row>
    <row r="56" spans="9:10">
      <c r="I56">
        <v>55</v>
      </c>
      <c r="J56">
        <f t="shared" si="0"/>
        <v>50</v>
      </c>
    </row>
    <row r="57" spans="9:10">
      <c r="I57">
        <v>56</v>
      </c>
      <c r="J57">
        <f t="shared" si="0"/>
        <v>50</v>
      </c>
    </row>
    <row r="58" spans="9:10">
      <c r="I58">
        <v>57</v>
      </c>
      <c r="J58">
        <f t="shared" si="0"/>
        <v>50</v>
      </c>
    </row>
    <row r="59" spans="9:10">
      <c r="I59">
        <v>58</v>
      </c>
      <c r="J59">
        <f t="shared" si="0"/>
        <v>50</v>
      </c>
    </row>
    <row r="60" spans="9:10">
      <c r="I60">
        <v>59</v>
      </c>
      <c r="J60">
        <f t="shared" si="0"/>
        <v>50</v>
      </c>
    </row>
    <row r="61" spans="9:10">
      <c r="I61">
        <v>60</v>
      </c>
      <c r="J61">
        <f t="shared" si="0"/>
        <v>50</v>
      </c>
    </row>
    <row r="62" spans="9:10">
      <c r="I62">
        <v>61</v>
      </c>
      <c r="J62">
        <f t="shared" si="0"/>
        <v>50</v>
      </c>
    </row>
    <row r="63" spans="9:10">
      <c r="I63">
        <v>62</v>
      </c>
      <c r="J63">
        <f t="shared" si="0"/>
        <v>50</v>
      </c>
    </row>
    <row r="64" spans="9:10">
      <c r="I64">
        <v>63</v>
      </c>
      <c r="J64">
        <f t="shared" si="0"/>
        <v>50</v>
      </c>
    </row>
    <row r="65" spans="9:10">
      <c r="I65">
        <v>64</v>
      </c>
      <c r="J65">
        <f t="shared" si="0"/>
        <v>50</v>
      </c>
    </row>
    <row r="66" spans="9:10">
      <c r="I66">
        <v>65</v>
      </c>
      <c r="J66">
        <f t="shared" si="0"/>
        <v>50</v>
      </c>
    </row>
    <row r="67" spans="9:10">
      <c r="I67">
        <v>66</v>
      </c>
      <c r="J67">
        <f t="shared" ref="J67:J101" si="8">COUNTIF(D:D,"&lt;"&amp;I67)+1</f>
        <v>50</v>
      </c>
    </row>
    <row r="68" spans="9:10">
      <c r="I68">
        <v>67</v>
      </c>
      <c r="J68">
        <f t="shared" si="8"/>
        <v>50</v>
      </c>
    </row>
    <row r="69" spans="9:10">
      <c r="I69">
        <v>68</v>
      </c>
      <c r="J69">
        <f t="shared" si="8"/>
        <v>50</v>
      </c>
    </row>
    <row r="70" spans="9:10">
      <c r="I70">
        <v>69</v>
      </c>
      <c r="J70">
        <f t="shared" si="8"/>
        <v>50</v>
      </c>
    </row>
    <row r="71" spans="9:10">
      <c r="I71">
        <v>70</v>
      </c>
      <c r="J71">
        <f t="shared" si="8"/>
        <v>50</v>
      </c>
    </row>
    <row r="72" spans="9:10">
      <c r="I72">
        <v>71</v>
      </c>
      <c r="J72">
        <f t="shared" si="8"/>
        <v>50</v>
      </c>
    </row>
    <row r="73" spans="9:10">
      <c r="I73">
        <v>72</v>
      </c>
      <c r="J73">
        <f t="shared" si="8"/>
        <v>50</v>
      </c>
    </row>
    <row r="74" spans="9:10">
      <c r="I74">
        <v>73</v>
      </c>
      <c r="J74">
        <f t="shared" si="8"/>
        <v>50</v>
      </c>
    </row>
    <row r="75" spans="9:10">
      <c r="I75">
        <v>74</v>
      </c>
      <c r="J75">
        <f t="shared" si="8"/>
        <v>50</v>
      </c>
    </row>
    <row r="76" spans="9:10">
      <c r="I76">
        <v>75</v>
      </c>
      <c r="J76">
        <f t="shared" si="8"/>
        <v>50</v>
      </c>
    </row>
    <row r="77" spans="9:10">
      <c r="I77">
        <v>76</v>
      </c>
      <c r="J77">
        <f t="shared" si="8"/>
        <v>50</v>
      </c>
    </row>
    <row r="78" spans="9:10">
      <c r="I78">
        <v>77</v>
      </c>
      <c r="J78">
        <f t="shared" si="8"/>
        <v>50</v>
      </c>
    </row>
    <row r="79" spans="9:10">
      <c r="I79">
        <v>78</v>
      </c>
      <c r="J79">
        <f t="shared" si="8"/>
        <v>50</v>
      </c>
    </row>
    <row r="80" spans="9:10">
      <c r="I80">
        <v>79</v>
      </c>
      <c r="J80">
        <f t="shared" si="8"/>
        <v>50</v>
      </c>
    </row>
    <row r="81" spans="9:10">
      <c r="I81">
        <v>80</v>
      </c>
      <c r="J81">
        <f t="shared" si="8"/>
        <v>50</v>
      </c>
    </row>
    <row r="82" spans="9:10">
      <c r="I82">
        <v>81</v>
      </c>
      <c r="J82">
        <f t="shared" si="8"/>
        <v>50</v>
      </c>
    </row>
    <row r="83" spans="9:10">
      <c r="I83">
        <v>82</v>
      </c>
      <c r="J83">
        <f t="shared" si="8"/>
        <v>50</v>
      </c>
    </row>
    <row r="84" spans="9:10">
      <c r="I84">
        <v>83</v>
      </c>
      <c r="J84">
        <f t="shared" si="8"/>
        <v>50</v>
      </c>
    </row>
    <row r="85" spans="9:10">
      <c r="I85">
        <v>84</v>
      </c>
      <c r="J85">
        <f t="shared" si="8"/>
        <v>50</v>
      </c>
    </row>
    <row r="86" spans="9:10">
      <c r="I86">
        <v>85</v>
      </c>
      <c r="J86">
        <f t="shared" si="8"/>
        <v>50</v>
      </c>
    </row>
    <row r="87" spans="9:10">
      <c r="I87">
        <v>86</v>
      </c>
      <c r="J87">
        <f t="shared" si="8"/>
        <v>50</v>
      </c>
    </row>
    <row r="88" spans="9:10">
      <c r="I88">
        <v>87</v>
      </c>
      <c r="J88">
        <f t="shared" si="8"/>
        <v>50</v>
      </c>
    </row>
    <row r="89" spans="9:10">
      <c r="I89">
        <v>88</v>
      </c>
      <c r="J89">
        <f t="shared" si="8"/>
        <v>50</v>
      </c>
    </row>
    <row r="90" spans="9:10">
      <c r="I90">
        <v>89</v>
      </c>
      <c r="J90">
        <f t="shared" si="8"/>
        <v>50</v>
      </c>
    </row>
    <row r="91" spans="9:10">
      <c r="I91">
        <v>90</v>
      </c>
      <c r="J91">
        <f t="shared" si="8"/>
        <v>50</v>
      </c>
    </row>
    <row r="92" spans="9:10">
      <c r="I92">
        <v>91</v>
      </c>
      <c r="J92">
        <f t="shared" si="8"/>
        <v>50</v>
      </c>
    </row>
    <row r="93" spans="9:10">
      <c r="I93">
        <v>92</v>
      </c>
      <c r="J93">
        <f t="shared" si="8"/>
        <v>50</v>
      </c>
    </row>
    <row r="94" spans="9:10">
      <c r="I94">
        <v>93</v>
      </c>
      <c r="J94">
        <f t="shared" si="8"/>
        <v>50</v>
      </c>
    </row>
    <row r="95" spans="9:10">
      <c r="I95">
        <v>94</v>
      </c>
      <c r="J95">
        <f t="shared" si="8"/>
        <v>50</v>
      </c>
    </row>
    <row r="96" spans="9:10">
      <c r="I96">
        <v>95</v>
      </c>
      <c r="J96">
        <f t="shared" si="8"/>
        <v>50</v>
      </c>
    </row>
    <row r="97" spans="9:10">
      <c r="I97">
        <v>96</v>
      </c>
      <c r="J97">
        <f t="shared" si="8"/>
        <v>50</v>
      </c>
    </row>
    <row r="98" spans="9:10">
      <c r="I98">
        <v>97</v>
      </c>
      <c r="J98">
        <f t="shared" si="8"/>
        <v>50</v>
      </c>
    </row>
    <row r="99" spans="9:10">
      <c r="I99">
        <v>98</v>
      </c>
      <c r="J99">
        <f t="shared" si="8"/>
        <v>50</v>
      </c>
    </row>
    <row r="100" spans="9:10">
      <c r="I100">
        <v>99</v>
      </c>
      <c r="J100">
        <f t="shared" si="8"/>
        <v>50</v>
      </c>
    </row>
    <row r="101" spans="9:10">
      <c r="I101">
        <v>100</v>
      </c>
      <c r="J101">
        <f t="shared" si="8"/>
        <v>50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2"/>
  <sheetViews>
    <sheetView workbookViewId="0">
      <pane ySplit="2" topLeftCell="A3" activePane="bottomLeft" state="frozen"/>
      <selection/>
      <selection pane="bottomLeft" activeCell="C4" sqref="C4:C122"/>
    </sheetView>
  </sheetViews>
  <sheetFormatPr defaultColWidth="9" defaultRowHeight="13.8" outlineLevelCol="6"/>
  <cols>
    <col min="1" max="1" width="13.8888888888889" customWidth="1"/>
    <col min="6" max="6" width="21.5555555555556" customWidth="1"/>
  </cols>
  <sheetData>
    <row r="1" spans="1:3">
      <c r="A1" t="s">
        <v>173</v>
      </c>
      <c r="B1" t="s">
        <v>174</v>
      </c>
      <c r="C1" t="s">
        <v>175</v>
      </c>
    </row>
    <row r="2" spans="1:3">
      <c r="A2" t="s">
        <v>176</v>
      </c>
      <c r="B2">
        <f>SUM(B3:B10000)</f>
        <v>7979000</v>
      </c>
      <c r="C2">
        <f>SUM(C3:C10000)</f>
        <v>7140</v>
      </c>
    </row>
    <row r="3" spans="1:7">
      <c r="A3">
        <v>1</v>
      </c>
      <c r="F3" t="s">
        <v>124</v>
      </c>
      <c r="G3" s="11">
        <v>65</v>
      </c>
    </row>
    <row r="4" spans="1:7">
      <c r="A4">
        <f>A3+1</f>
        <v>2</v>
      </c>
      <c r="B4">
        <v>1000</v>
      </c>
      <c r="C4">
        <f>A3</f>
        <v>1</v>
      </c>
      <c r="F4" t="s">
        <v>177</v>
      </c>
      <c r="G4">
        <f ca="1">SUM(B3:OFFSET(B3,G3-1,0,1,1))</f>
        <v>2479000</v>
      </c>
    </row>
    <row r="5" spans="1:7">
      <c r="A5">
        <f t="shared" ref="A5:A68" si="0">A4+1</f>
        <v>3</v>
      </c>
      <c r="B5">
        <v>1000</v>
      </c>
      <c r="C5">
        <f t="shared" ref="C5:C68" si="1">A4</f>
        <v>2</v>
      </c>
      <c r="F5" t="s">
        <v>178</v>
      </c>
      <c r="G5">
        <f ca="1">SUM(C3:OFFSET(C3,G3-1,0,1,1))</f>
        <v>2080</v>
      </c>
    </row>
    <row r="6" spans="1:7">
      <c r="A6">
        <f t="shared" si="0"/>
        <v>4</v>
      </c>
      <c r="B6">
        <v>1000</v>
      </c>
      <c r="C6">
        <f t="shared" si="1"/>
        <v>3</v>
      </c>
      <c r="F6" t="s">
        <v>179</v>
      </c>
      <c r="G6">
        <f ca="1">G4*4</f>
        <v>9916000</v>
      </c>
    </row>
    <row r="7" spans="1:7">
      <c r="A7">
        <f t="shared" si="0"/>
        <v>5</v>
      </c>
      <c r="B7">
        <v>1000</v>
      </c>
      <c r="C7">
        <f t="shared" si="1"/>
        <v>4</v>
      </c>
      <c r="F7" t="s">
        <v>180</v>
      </c>
      <c r="G7">
        <f ca="1">G5*4</f>
        <v>8320</v>
      </c>
    </row>
    <row r="8" spans="1:3">
      <c r="A8">
        <f t="shared" si="0"/>
        <v>6</v>
      </c>
      <c r="B8">
        <v>5000</v>
      </c>
      <c r="C8">
        <f t="shared" si="1"/>
        <v>5</v>
      </c>
    </row>
    <row r="9" spans="1:3">
      <c r="A9">
        <f t="shared" si="0"/>
        <v>7</v>
      </c>
      <c r="B9">
        <v>5000</v>
      </c>
      <c r="C9">
        <f t="shared" si="1"/>
        <v>6</v>
      </c>
    </row>
    <row r="10" spans="1:3">
      <c r="A10">
        <f t="shared" si="0"/>
        <v>8</v>
      </c>
      <c r="B10">
        <v>5000</v>
      </c>
      <c r="C10">
        <f t="shared" si="1"/>
        <v>7</v>
      </c>
    </row>
    <row r="11" spans="1:3">
      <c r="A11">
        <f t="shared" si="0"/>
        <v>9</v>
      </c>
      <c r="B11">
        <v>5000</v>
      </c>
      <c r="C11">
        <f t="shared" si="1"/>
        <v>8</v>
      </c>
    </row>
    <row r="12" spans="1:3">
      <c r="A12">
        <f t="shared" si="0"/>
        <v>10</v>
      </c>
      <c r="B12">
        <v>5000</v>
      </c>
      <c r="C12">
        <f t="shared" si="1"/>
        <v>9</v>
      </c>
    </row>
    <row r="13" spans="1:3">
      <c r="A13">
        <f t="shared" si="0"/>
        <v>11</v>
      </c>
      <c r="B13">
        <v>10000</v>
      </c>
      <c r="C13">
        <f t="shared" si="1"/>
        <v>10</v>
      </c>
    </row>
    <row r="14" spans="1:3">
      <c r="A14">
        <f t="shared" si="0"/>
        <v>12</v>
      </c>
      <c r="B14">
        <v>10000</v>
      </c>
      <c r="C14">
        <f t="shared" si="1"/>
        <v>11</v>
      </c>
    </row>
    <row r="15" spans="1:3">
      <c r="A15">
        <f t="shared" si="0"/>
        <v>13</v>
      </c>
      <c r="B15">
        <v>10000</v>
      </c>
      <c r="C15">
        <f t="shared" si="1"/>
        <v>12</v>
      </c>
    </row>
    <row r="16" spans="1:3">
      <c r="A16">
        <f t="shared" si="0"/>
        <v>14</v>
      </c>
      <c r="B16">
        <v>10000</v>
      </c>
      <c r="C16">
        <f t="shared" si="1"/>
        <v>13</v>
      </c>
    </row>
    <row r="17" spans="1:3">
      <c r="A17">
        <f t="shared" si="0"/>
        <v>15</v>
      </c>
      <c r="B17">
        <v>10000</v>
      </c>
      <c r="C17">
        <f t="shared" si="1"/>
        <v>14</v>
      </c>
    </row>
    <row r="18" spans="1:3">
      <c r="A18">
        <f t="shared" si="0"/>
        <v>16</v>
      </c>
      <c r="B18">
        <v>15000</v>
      </c>
      <c r="C18">
        <f t="shared" si="1"/>
        <v>15</v>
      </c>
    </row>
    <row r="19" spans="1:3">
      <c r="A19">
        <f t="shared" si="0"/>
        <v>17</v>
      </c>
      <c r="B19">
        <v>15000</v>
      </c>
      <c r="C19">
        <f t="shared" si="1"/>
        <v>16</v>
      </c>
    </row>
    <row r="20" spans="1:3">
      <c r="A20">
        <f t="shared" si="0"/>
        <v>18</v>
      </c>
      <c r="B20">
        <v>15000</v>
      </c>
      <c r="C20">
        <f t="shared" si="1"/>
        <v>17</v>
      </c>
    </row>
    <row r="21" spans="1:3">
      <c r="A21">
        <f t="shared" si="0"/>
        <v>19</v>
      </c>
      <c r="B21">
        <v>15000</v>
      </c>
      <c r="C21">
        <f t="shared" si="1"/>
        <v>18</v>
      </c>
    </row>
    <row r="22" spans="1:3">
      <c r="A22">
        <f t="shared" si="0"/>
        <v>20</v>
      </c>
      <c r="B22">
        <v>15000</v>
      </c>
      <c r="C22">
        <f t="shared" si="1"/>
        <v>19</v>
      </c>
    </row>
    <row r="23" spans="1:3">
      <c r="A23">
        <f t="shared" si="0"/>
        <v>21</v>
      </c>
      <c r="B23">
        <v>20000</v>
      </c>
      <c r="C23">
        <f t="shared" si="1"/>
        <v>20</v>
      </c>
    </row>
    <row r="24" spans="1:3">
      <c r="A24">
        <f t="shared" si="0"/>
        <v>22</v>
      </c>
      <c r="B24">
        <v>20000</v>
      </c>
      <c r="C24">
        <f t="shared" si="1"/>
        <v>21</v>
      </c>
    </row>
    <row r="25" spans="1:3">
      <c r="A25">
        <f t="shared" si="0"/>
        <v>23</v>
      </c>
      <c r="B25">
        <v>20000</v>
      </c>
      <c r="C25">
        <f t="shared" si="1"/>
        <v>22</v>
      </c>
    </row>
    <row r="26" spans="1:3">
      <c r="A26">
        <f t="shared" si="0"/>
        <v>24</v>
      </c>
      <c r="B26">
        <v>20000</v>
      </c>
      <c r="C26">
        <f t="shared" si="1"/>
        <v>23</v>
      </c>
    </row>
    <row r="27" spans="1:3">
      <c r="A27">
        <f t="shared" si="0"/>
        <v>25</v>
      </c>
      <c r="B27">
        <v>20000</v>
      </c>
      <c r="C27">
        <f t="shared" si="1"/>
        <v>24</v>
      </c>
    </row>
    <row r="28" spans="1:3">
      <c r="A28">
        <f t="shared" si="0"/>
        <v>26</v>
      </c>
      <c r="B28">
        <v>25000</v>
      </c>
      <c r="C28">
        <f t="shared" si="1"/>
        <v>25</v>
      </c>
    </row>
    <row r="29" spans="1:3">
      <c r="A29">
        <f t="shared" si="0"/>
        <v>27</v>
      </c>
      <c r="B29">
        <v>25000</v>
      </c>
      <c r="C29">
        <f t="shared" si="1"/>
        <v>26</v>
      </c>
    </row>
    <row r="30" spans="1:3">
      <c r="A30">
        <f t="shared" si="0"/>
        <v>28</v>
      </c>
      <c r="B30">
        <v>25000</v>
      </c>
      <c r="C30">
        <f t="shared" si="1"/>
        <v>27</v>
      </c>
    </row>
    <row r="31" spans="1:3">
      <c r="A31">
        <f t="shared" si="0"/>
        <v>29</v>
      </c>
      <c r="B31">
        <v>25000</v>
      </c>
      <c r="C31">
        <f t="shared" si="1"/>
        <v>28</v>
      </c>
    </row>
    <row r="32" spans="1:3">
      <c r="A32">
        <f t="shared" si="0"/>
        <v>30</v>
      </c>
      <c r="B32">
        <v>25000</v>
      </c>
      <c r="C32">
        <f t="shared" si="1"/>
        <v>29</v>
      </c>
    </row>
    <row r="33" spans="1:3">
      <c r="A33">
        <f t="shared" si="0"/>
        <v>31</v>
      </c>
      <c r="B33">
        <v>30000</v>
      </c>
      <c r="C33">
        <f t="shared" si="1"/>
        <v>30</v>
      </c>
    </row>
    <row r="34" spans="1:3">
      <c r="A34">
        <f t="shared" si="0"/>
        <v>32</v>
      </c>
      <c r="B34">
        <v>30000</v>
      </c>
      <c r="C34">
        <f t="shared" si="1"/>
        <v>31</v>
      </c>
    </row>
    <row r="35" spans="1:3">
      <c r="A35">
        <f t="shared" si="0"/>
        <v>33</v>
      </c>
      <c r="B35">
        <v>30000</v>
      </c>
      <c r="C35">
        <f t="shared" si="1"/>
        <v>32</v>
      </c>
    </row>
    <row r="36" spans="1:3">
      <c r="A36">
        <f t="shared" si="0"/>
        <v>34</v>
      </c>
      <c r="B36">
        <v>30000</v>
      </c>
      <c r="C36">
        <f t="shared" si="1"/>
        <v>33</v>
      </c>
    </row>
    <row r="37" spans="1:3">
      <c r="A37">
        <f t="shared" si="0"/>
        <v>35</v>
      </c>
      <c r="B37">
        <v>30000</v>
      </c>
      <c r="C37">
        <f t="shared" si="1"/>
        <v>34</v>
      </c>
    </row>
    <row r="38" spans="1:3">
      <c r="A38">
        <f t="shared" si="0"/>
        <v>36</v>
      </c>
      <c r="B38">
        <v>40000</v>
      </c>
      <c r="C38">
        <f t="shared" si="1"/>
        <v>35</v>
      </c>
    </row>
    <row r="39" spans="1:3">
      <c r="A39">
        <f t="shared" si="0"/>
        <v>37</v>
      </c>
      <c r="B39">
        <v>40000</v>
      </c>
      <c r="C39">
        <f t="shared" si="1"/>
        <v>36</v>
      </c>
    </row>
    <row r="40" spans="1:3">
      <c r="A40">
        <f t="shared" si="0"/>
        <v>38</v>
      </c>
      <c r="B40">
        <v>40000</v>
      </c>
      <c r="C40">
        <f t="shared" si="1"/>
        <v>37</v>
      </c>
    </row>
    <row r="41" spans="1:3">
      <c r="A41">
        <f t="shared" si="0"/>
        <v>39</v>
      </c>
      <c r="B41">
        <v>40000</v>
      </c>
      <c r="C41">
        <f t="shared" si="1"/>
        <v>38</v>
      </c>
    </row>
    <row r="42" spans="1:3">
      <c r="A42">
        <f t="shared" si="0"/>
        <v>40</v>
      </c>
      <c r="B42">
        <v>40000</v>
      </c>
      <c r="C42">
        <f t="shared" si="1"/>
        <v>39</v>
      </c>
    </row>
    <row r="43" spans="1:3">
      <c r="A43">
        <f t="shared" si="0"/>
        <v>41</v>
      </c>
      <c r="B43">
        <v>50000</v>
      </c>
      <c r="C43">
        <f t="shared" si="1"/>
        <v>40</v>
      </c>
    </row>
    <row r="44" spans="1:3">
      <c r="A44">
        <f t="shared" si="0"/>
        <v>42</v>
      </c>
      <c r="B44">
        <v>50000</v>
      </c>
      <c r="C44">
        <f t="shared" si="1"/>
        <v>41</v>
      </c>
    </row>
    <row r="45" spans="1:3">
      <c r="A45">
        <f t="shared" si="0"/>
        <v>43</v>
      </c>
      <c r="B45">
        <v>50000</v>
      </c>
      <c r="C45">
        <f t="shared" si="1"/>
        <v>42</v>
      </c>
    </row>
    <row r="46" spans="1:3">
      <c r="A46">
        <f t="shared" si="0"/>
        <v>44</v>
      </c>
      <c r="B46">
        <v>50000</v>
      </c>
      <c r="C46">
        <f t="shared" si="1"/>
        <v>43</v>
      </c>
    </row>
    <row r="47" spans="1:3">
      <c r="A47">
        <f t="shared" si="0"/>
        <v>45</v>
      </c>
      <c r="B47">
        <v>50000</v>
      </c>
      <c r="C47">
        <f t="shared" si="1"/>
        <v>44</v>
      </c>
    </row>
    <row r="48" spans="1:3">
      <c r="A48">
        <f t="shared" si="0"/>
        <v>46</v>
      </c>
      <c r="B48">
        <v>60000</v>
      </c>
      <c r="C48">
        <f t="shared" si="1"/>
        <v>45</v>
      </c>
    </row>
    <row r="49" spans="1:3">
      <c r="A49">
        <f t="shared" si="0"/>
        <v>47</v>
      </c>
      <c r="B49">
        <f>B48</f>
        <v>60000</v>
      </c>
      <c r="C49">
        <f t="shared" si="1"/>
        <v>46</v>
      </c>
    </row>
    <row r="50" spans="1:3">
      <c r="A50">
        <f t="shared" si="0"/>
        <v>48</v>
      </c>
      <c r="B50">
        <f t="shared" ref="B50:C113" si="2">B49</f>
        <v>60000</v>
      </c>
      <c r="C50">
        <f t="shared" si="1"/>
        <v>47</v>
      </c>
    </row>
    <row r="51" spans="1:3">
      <c r="A51">
        <f t="shared" si="0"/>
        <v>49</v>
      </c>
      <c r="B51">
        <f t="shared" si="2"/>
        <v>60000</v>
      </c>
      <c r="C51">
        <f t="shared" si="1"/>
        <v>48</v>
      </c>
    </row>
    <row r="52" spans="1:3">
      <c r="A52">
        <f t="shared" si="0"/>
        <v>50</v>
      </c>
      <c r="B52">
        <f t="shared" si="2"/>
        <v>60000</v>
      </c>
      <c r="C52">
        <f t="shared" si="1"/>
        <v>49</v>
      </c>
    </row>
    <row r="53" spans="1:3">
      <c r="A53">
        <f t="shared" si="0"/>
        <v>51</v>
      </c>
      <c r="B53">
        <v>70000</v>
      </c>
      <c r="C53">
        <f t="shared" si="1"/>
        <v>50</v>
      </c>
    </row>
    <row r="54" spans="1:3">
      <c r="A54">
        <f t="shared" si="0"/>
        <v>52</v>
      </c>
      <c r="B54">
        <f t="shared" si="2"/>
        <v>70000</v>
      </c>
      <c r="C54">
        <f t="shared" si="1"/>
        <v>51</v>
      </c>
    </row>
    <row r="55" spans="1:3">
      <c r="A55">
        <f t="shared" si="0"/>
        <v>53</v>
      </c>
      <c r="B55">
        <f t="shared" si="2"/>
        <v>70000</v>
      </c>
      <c r="C55">
        <f t="shared" si="1"/>
        <v>52</v>
      </c>
    </row>
    <row r="56" spans="1:3">
      <c r="A56">
        <f t="shared" si="0"/>
        <v>54</v>
      </c>
      <c r="B56">
        <f t="shared" si="2"/>
        <v>70000</v>
      </c>
      <c r="C56">
        <f t="shared" si="1"/>
        <v>53</v>
      </c>
    </row>
    <row r="57" spans="1:3">
      <c r="A57">
        <f t="shared" si="0"/>
        <v>55</v>
      </c>
      <c r="B57">
        <f t="shared" si="2"/>
        <v>70000</v>
      </c>
      <c r="C57">
        <f t="shared" si="1"/>
        <v>54</v>
      </c>
    </row>
    <row r="58" spans="1:3">
      <c r="A58">
        <f t="shared" si="0"/>
        <v>56</v>
      </c>
      <c r="B58">
        <v>80000</v>
      </c>
      <c r="C58">
        <f t="shared" si="1"/>
        <v>55</v>
      </c>
    </row>
    <row r="59" spans="1:3">
      <c r="A59">
        <f t="shared" si="0"/>
        <v>57</v>
      </c>
      <c r="B59">
        <f t="shared" si="2"/>
        <v>80000</v>
      </c>
      <c r="C59">
        <f t="shared" si="1"/>
        <v>56</v>
      </c>
    </row>
    <row r="60" spans="1:3">
      <c r="A60">
        <f t="shared" si="0"/>
        <v>58</v>
      </c>
      <c r="B60">
        <f t="shared" si="2"/>
        <v>80000</v>
      </c>
      <c r="C60">
        <f t="shared" si="1"/>
        <v>57</v>
      </c>
    </row>
    <row r="61" spans="1:3">
      <c r="A61">
        <f t="shared" si="0"/>
        <v>59</v>
      </c>
      <c r="B61">
        <f t="shared" si="2"/>
        <v>80000</v>
      </c>
      <c r="C61">
        <f t="shared" si="1"/>
        <v>58</v>
      </c>
    </row>
    <row r="62" spans="1:3">
      <c r="A62">
        <f t="shared" si="0"/>
        <v>60</v>
      </c>
      <c r="B62">
        <f t="shared" si="2"/>
        <v>80000</v>
      </c>
      <c r="C62">
        <f t="shared" si="1"/>
        <v>59</v>
      </c>
    </row>
    <row r="63" spans="1:3">
      <c r="A63">
        <f t="shared" si="0"/>
        <v>61</v>
      </c>
      <c r="B63">
        <v>90000</v>
      </c>
      <c r="C63">
        <f t="shared" si="1"/>
        <v>60</v>
      </c>
    </row>
    <row r="64" spans="1:3">
      <c r="A64">
        <f t="shared" si="0"/>
        <v>62</v>
      </c>
      <c r="B64">
        <f t="shared" si="2"/>
        <v>90000</v>
      </c>
      <c r="C64">
        <f t="shared" si="1"/>
        <v>61</v>
      </c>
    </row>
    <row r="65" spans="1:3">
      <c r="A65">
        <f t="shared" si="0"/>
        <v>63</v>
      </c>
      <c r="B65">
        <f t="shared" si="2"/>
        <v>90000</v>
      </c>
      <c r="C65">
        <f t="shared" si="1"/>
        <v>62</v>
      </c>
    </row>
    <row r="66" spans="1:3">
      <c r="A66">
        <f t="shared" si="0"/>
        <v>64</v>
      </c>
      <c r="B66">
        <f t="shared" si="2"/>
        <v>90000</v>
      </c>
      <c r="C66">
        <f t="shared" si="1"/>
        <v>63</v>
      </c>
    </row>
    <row r="67" spans="1:3">
      <c r="A67">
        <f t="shared" si="0"/>
        <v>65</v>
      </c>
      <c r="B67">
        <f t="shared" si="2"/>
        <v>90000</v>
      </c>
      <c r="C67">
        <f t="shared" si="1"/>
        <v>64</v>
      </c>
    </row>
    <row r="68" spans="1:3">
      <c r="A68">
        <f t="shared" si="0"/>
        <v>66</v>
      </c>
      <c r="B68">
        <v>100000</v>
      </c>
      <c r="C68">
        <f t="shared" si="1"/>
        <v>65</v>
      </c>
    </row>
    <row r="69" spans="1:3">
      <c r="A69">
        <f t="shared" ref="A69:A122" si="3">A68+1</f>
        <v>67</v>
      </c>
      <c r="B69">
        <f t="shared" si="2"/>
        <v>100000</v>
      </c>
      <c r="C69">
        <f t="shared" ref="C69:C122" si="4">A68</f>
        <v>66</v>
      </c>
    </row>
    <row r="70" spans="1:3">
      <c r="A70">
        <f t="shared" si="3"/>
        <v>68</v>
      </c>
      <c r="B70">
        <f t="shared" si="2"/>
        <v>100000</v>
      </c>
      <c r="C70">
        <f t="shared" si="4"/>
        <v>67</v>
      </c>
    </row>
    <row r="71" spans="1:3">
      <c r="A71">
        <f t="shared" si="3"/>
        <v>69</v>
      </c>
      <c r="B71">
        <f t="shared" si="2"/>
        <v>100000</v>
      </c>
      <c r="C71">
        <f t="shared" si="4"/>
        <v>68</v>
      </c>
    </row>
    <row r="72" spans="1:3">
      <c r="A72">
        <f t="shared" si="3"/>
        <v>70</v>
      </c>
      <c r="B72">
        <f t="shared" si="2"/>
        <v>100000</v>
      </c>
      <c r="C72">
        <f t="shared" si="4"/>
        <v>69</v>
      </c>
    </row>
    <row r="73" spans="1:3">
      <c r="A73">
        <f t="shared" si="3"/>
        <v>71</v>
      </c>
      <c r="B73">
        <f t="shared" si="2"/>
        <v>100000</v>
      </c>
      <c r="C73">
        <f t="shared" si="4"/>
        <v>70</v>
      </c>
    </row>
    <row r="74" spans="1:3">
      <c r="A74">
        <f t="shared" si="3"/>
        <v>72</v>
      </c>
      <c r="B74">
        <f t="shared" si="2"/>
        <v>100000</v>
      </c>
      <c r="C74">
        <f t="shared" si="4"/>
        <v>71</v>
      </c>
    </row>
    <row r="75" spans="1:3">
      <c r="A75">
        <f t="shared" si="3"/>
        <v>73</v>
      </c>
      <c r="B75">
        <f t="shared" si="2"/>
        <v>100000</v>
      </c>
      <c r="C75">
        <f t="shared" si="4"/>
        <v>72</v>
      </c>
    </row>
    <row r="76" spans="1:3">
      <c r="A76">
        <f t="shared" si="3"/>
        <v>74</v>
      </c>
      <c r="B76">
        <f t="shared" si="2"/>
        <v>100000</v>
      </c>
      <c r="C76">
        <f t="shared" si="4"/>
        <v>73</v>
      </c>
    </row>
    <row r="77" spans="1:3">
      <c r="A77">
        <f t="shared" si="3"/>
        <v>75</v>
      </c>
      <c r="B77">
        <f t="shared" si="2"/>
        <v>100000</v>
      </c>
      <c r="C77">
        <f t="shared" si="4"/>
        <v>74</v>
      </c>
    </row>
    <row r="78" spans="1:3">
      <c r="A78">
        <f t="shared" si="3"/>
        <v>76</v>
      </c>
      <c r="B78">
        <f t="shared" si="2"/>
        <v>100000</v>
      </c>
      <c r="C78">
        <f t="shared" si="4"/>
        <v>75</v>
      </c>
    </row>
    <row r="79" spans="1:3">
      <c r="A79">
        <f t="shared" si="3"/>
        <v>77</v>
      </c>
      <c r="B79">
        <f t="shared" si="2"/>
        <v>100000</v>
      </c>
      <c r="C79">
        <f t="shared" si="4"/>
        <v>76</v>
      </c>
    </row>
    <row r="80" spans="1:3">
      <c r="A80">
        <f t="shared" si="3"/>
        <v>78</v>
      </c>
      <c r="B80">
        <f t="shared" si="2"/>
        <v>100000</v>
      </c>
      <c r="C80">
        <f t="shared" si="4"/>
        <v>77</v>
      </c>
    </row>
    <row r="81" spans="1:3">
      <c r="A81">
        <f t="shared" si="3"/>
        <v>79</v>
      </c>
      <c r="B81">
        <f t="shared" si="2"/>
        <v>100000</v>
      </c>
      <c r="C81">
        <f t="shared" si="4"/>
        <v>78</v>
      </c>
    </row>
    <row r="82" spans="1:3">
      <c r="A82">
        <f t="shared" si="3"/>
        <v>80</v>
      </c>
      <c r="B82">
        <f t="shared" si="2"/>
        <v>100000</v>
      </c>
      <c r="C82">
        <f t="shared" si="4"/>
        <v>79</v>
      </c>
    </row>
    <row r="83" spans="1:3">
      <c r="A83">
        <f t="shared" si="3"/>
        <v>81</v>
      </c>
      <c r="B83">
        <f t="shared" si="2"/>
        <v>100000</v>
      </c>
      <c r="C83">
        <f t="shared" si="4"/>
        <v>80</v>
      </c>
    </row>
    <row r="84" spans="1:3">
      <c r="A84">
        <f t="shared" si="3"/>
        <v>82</v>
      </c>
      <c r="B84">
        <f t="shared" si="2"/>
        <v>100000</v>
      </c>
      <c r="C84">
        <f t="shared" si="4"/>
        <v>81</v>
      </c>
    </row>
    <row r="85" spans="1:3">
      <c r="A85">
        <f t="shared" si="3"/>
        <v>83</v>
      </c>
      <c r="B85">
        <f t="shared" si="2"/>
        <v>100000</v>
      </c>
      <c r="C85">
        <f t="shared" si="4"/>
        <v>82</v>
      </c>
    </row>
    <row r="86" spans="1:3">
      <c r="A86">
        <f t="shared" si="3"/>
        <v>84</v>
      </c>
      <c r="B86">
        <f t="shared" si="2"/>
        <v>100000</v>
      </c>
      <c r="C86">
        <f t="shared" si="4"/>
        <v>83</v>
      </c>
    </row>
    <row r="87" spans="1:3">
      <c r="A87">
        <f t="shared" si="3"/>
        <v>85</v>
      </c>
      <c r="B87">
        <f t="shared" si="2"/>
        <v>100000</v>
      </c>
      <c r="C87">
        <f t="shared" si="4"/>
        <v>84</v>
      </c>
    </row>
    <row r="88" spans="1:3">
      <c r="A88">
        <f t="shared" si="3"/>
        <v>86</v>
      </c>
      <c r="B88">
        <f t="shared" si="2"/>
        <v>100000</v>
      </c>
      <c r="C88">
        <f t="shared" si="4"/>
        <v>85</v>
      </c>
    </row>
    <row r="89" spans="1:3">
      <c r="A89">
        <f t="shared" si="3"/>
        <v>87</v>
      </c>
      <c r="B89">
        <f t="shared" si="2"/>
        <v>100000</v>
      </c>
      <c r="C89">
        <f t="shared" si="4"/>
        <v>86</v>
      </c>
    </row>
    <row r="90" spans="1:3">
      <c r="A90">
        <f t="shared" si="3"/>
        <v>88</v>
      </c>
      <c r="B90">
        <f t="shared" si="2"/>
        <v>100000</v>
      </c>
      <c r="C90">
        <f t="shared" si="4"/>
        <v>87</v>
      </c>
    </row>
    <row r="91" spans="1:3">
      <c r="A91">
        <f t="shared" si="3"/>
        <v>89</v>
      </c>
      <c r="B91">
        <f t="shared" si="2"/>
        <v>100000</v>
      </c>
      <c r="C91">
        <f t="shared" si="4"/>
        <v>88</v>
      </c>
    </row>
    <row r="92" spans="1:3">
      <c r="A92">
        <f t="shared" si="3"/>
        <v>90</v>
      </c>
      <c r="B92">
        <f t="shared" si="2"/>
        <v>100000</v>
      </c>
      <c r="C92">
        <f t="shared" si="4"/>
        <v>89</v>
      </c>
    </row>
    <row r="93" spans="1:3">
      <c r="A93">
        <f t="shared" si="3"/>
        <v>91</v>
      </c>
      <c r="B93">
        <f t="shared" si="2"/>
        <v>100000</v>
      </c>
      <c r="C93">
        <f t="shared" si="4"/>
        <v>90</v>
      </c>
    </row>
    <row r="94" spans="1:3">
      <c r="A94">
        <f t="shared" si="3"/>
        <v>92</v>
      </c>
      <c r="B94">
        <f t="shared" si="2"/>
        <v>100000</v>
      </c>
      <c r="C94">
        <f t="shared" si="4"/>
        <v>91</v>
      </c>
    </row>
    <row r="95" spans="1:3">
      <c r="A95">
        <f t="shared" si="3"/>
        <v>93</v>
      </c>
      <c r="B95">
        <f t="shared" si="2"/>
        <v>100000</v>
      </c>
      <c r="C95">
        <f t="shared" si="4"/>
        <v>92</v>
      </c>
    </row>
    <row r="96" spans="1:3">
      <c r="A96">
        <f t="shared" si="3"/>
        <v>94</v>
      </c>
      <c r="B96">
        <f t="shared" si="2"/>
        <v>100000</v>
      </c>
      <c r="C96">
        <f t="shared" si="4"/>
        <v>93</v>
      </c>
    </row>
    <row r="97" spans="1:3">
      <c r="A97">
        <f t="shared" si="3"/>
        <v>95</v>
      </c>
      <c r="B97">
        <f t="shared" si="2"/>
        <v>100000</v>
      </c>
      <c r="C97">
        <f t="shared" si="4"/>
        <v>94</v>
      </c>
    </row>
    <row r="98" spans="1:3">
      <c r="A98">
        <f t="shared" si="3"/>
        <v>96</v>
      </c>
      <c r="B98">
        <f t="shared" si="2"/>
        <v>100000</v>
      </c>
      <c r="C98">
        <f t="shared" si="4"/>
        <v>95</v>
      </c>
    </row>
    <row r="99" spans="1:3">
      <c r="A99">
        <f t="shared" si="3"/>
        <v>97</v>
      </c>
      <c r="B99">
        <f t="shared" si="2"/>
        <v>100000</v>
      </c>
      <c r="C99">
        <f t="shared" si="4"/>
        <v>96</v>
      </c>
    </row>
    <row r="100" spans="1:3">
      <c r="A100">
        <f t="shared" si="3"/>
        <v>98</v>
      </c>
      <c r="B100">
        <f t="shared" si="2"/>
        <v>100000</v>
      </c>
      <c r="C100">
        <f t="shared" si="4"/>
        <v>97</v>
      </c>
    </row>
    <row r="101" spans="1:3">
      <c r="A101">
        <f t="shared" si="3"/>
        <v>99</v>
      </c>
      <c r="B101">
        <f t="shared" si="2"/>
        <v>100000</v>
      </c>
      <c r="C101">
        <f t="shared" si="4"/>
        <v>98</v>
      </c>
    </row>
    <row r="102" spans="1:3">
      <c r="A102">
        <f t="shared" si="3"/>
        <v>100</v>
      </c>
      <c r="B102">
        <f t="shared" si="2"/>
        <v>100000</v>
      </c>
      <c r="C102">
        <f t="shared" si="4"/>
        <v>99</v>
      </c>
    </row>
    <row r="103" spans="1:3">
      <c r="A103">
        <f t="shared" si="3"/>
        <v>101</v>
      </c>
      <c r="B103">
        <f t="shared" si="2"/>
        <v>100000</v>
      </c>
      <c r="C103">
        <f t="shared" si="4"/>
        <v>100</v>
      </c>
    </row>
    <row r="104" spans="1:3">
      <c r="A104">
        <f t="shared" si="3"/>
        <v>102</v>
      </c>
      <c r="B104">
        <f t="shared" si="2"/>
        <v>100000</v>
      </c>
      <c r="C104">
        <f t="shared" si="4"/>
        <v>101</v>
      </c>
    </row>
    <row r="105" spans="1:3">
      <c r="A105">
        <f t="shared" si="3"/>
        <v>103</v>
      </c>
      <c r="B105">
        <f t="shared" si="2"/>
        <v>100000</v>
      </c>
      <c r="C105">
        <f t="shared" si="4"/>
        <v>102</v>
      </c>
    </row>
    <row r="106" spans="1:3">
      <c r="A106">
        <f t="shared" si="3"/>
        <v>104</v>
      </c>
      <c r="B106">
        <f t="shared" si="2"/>
        <v>100000</v>
      </c>
      <c r="C106">
        <f t="shared" si="4"/>
        <v>103</v>
      </c>
    </row>
    <row r="107" spans="1:3">
      <c r="A107">
        <f t="shared" si="3"/>
        <v>105</v>
      </c>
      <c r="B107">
        <f t="shared" si="2"/>
        <v>100000</v>
      </c>
      <c r="C107">
        <f t="shared" si="4"/>
        <v>104</v>
      </c>
    </row>
    <row r="108" spans="1:3">
      <c r="A108">
        <f t="shared" si="3"/>
        <v>106</v>
      </c>
      <c r="B108">
        <f t="shared" si="2"/>
        <v>100000</v>
      </c>
      <c r="C108">
        <f t="shared" si="4"/>
        <v>105</v>
      </c>
    </row>
    <row r="109" spans="1:3">
      <c r="A109">
        <f t="shared" si="3"/>
        <v>107</v>
      </c>
      <c r="B109">
        <f t="shared" si="2"/>
        <v>100000</v>
      </c>
      <c r="C109">
        <f t="shared" si="4"/>
        <v>106</v>
      </c>
    </row>
    <row r="110" spans="1:3">
      <c r="A110">
        <f t="shared" si="3"/>
        <v>108</v>
      </c>
      <c r="B110">
        <f t="shared" si="2"/>
        <v>100000</v>
      </c>
      <c r="C110">
        <f t="shared" si="4"/>
        <v>107</v>
      </c>
    </row>
    <row r="111" spans="1:3">
      <c r="A111">
        <f t="shared" si="3"/>
        <v>109</v>
      </c>
      <c r="B111">
        <f t="shared" si="2"/>
        <v>100000</v>
      </c>
      <c r="C111">
        <f t="shared" si="4"/>
        <v>108</v>
      </c>
    </row>
    <row r="112" spans="1:3">
      <c r="A112">
        <f t="shared" si="3"/>
        <v>110</v>
      </c>
      <c r="B112">
        <f t="shared" si="2"/>
        <v>100000</v>
      </c>
      <c r="C112">
        <f t="shared" si="4"/>
        <v>109</v>
      </c>
    </row>
    <row r="113" spans="1:3">
      <c r="A113">
        <f t="shared" si="3"/>
        <v>111</v>
      </c>
      <c r="B113">
        <f t="shared" si="2"/>
        <v>100000</v>
      </c>
      <c r="C113">
        <f t="shared" si="4"/>
        <v>110</v>
      </c>
    </row>
    <row r="114" spans="1:3">
      <c r="A114">
        <f t="shared" si="3"/>
        <v>112</v>
      </c>
      <c r="B114">
        <f t="shared" ref="B114:C122" si="5">B113</f>
        <v>100000</v>
      </c>
      <c r="C114">
        <f t="shared" si="4"/>
        <v>111</v>
      </c>
    </row>
    <row r="115" spans="1:3">
      <c r="A115">
        <f t="shared" si="3"/>
        <v>113</v>
      </c>
      <c r="B115">
        <f t="shared" si="5"/>
        <v>100000</v>
      </c>
      <c r="C115">
        <f t="shared" si="4"/>
        <v>112</v>
      </c>
    </row>
    <row r="116" spans="1:3">
      <c r="A116">
        <f t="shared" si="3"/>
        <v>114</v>
      </c>
      <c r="B116">
        <f t="shared" si="5"/>
        <v>100000</v>
      </c>
      <c r="C116">
        <f t="shared" si="4"/>
        <v>113</v>
      </c>
    </row>
    <row r="117" spans="1:3">
      <c r="A117">
        <f t="shared" si="3"/>
        <v>115</v>
      </c>
      <c r="B117">
        <f t="shared" si="5"/>
        <v>100000</v>
      </c>
      <c r="C117">
        <f t="shared" si="4"/>
        <v>114</v>
      </c>
    </row>
    <row r="118" spans="1:3">
      <c r="A118">
        <f t="shared" si="3"/>
        <v>116</v>
      </c>
      <c r="B118">
        <f t="shared" si="5"/>
        <v>100000</v>
      </c>
      <c r="C118">
        <f t="shared" si="4"/>
        <v>115</v>
      </c>
    </row>
    <row r="119" spans="1:3">
      <c r="A119">
        <f t="shared" si="3"/>
        <v>117</v>
      </c>
      <c r="B119">
        <f t="shared" si="5"/>
        <v>100000</v>
      </c>
      <c r="C119">
        <f t="shared" si="4"/>
        <v>116</v>
      </c>
    </row>
    <row r="120" spans="1:3">
      <c r="A120">
        <f t="shared" si="3"/>
        <v>118</v>
      </c>
      <c r="B120">
        <f t="shared" si="5"/>
        <v>100000</v>
      </c>
      <c r="C120">
        <f t="shared" si="4"/>
        <v>117</v>
      </c>
    </row>
    <row r="121" spans="1:3">
      <c r="A121">
        <f t="shared" si="3"/>
        <v>119</v>
      </c>
      <c r="B121">
        <f t="shared" si="5"/>
        <v>100000</v>
      </c>
      <c r="C121">
        <f t="shared" si="4"/>
        <v>118</v>
      </c>
    </row>
    <row r="122" spans="1:3">
      <c r="A122">
        <f t="shared" si="3"/>
        <v>120</v>
      </c>
      <c r="B122">
        <f t="shared" si="5"/>
        <v>100000</v>
      </c>
      <c r="C122">
        <f t="shared" si="4"/>
        <v>119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E12" sqref="E12"/>
    </sheetView>
  </sheetViews>
  <sheetFormatPr defaultColWidth="9" defaultRowHeight="13.8"/>
  <cols>
    <col min="1" max="1" width="5.55555555555556" customWidth="1"/>
    <col min="2" max="3" width="11.6666666666667" customWidth="1"/>
    <col min="4" max="5" width="9.55555555555556" customWidth="1"/>
    <col min="6" max="9" width="7.44444444444444" customWidth="1"/>
  </cols>
  <sheetData>
    <row r="1" spans="2:9">
      <c r="B1" s="7" t="s">
        <v>181</v>
      </c>
      <c r="C1" s="7"/>
      <c r="D1" s="7"/>
      <c r="E1" s="7"/>
      <c r="F1" s="8" t="s">
        <v>182</v>
      </c>
      <c r="G1" s="8"/>
      <c r="H1" s="8"/>
      <c r="I1" s="8"/>
    </row>
    <row r="2" spans="1:9">
      <c r="A2" t="s">
        <v>141</v>
      </c>
      <c r="B2" s="9" t="s">
        <v>183</v>
      </c>
      <c r="C2" s="9" t="s">
        <v>184</v>
      </c>
      <c r="D2" s="9" t="s">
        <v>185</v>
      </c>
      <c r="E2" s="9" t="s">
        <v>186</v>
      </c>
      <c r="F2" s="10" t="s">
        <v>187</v>
      </c>
      <c r="G2" s="10" t="s">
        <v>188</v>
      </c>
      <c r="H2" s="10" t="s">
        <v>189</v>
      </c>
      <c r="I2" s="10" t="s">
        <v>190</v>
      </c>
    </row>
    <row r="3" spans="1:9">
      <c r="A3">
        <v>1</v>
      </c>
      <c r="B3">
        <v>2500</v>
      </c>
      <c r="C3">
        <v>500</v>
      </c>
      <c r="D3">
        <v>5000</v>
      </c>
      <c r="E3">
        <v>1000</v>
      </c>
      <c r="F3">
        <v>3000</v>
      </c>
      <c r="G3">
        <v>1200</v>
      </c>
      <c r="H3">
        <v>2</v>
      </c>
      <c r="I3">
        <v>0.2</v>
      </c>
    </row>
    <row r="4" spans="1:9">
      <c r="A4">
        <v>2</v>
      </c>
      <c r="B4">
        <v>2750</v>
      </c>
      <c r="C4">
        <v>550</v>
      </c>
      <c r="D4">
        <v>5500</v>
      </c>
      <c r="E4">
        <v>1100</v>
      </c>
      <c r="F4">
        <v>3300</v>
      </c>
      <c r="G4">
        <v>1320</v>
      </c>
      <c r="H4">
        <v>2</v>
      </c>
      <c r="I4">
        <v>0.2</v>
      </c>
    </row>
    <row r="5" spans="1:9">
      <c r="A5">
        <v>3</v>
      </c>
      <c r="B5">
        <v>3000</v>
      </c>
      <c r="C5">
        <v>600</v>
      </c>
      <c r="D5">
        <v>6000</v>
      </c>
      <c r="E5">
        <v>1200</v>
      </c>
      <c r="F5">
        <v>3600</v>
      </c>
      <c r="G5">
        <v>1440</v>
      </c>
      <c r="H5">
        <v>2</v>
      </c>
      <c r="I5">
        <v>0.2</v>
      </c>
    </row>
    <row r="6" spans="1:9">
      <c r="A6">
        <v>4</v>
      </c>
      <c r="B6">
        <v>3250</v>
      </c>
      <c r="C6">
        <v>650</v>
      </c>
      <c r="D6">
        <v>6500</v>
      </c>
      <c r="E6">
        <v>1300</v>
      </c>
      <c r="F6">
        <v>3900</v>
      </c>
      <c r="G6">
        <v>1560</v>
      </c>
      <c r="H6">
        <v>2</v>
      </c>
      <c r="I6">
        <v>0.2</v>
      </c>
    </row>
    <row r="7" spans="1:9">
      <c r="A7">
        <v>5</v>
      </c>
      <c r="B7">
        <v>3500</v>
      </c>
      <c r="C7">
        <v>700</v>
      </c>
      <c r="D7">
        <v>7000</v>
      </c>
      <c r="E7">
        <v>1400</v>
      </c>
      <c r="F7">
        <v>4200</v>
      </c>
      <c r="G7">
        <v>1680</v>
      </c>
      <c r="H7">
        <v>2</v>
      </c>
      <c r="I7">
        <v>0.2</v>
      </c>
    </row>
    <row r="8" spans="1:9">
      <c r="A8">
        <v>6</v>
      </c>
      <c r="B8">
        <v>3750</v>
      </c>
      <c r="C8">
        <v>750</v>
      </c>
      <c r="D8">
        <v>7500</v>
      </c>
      <c r="E8">
        <v>1500</v>
      </c>
      <c r="F8">
        <v>4500</v>
      </c>
      <c r="G8">
        <v>1800</v>
      </c>
      <c r="H8">
        <v>2</v>
      </c>
      <c r="I8">
        <v>0.3</v>
      </c>
    </row>
    <row r="9" spans="1:9">
      <c r="A9">
        <v>7</v>
      </c>
      <c r="B9">
        <v>4000</v>
      </c>
      <c r="C9">
        <v>800</v>
      </c>
      <c r="D9">
        <v>8000</v>
      </c>
      <c r="E9">
        <v>1600</v>
      </c>
      <c r="F9">
        <v>4800</v>
      </c>
      <c r="G9">
        <v>1920</v>
      </c>
      <c r="H9">
        <v>2</v>
      </c>
      <c r="I9">
        <v>0.3</v>
      </c>
    </row>
    <row r="10" spans="1:9">
      <c r="A10">
        <v>8</v>
      </c>
      <c r="B10">
        <v>4250</v>
      </c>
      <c r="C10">
        <v>850</v>
      </c>
      <c r="D10">
        <v>8500</v>
      </c>
      <c r="E10">
        <v>1700</v>
      </c>
      <c r="F10">
        <v>5100</v>
      </c>
      <c r="G10">
        <v>2040</v>
      </c>
      <c r="H10">
        <v>2</v>
      </c>
      <c r="I10">
        <v>0.3</v>
      </c>
    </row>
    <row r="11" spans="1:9">
      <c r="A11">
        <v>9</v>
      </c>
      <c r="B11">
        <v>4500</v>
      </c>
      <c r="C11">
        <v>900</v>
      </c>
      <c r="D11">
        <v>9000</v>
      </c>
      <c r="E11">
        <v>1800</v>
      </c>
      <c r="F11">
        <v>5400</v>
      </c>
      <c r="G11">
        <v>2160</v>
      </c>
      <c r="H11">
        <v>2</v>
      </c>
      <c r="I11">
        <v>0.3</v>
      </c>
    </row>
    <row r="12" spans="1:9">
      <c r="A12">
        <v>10</v>
      </c>
      <c r="B12">
        <v>4750</v>
      </c>
      <c r="C12">
        <v>950</v>
      </c>
      <c r="D12">
        <v>9500</v>
      </c>
      <c r="E12">
        <v>1900</v>
      </c>
      <c r="F12">
        <v>5700</v>
      </c>
      <c r="G12">
        <v>2280</v>
      </c>
      <c r="H12">
        <v>2</v>
      </c>
      <c r="I12">
        <v>0.3</v>
      </c>
    </row>
    <row r="13" spans="1:9">
      <c r="A13">
        <v>11</v>
      </c>
      <c r="B13">
        <v>5000</v>
      </c>
      <c r="C13">
        <v>1000</v>
      </c>
      <c r="D13">
        <v>10000</v>
      </c>
      <c r="E13">
        <v>2000</v>
      </c>
      <c r="F13">
        <v>6000</v>
      </c>
      <c r="G13">
        <v>2400</v>
      </c>
      <c r="H13">
        <v>2</v>
      </c>
      <c r="I13">
        <v>0.4</v>
      </c>
    </row>
    <row r="14" spans="1:9">
      <c r="A14">
        <v>12</v>
      </c>
      <c r="B14">
        <v>5250</v>
      </c>
      <c r="C14">
        <v>1050</v>
      </c>
      <c r="D14">
        <v>10500</v>
      </c>
      <c r="E14">
        <v>2100</v>
      </c>
      <c r="F14">
        <v>6300</v>
      </c>
      <c r="G14">
        <v>2520</v>
      </c>
      <c r="H14">
        <v>2</v>
      </c>
      <c r="I14">
        <v>0.4</v>
      </c>
    </row>
    <row r="15" spans="1:9">
      <c r="A15">
        <v>13</v>
      </c>
      <c r="B15">
        <v>5500</v>
      </c>
      <c r="C15">
        <v>1100</v>
      </c>
      <c r="D15">
        <v>11000</v>
      </c>
      <c r="E15">
        <v>2200</v>
      </c>
      <c r="F15">
        <v>6600</v>
      </c>
      <c r="G15">
        <v>2640</v>
      </c>
      <c r="H15">
        <v>2</v>
      </c>
      <c r="I15">
        <v>0.4</v>
      </c>
    </row>
    <row r="16" spans="1:9">
      <c r="A16">
        <v>14</v>
      </c>
      <c r="B16">
        <v>5750</v>
      </c>
      <c r="C16">
        <v>1150</v>
      </c>
      <c r="D16">
        <v>11500</v>
      </c>
      <c r="E16">
        <v>2300</v>
      </c>
      <c r="F16">
        <v>6900</v>
      </c>
      <c r="G16">
        <v>2760</v>
      </c>
      <c r="H16">
        <v>2</v>
      </c>
      <c r="I16">
        <v>0.4</v>
      </c>
    </row>
    <row r="17" spans="1:9">
      <c r="A17">
        <v>15</v>
      </c>
      <c r="B17">
        <v>6000</v>
      </c>
      <c r="C17">
        <v>1200</v>
      </c>
      <c r="D17">
        <v>12000</v>
      </c>
      <c r="E17">
        <v>2400</v>
      </c>
      <c r="F17">
        <v>7200</v>
      </c>
      <c r="G17">
        <v>2880</v>
      </c>
      <c r="H17">
        <v>2</v>
      </c>
      <c r="I17">
        <v>0.4</v>
      </c>
    </row>
    <row r="18" spans="1:9">
      <c r="A18">
        <v>16</v>
      </c>
      <c r="B18">
        <v>6250</v>
      </c>
      <c r="C18">
        <v>1250</v>
      </c>
      <c r="D18">
        <v>12500</v>
      </c>
      <c r="E18">
        <v>2500</v>
      </c>
      <c r="F18">
        <v>7500</v>
      </c>
      <c r="G18">
        <v>3000</v>
      </c>
      <c r="H18">
        <v>2</v>
      </c>
      <c r="I18">
        <v>0.5</v>
      </c>
    </row>
    <row r="19" spans="1:9">
      <c r="A19">
        <v>17</v>
      </c>
      <c r="B19">
        <v>6500</v>
      </c>
      <c r="C19">
        <v>1300</v>
      </c>
      <c r="D19">
        <v>13000</v>
      </c>
      <c r="E19">
        <v>2600</v>
      </c>
      <c r="F19">
        <v>7800</v>
      </c>
      <c r="G19">
        <v>3120</v>
      </c>
      <c r="H19">
        <v>2</v>
      </c>
      <c r="I19">
        <v>0.5</v>
      </c>
    </row>
    <row r="20" spans="1:9">
      <c r="A20">
        <v>18</v>
      </c>
      <c r="B20">
        <v>6750</v>
      </c>
      <c r="C20">
        <v>1350</v>
      </c>
      <c r="D20">
        <v>13500</v>
      </c>
      <c r="E20">
        <v>2700</v>
      </c>
      <c r="F20">
        <v>8100</v>
      </c>
      <c r="G20">
        <v>3240</v>
      </c>
      <c r="H20">
        <v>2</v>
      </c>
      <c r="I20">
        <v>0.5</v>
      </c>
    </row>
    <row r="21" spans="1:9">
      <c r="A21">
        <v>19</v>
      </c>
      <c r="B21">
        <v>7000</v>
      </c>
      <c r="C21">
        <v>1400</v>
      </c>
      <c r="D21">
        <v>14000</v>
      </c>
      <c r="E21">
        <v>2800</v>
      </c>
      <c r="F21">
        <v>8400</v>
      </c>
      <c r="G21">
        <v>3360</v>
      </c>
      <c r="H21">
        <v>2</v>
      </c>
      <c r="I21">
        <v>0.5</v>
      </c>
    </row>
    <row r="22" spans="1:9">
      <c r="A22">
        <v>20</v>
      </c>
      <c r="B22">
        <v>7250</v>
      </c>
      <c r="C22">
        <v>1450</v>
      </c>
      <c r="D22">
        <v>14500</v>
      </c>
      <c r="E22">
        <v>2900</v>
      </c>
      <c r="F22">
        <v>8700</v>
      </c>
      <c r="G22">
        <v>3480</v>
      </c>
      <c r="H22">
        <v>2</v>
      </c>
      <c r="I22">
        <v>0.5</v>
      </c>
    </row>
    <row r="23" spans="1:9">
      <c r="A23">
        <v>21</v>
      </c>
      <c r="B23">
        <v>7500</v>
      </c>
      <c r="C23">
        <v>1500</v>
      </c>
      <c r="D23">
        <v>15000</v>
      </c>
      <c r="E23">
        <v>3000</v>
      </c>
      <c r="F23">
        <v>9000</v>
      </c>
      <c r="G23">
        <v>3600</v>
      </c>
      <c r="H23">
        <v>2</v>
      </c>
      <c r="I23">
        <v>0.6</v>
      </c>
    </row>
    <row r="24" spans="1:9">
      <c r="A24">
        <v>22</v>
      </c>
      <c r="B24">
        <v>7750</v>
      </c>
      <c r="C24">
        <v>1550</v>
      </c>
      <c r="D24">
        <v>15500</v>
      </c>
      <c r="E24">
        <v>3100</v>
      </c>
      <c r="F24">
        <v>9300</v>
      </c>
      <c r="G24">
        <v>3720</v>
      </c>
      <c r="H24">
        <v>2</v>
      </c>
      <c r="I24">
        <v>0.6</v>
      </c>
    </row>
    <row r="25" spans="1:9">
      <c r="A25">
        <v>23</v>
      </c>
      <c r="B25">
        <v>8000</v>
      </c>
      <c r="C25">
        <v>1600</v>
      </c>
      <c r="D25">
        <v>16000</v>
      </c>
      <c r="E25">
        <v>3200</v>
      </c>
      <c r="F25">
        <v>9600</v>
      </c>
      <c r="G25">
        <v>3840</v>
      </c>
      <c r="H25">
        <v>2</v>
      </c>
      <c r="I25">
        <v>0.6</v>
      </c>
    </row>
    <row r="26" spans="1:9">
      <c r="A26">
        <v>24</v>
      </c>
      <c r="B26">
        <v>8250</v>
      </c>
      <c r="C26">
        <v>1650</v>
      </c>
      <c r="D26">
        <v>16500</v>
      </c>
      <c r="E26">
        <v>3300</v>
      </c>
      <c r="F26">
        <v>9900</v>
      </c>
      <c r="G26">
        <v>3960</v>
      </c>
      <c r="H26">
        <v>2</v>
      </c>
      <c r="I26">
        <v>0.6</v>
      </c>
    </row>
    <row r="27" spans="1:9">
      <c r="A27">
        <v>25</v>
      </c>
      <c r="B27">
        <v>8500</v>
      </c>
      <c r="C27">
        <v>1700</v>
      </c>
      <c r="D27">
        <v>17000</v>
      </c>
      <c r="E27">
        <v>3400</v>
      </c>
      <c r="F27">
        <v>10200</v>
      </c>
      <c r="G27">
        <v>4080</v>
      </c>
      <c r="H27">
        <v>2</v>
      </c>
      <c r="I27">
        <v>0.6</v>
      </c>
    </row>
    <row r="28" spans="1:9">
      <c r="A28">
        <v>26</v>
      </c>
      <c r="B28">
        <v>8750</v>
      </c>
      <c r="C28">
        <v>1750</v>
      </c>
      <c r="D28">
        <v>17500</v>
      </c>
      <c r="E28">
        <v>3500</v>
      </c>
      <c r="F28">
        <v>10500</v>
      </c>
      <c r="G28">
        <v>4200</v>
      </c>
      <c r="H28">
        <v>2</v>
      </c>
      <c r="I28">
        <v>0.7</v>
      </c>
    </row>
    <row r="29" spans="1:9">
      <c r="A29">
        <v>27</v>
      </c>
      <c r="B29">
        <v>9000</v>
      </c>
      <c r="C29">
        <v>1800</v>
      </c>
      <c r="D29">
        <v>18000</v>
      </c>
      <c r="E29">
        <v>3600</v>
      </c>
      <c r="F29">
        <v>10800</v>
      </c>
      <c r="G29">
        <v>4320</v>
      </c>
      <c r="H29">
        <v>2</v>
      </c>
      <c r="I29">
        <v>0.7</v>
      </c>
    </row>
    <row r="30" spans="1:9">
      <c r="A30">
        <v>28</v>
      </c>
      <c r="B30">
        <v>9250</v>
      </c>
      <c r="C30">
        <v>1850</v>
      </c>
      <c r="D30">
        <v>18500</v>
      </c>
      <c r="E30">
        <v>3700</v>
      </c>
      <c r="F30">
        <v>11100</v>
      </c>
      <c r="G30">
        <v>4440</v>
      </c>
      <c r="H30">
        <v>2</v>
      </c>
      <c r="I30">
        <v>0.7</v>
      </c>
    </row>
    <row r="31" spans="1:9">
      <c r="A31">
        <v>29</v>
      </c>
      <c r="B31">
        <v>9500</v>
      </c>
      <c r="C31">
        <v>1900</v>
      </c>
      <c r="D31">
        <v>19000</v>
      </c>
      <c r="E31">
        <v>3800</v>
      </c>
      <c r="F31">
        <v>11400</v>
      </c>
      <c r="G31">
        <v>4560</v>
      </c>
      <c r="H31">
        <v>2</v>
      </c>
      <c r="I31">
        <v>0.7</v>
      </c>
    </row>
    <row r="32" spans="1:9">
      <c r="A32">
        <v>30</v>
      </c>
      <c r="B32">
        <v>9750</v>
      </c>
      <c r="C32">
        <v>1950</v>
      </c>
      <c r="D32">
        <v>19500</v>
      </c>
      <c r="E32">
        <v>3900</v>
      </c>
      <c r="F32">
        <v>11700</v>
      </c>
      <c r="G32">
        <v>4680</v>
      </c>
      <c r="H32">
        <v>2</v>
      </c>
      <c r="I32">
        <v>0.7</v>
      </c>
    </row>
  </sheetData>
  <mergeCells count="2">
    <mergeCell ref="B1:E1"/>
    <mergeCell ref="F1:I1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N39" sqref="N39"/>
    </sheetView>
  </sheetViews>
  <sheetFormatPr defaultColWidth="9" defaultRowHeight="13.8" outlineLevelCol="7"/>
  <sheetData>
    <row r="1" spans="4:8">
      <c r="D1" s="2" t="s">
        <v>191</v>
      </c>
      <c r="E1" s="2"/>
      <c r="F1" s="3" t="s">
        <v>192</v>
      </c>
      <c r="G1" s="2" t="s">
        <v>193</v>
      </c>
      <c r="H1" s="2"/>
    </row>
    <row r="2" spans="1:8">
      <c r="A2" t="s">
        <v>194</v>
      </c>
      <c r="B2" t="s">
        <v>195</v>
      </c>
      <c r="C2" t="s">
        <v>196</v>
      </c>
      <c r="D2" t="s">
        <v>142</v>
      </c>
      <c r="E2" t="s">
        <v>143</v>
      </c>
      <c r="F2" s="3"/>
      <c r="G2" t="s">
        <v>142</v>
      </c>
      <c r="H2" t="s">
        <v>143</v>
      </c>
    </row>
    <row r="3" customHeight="1" spans="1:7">
      <c r="A3" s="4" t="s">
        <v>197</v>
      </c>
      <c r="B3" t="s">
        <v>157</v>
      </c>
      <c r="C3" s="5" t="s">
        <v>198</v>
      </c>
      <c r="D3">
        <v>10</v>
      </c>
      <c r="F3">
        <v>10</v>
      </c>
      <c r="G3">
        <v>3</v>
      </c>
    </row>
    <row r="4" spans="1:7">
      <c r="A4" s="4"/>
      <c r="B4" t="s">
        <v>158</v>
      </c>
      <c r="C4" s="5"/>
      <c r="D4">
        <v>20</v>
      </c>
      <c r="F4">
        <v>20</v>
      </c>
      <c r="G4">
        <v>4</v>
      </c>
    </row>
    <row r="5" spans="1:7">
      <c r="A5" s="4"/>
      <c r="B5" t="s">
        <v>159</v>
      </c>
      <c r="C5" s="5"/>
      <c r="D5">
        <v>30</v>
      </c>
      <c r="F5">
        <v>30</v>
      </c>
      <c r="G5">
        <v>5</v>
      </c>
    </row>
    <row r="6" spans="1:7">
      <c r="A6" s="4"/>
      <c r="B6" t="s">
        <v>160</v>
      </c>
      <c r="C6" s="5"/>
      <c r="D6">
        <v>50</v>
      </c>
      <c r="F6">
        <v>50</v>
      </c>
      <c r="G6">
        <v>7</v>
      </c>
    </row>
    <row r="7" spans="1:7">
      <c r="A7" s="4"/>
      <c r="B7" t="s">
        <v>161</v>
      </c>
      <c r="C7" s="5"/>
      <c r="D7">
        <v>60</v>
      </c>
      <c r="F7">
        <v>60</v>
      </c>
      <c r="G7">
        <v>9</v>
      </c>
    </row>
    <row r="8" spans="1:7">
      <c r="A8" s="4"/>
      <c r="B8" t="s">
        <v>162</v>
      </c>
      <c r="C8" s="5"/>
      <c r="D8">
        <v>70</v>
      </c>
      <c r="F8">
        <v>70</v>
      </c>
      <c r="G8">
        <v>11</v>
      </c>
    </row>
    <row r="9" spans="1:7">
      <c r="A9" s="4"/>
      <c r="B9" t="s">
        <v>163</v>
      </c>
      <c r="C9" s="5"/>
      <c r="D9">
        <v>100</v>
      </c>
      <c r="F9">
        <v>80</v>
      </c>
      <c r="G9">
        <v>13</v>
      </c>
    </row>
    <row r="10" spans="1:7">
      <c r="A10" s="4"/>
      <c r="B10" t="s">
        <v>164</v>
      </c>
      <c r="C10" s="5"/>
      <c r="D10">
        <v>150</v>
      </c>
      <c r="F10">
        <v>90</v>
      </c>
      <c r="G10">
        <v>15</v>
      </c>
    </row>
    <row r="11" spans="1:7">
      <c r="A11" s="4"/>
      <c r="B11" t="s">
        <v>199</v>
      </c>
      <c r="C11" s="5"/>
      <c r="D11">
        <v>200</v>
      </c>
      <c r="F11">
        <v>100</v>
      </c>
      <c r="G11">
        <v>17</v>
      </c>
    </row>
    <row r="12" spans="1:7">
      <c r="A12" s="4"/>
      <c r="B12" t="s">
        <v>200</v>
      </c>
      <c r="C12" s="5"/>
      <c r="D12">
        <v>300</v>
      </c>
      <c r="F12">
        <v>120</v>
      </c>
      <c r="G12">
        <v>20</v>
      </c>
    </row>
    <row r="13" spans="1:8">
      <c r="A13" s="4"/>
      <c r="B13" t="s">
        <v>157</v>
      </c>
      <c r="C13" s="5" t="s">
        <v>201</v>
      </c>
      <c r="D13" s="6">
        <f>D3*1.5</f>
        <v>15</v>
      </c>
      <c r="E13" s="6"/>
      <c r="F13" s="6">
        <f>F3</f>
        <v>10</v>
      </c>
      <c r="G13" s="6">
        <f>G3</f>
        <v>3</v>
      </c>
      <c r="H13" s="6"/>
    </row>
    <row r="14" spans="1:8">
      <c r="A14" s="4"/>
      <c r="B14" t="s">
        <v>158</v>
      </c>
      <c r="C14" s="5"/>
      <c r="D14" s="6">
        <f t="shared" ref="D14" si="0">D4*1.5</f>
        <v>30</v>
      </c>
      <c r="E14" s="6"/>
      <c r="F14" s="6">
        <f t="shared" ref="F14" si="1">F4</f>
        <v>20</v>
      </c>
      <c r="G14" s="6">
        <f t="shared" ref="G14" si="2">G4</f>
        <v>4</v>
      </c>
      <c r="H14" s="6"/>
    </row>
    <row r="15" spans="1:8">
      <c r="A15" s="4"/>
      <c r="B15" t="s">
        <v>159</v>
      </c>
      <c r="C15" s="5"/>
      <c r="D15" s="6">
        <f t="shared" ref="D15:D16" si="3">D5*1.5</f>
        <v>45</v>
      </c>
      <c r="E15" s="6"/>
      <c r="F15" s="6">
        <f t="shared" ref="F15:F16" si="4">F5</f>
        <v>30</v>
      </c>
      <c r="G15" s="6">
        <f t="shared" ref="G15:G16" si="5">G5</f>
        <v>5</v>
      </c>
      <c r="H15" s="6"/>
    </row>
    <row r="16" spans="1:7">
      <c r="A16" s="4"/>
      <c r="B16" t="s">
        <v>160</v>
      </c>
      <c r="C16" s="5"/>
      <c r="D16">
        <f t="shared" si="3"/>
        <v>75</v>
      </c>
      <c r="F16">
        <f t="shared" si="4"/>
        <v>50</v>
      </c>
      <c r="G16">
        <f t="shared" si="5"/>
        <v>7</v>
      </c>
    </row>
    <row r="17" spans="1:7">
      <c r="A17" s="4"/>
      <c r="B17" t="s">
        <v>161</v>
      </c>
      <c r="C17" s="5"/>
      <c r="D17">
        <f t="shared" ref="D17" si="6">D7*1.5</f>
        <v>90</v>
      </c>
      <c r="F17">
        <f t="shared" ref="F17" si="7">F7</f>
        <v>60</v>
      </c>
      <c r="G17">
        <f t="shared" ref="G17" si="8">G7</f>
        <v>9</v>
      </c>
    </row>
    <row r="18" spans="1:7">
      <c r="A18" s="4"/>
      <c r="B18" t="s">
        <v>162</v>
      </c>
      <c r="C18" s="5"/>
      <c r="D18">
        <f t="shared" ref="D18" si="9">D8*1.5</f>
        <v>105</v>
      </c>
      <c r="F18">
        <f t="shared" ref="F18" si="10">F8</f>
        <v>70</v>
      </c>
      <c r="G18">
        <f t="shared" ref="G18" si="11">G8</f>
        <v>11</v>
      </c>
    </row>
    <row r="19" spans="1:7">
      <c r="A19" s="4"/>
      <c r="B19" t="s">
        <v>163</v>
      </c>
      <c r="C19" s="5"/>
      <c r="D19">
        <f t="shared" ref="D19" si="12">D9*1.5</f>
        <v>150</v>
      </c>
      <c r="F19">
        <f t="shared" ref="F19" si="13">F9</f>
        <v>80</v>
      </c>
      <c r="G19">
        <f t="shared" ref="G19" si="14">G9</f>
        <v>13</v>
      </c>
    </row>
    <row r="20" spans="1:7">
      <c r="A20" s="4"/>
      <c r="B20" t="s">
        <v>164</v>
      </c>
      <c r="C20" s="5"/>
      <c r="D20">
        <f t="shared" ref="D20" si="15">D10*1.5</f>
        <v>225</v>
      </c>
      <c r="F20">
        <f t="shared" ref="F20" si="16">F10</f>
        <v>90</v>
      </c>
      <c r="G20">
        <f t="shared" ref="G20" si="17">G10</f>
        <v>15</v>
      </c>
    </row>
    <row r="21" spans="1:7">
      <c r="A21" s="4"/>
      <c r="B21" t="s">
        <v>199</v>
      </c>
      <c r="C21" s="5"/>
      <c r="D21">
        <f t="shared" ref="D21" si="18">D11*1.5</f>
        <v>300</v>
      </c>
      <c r="F21">
        <f t="shared" ref="F21" si="19">F11</f>
        <v>100</v>
      </c>
      <c r="G21">
        <f t="shared" ref="G21" si="20">G11</f>
        <v>17</v>
      </c>
    </row>
    <row r="22" spans="1:7">
      <c r="A22" s="4"/>
      <c r="B22" t="s">
        <v>200</v>
      </c>
      <c r="C22" s="5"/>
      <c r="D22">
        <f t="shared" ref="D22" si="21">D12*1.5</f>
        <v>450</v>
      </c>
      <c r="F22">
        <f t="shared" ref="F22" si="22">F12</f>
        <v>120</v>
      </c>
      <c r="G22">
        <f t="shared" ref="G22" si="23">G12</f>
        <v>20</v>
      </c>
    </row>
    <row r="23" spans="1:8">
      <c r="A23" s="4" t="s">
        <v>202</v>
      </c>
      <c r="B23" t="s">
        <v>157</v>
      </c>
      <c r="C23" s="5" t="s">
        <v>198</v>
      </c>
      <c r="E23">
        <f>D3*10</f>
        <v>100</v>
      </c>
      <c r="F23">
        <f>F3</f>
        <v>10</v>
      </c>
      <c r="H23">
        <f>G3*10</f>
        <v>30</v>
      </c>
    </row>
    <row r="24" spans="1:8">
      <c r="A24" s="5"/>
      <c r="B24" t="s">
        <v>158</v>
      </c>
      <c r="C24" s="5"/>
      <c r="E24">
        <f t="shared" ref="E24:E32" si="24">D4*10</f>
        <v>200</v>
      </c>
      <c r="F24">
        <f t="shared" ref="F24:F32" si="25">F4</f>
        <v>20</v>
      </c>
      <c r="H24">
        <f t="shared" ref="H24:H32" si="26">G4*10</f>
        <v>40</v>
      </c>
    </row>
    <row r="25" spans="1:8">
      <c r="A25" s="5"/>
      <c r="B25" t="s">
        <v>159</v>
      </c>
      <c r="C25" s="5"/>
      <c r="E25">
        <f t="shared" si="24"/>
        <v>300</v>
      </c>
      <c r="F25">
        <f t="shared" si="25"/>
        <v>30</v>
      </c>
      <c r="H25">
        <f t="shared" si="26"/>
        <v>50</v>
      </c>
    </row>
    <row r="26" spans="1:8">
      <c r="A26" s="5"/>
      <c r="B26" t="s">
        <v>160</v>
      </c>
      <c r="C26" s="5"/>
      <c r="E26">
        <f t="shared" si="24"/>
        <v>500</v>
      </c>
      <c r="F26">
        <f t="shared" si="25"/>
        <v>50</v>
      </c>
      <c r="H26">
        <f t="shared" si="26"/>
        <v>70</v>
      </c>
    </row>
    <row r="27" spans="1:8">
      <c r="A27" s="5"/>
      <c r="B27" t="s">
        <v>161</v>
      </c>
      <c r="C27" s="5"/>
      <c r="E27">
        <f t="shared" si="24"/>
        <v>600</v>
      </c>
      <c r="F27">
        <f t="shared" si="25"/>
        <v>60</v>
      </c>
      <c r="H27">
        <f t="shared" si="26"/>
        <v>90</v>
      </c>
    </row>
    <row r="28" spans="1:8">
      <c r="A28" s="5"/>
      <c r="B28" t="s">
        <v>162</v>
      </c>
      <c r="C28" s="5"/>
      <c r="E28">
        <f t="shared" si="24"/>
        <v>700</v>
      </c>
      <c r="F28">
        <f t="shared" si="25"/>
        <v>70</v>
      </c>
      <c r="H28">
        <f t="shared" si="26"/>
        <v>110</v>
      </c>
    </row>
    <row r="29" spans="1:8">
      <c r="A29" s="5"/>
      <c r="B29" t="s">
        <v>163</v>
      </c>
      <c r="C29" s="5"/>
      <c r="E29">
        <f t="shared" si="24"/>
        <v>1000</v>
      </c>
      <c r="F29">
        <f t="shared" si="25"/>
        <v>80</v>
      </c>
      <c r="H29">
        <f t="shared" si="26"/>
        <v>130</v>
      </c>
    </row>
    <row r="30" spans="1:8">
      <c r="A30" s="5"/>
      <c r="B30" t="s">
        <v>164</v>
      </c>
      <c r="C30" s="5"/>
      <c r="E30">
        <f t="shared" si="24"/>
        <v>1500</v>
      </c>
      <c r="F30">
        <f t="shared" si="25"/>
        <v>90</v>
      </c>
      <c r="H30">
        <f t="shared" si="26"/>
        <v>150</v>
      </c>
    </row>
    <row r="31" spans="1:8">
      <c r="A31" s="5"/>
      <c r="B31" t="s">
        <v>199</v>
      </c>
      <c r="C31" s="5"/>
      <c r="E31">
        <f t="shared" si="24"/>
        <v>2000</v>
      </c>
      <c r="F31">
        <f t="shared" si="25"/>
        <v>100</v>
      </c>
      <c r="H31">
        <f t="shared" si="26"/>
        <v>170</v>
      </c>
    </row>
    <row r="32" spans="1:8">
      <c r="A32" s="5"/>
      <c r="B32" t="s">
        <v>200</v>
      </c>
      <c r="C32" s="5"/>
      <c r="E32">
        <f t="shared" si="24"/>
        <v>3000</v>
      </c>
      <c r="F32">
        <f t="shared" si="25"/>
        <v>120</v>
      </c>
      <c r="H32">
        <f t="shared" si="26"/>
        <v>200</v>
      </c>
    </row>
    <row r="33" spans="1:8">
      <c r="A33" s="5"/>
      <c r="B33" t="s">
        <v>157</v>
      </c>
      <c r="C33" s="5" t="s">
        <v>201</v>
      </c>
      <c r="D33" s="6"/>
      <c r="E33" s="6">
        <f>E23*1.5</f>
        <v>150</v>
      </c>
      <c r="F33" s="6">
        <f>F23</f>
        <v>10</v>
      </c>
      <c r="G33" s="6"/>
      <c r="H33" s="6">
        <f>H23</f>
        <v>30</v>
      </c>
    </row>
    <row r="34" spans="1:8">
      <c r="A34" s="5"/>
      <c r="B34" t="s">
        <v>158</v>
      </c>
      <c r="C34" s="5"/>
      <c r="D34" s="6"/>
      <c r="E34" s="6">
        <f t="shared" ref="E34:E36" si="27">E24*1.5</f>
        <v>300</v>
      </c>
      <c r="F34" s="6">
        <f t="shared" ref="F34:H35" si="28">F24</f>
        <v>20</v>
      </c>
      <c r="G34" s="6"/>
      <c r="H34" s="6">
        <f t="shared" si="28"/>
        <v>40</v>
      </c>
    </row>
    <row r="35" spans="1:8">
      <c r="A35" s="5"/>
      <c r="B35" t="s">
        <v>159</v>
      </c>
      <c r="C35" s="5"/>
      <c r="D35" s="6"/>
      <c r="E35" s="6">
        <f t="shared" si="27"/>
        <v>450</v>
      </c>
      <c r="F35" s="6">
        <f t="shared" si="28"/>
        <v>30</v>
      </c>
      <c r="G35" s="6"/>
      <c r="H35" s="6">
        <f t="shared" si="28"/>
        <v>50</v>
      </c>
    </row>
    <row r="36" spans="1:8">
      <c r="A36" s="5"/>
      <c r="B36" t="s">
        <v>160</v>
      </c>
      <c r="C36" s="5"/>
      <c r="E36">
        <f t="shared" si="27"/>
        <v>750</v>
      </c>
      <c r="F36">
        <f>F26</f>
        <v>50</v>
      </c>
      <c r="H36">
        <f>H26</f>
        <v>70</v>
      </c>
    </row>
    <row r="37" spans="1:8">
      <c r="A37" s="5"/>
      <c r="B37" t="s">
        <v>161</v>
      </c>
      <c r="C37" s="5"/>
      <c r="E37">
        <f t="shared" ref="E37:E42" si="29">E27*1.5</f>
        <v>900</v>
      </c>
      <c r="F37">
        <f t="shared" ref="F37:H42" si="30">F27</f>
        <v>60</v>
      </c>
      <c r="H37">
        <f t="shared" si="30"/>
        <v>90</v>
      </c>
    </row>
    <row r="38" spans="1:8">
      <c r="A38" s="5"/>
      <c r="B38" t="s">
        <v>162</v>
      </c>
      <c r="C38" s="5"/>
      <c r="E38">
        <f t="shared" si="29"/>
        <v>1050</v>
      </c>
      <c r="F38">
        <f t="shared" si="30"/>
        <v>70</v>
      </c>
      <c r="H38">
        <f t="shared" si="30"/>
        <v>110</v>
      </c>
    </row>
    <row r="39" spans="1:8">
      <c r="A39" s="5"/>
      <c r="B39" t="s">
        <v>163</v>
      </c>
      <c r="C39" s="5"/>
      <c r="E39">
        <f t="shared" si="29"/>
        <v>1500</v>
      </c>
      <c r="F39">
        <f t="shared" si="30"/>
        <v>80</v>
      </c>
      <c r="H39">
        <f t="shared" si="30"/>
        <v>130</v>
      </c>
    </row>
    <row r="40" spans="1:8">
      <c r="A40" s="5"/>
      <c r="B40" t="s">
        <v>164</v>
      </c>
      <c r="C40" s="5"/>
      <c r="E40">
        <f t="shared" si="29"/>
        <v>2250</v>
      </c>
      <c r="F40">
        <f t="shared" si="30"/>
        <v>90</v>
      </c>
      <c r="H40">
        <f t="shared" si="30"/>
        <v>150</v>
      </c>
    </row>
    <row r="41" spans="1:8">
      <c r="A41" s="5"/>
      <c r="B41" t="s">
        <v>199</v>
      </c>
      <c r="C41" s="5"/>
      <c r="E41">
        <f t="shared" si="29"/>
        <v>3000</v>
      </c>
      <c r="F41">
        <f t="shared" si="30"/>
        <v>100</v>
      </c>
      <c r="H41">
        <f t="shared" si="30"/>
        <v>170</v>
      </c>
    </row>
    <row r="42" spans="1:8">
      <c r="A42" s="5"/>
      <c r="B42" t="s">
        <v>200</v>
      </c>
      <c r="C42" s="5"/>
      <c r="E42">
        <f t="shared" si="29"/>
        <v>4500</v>
      </c>
      <c r="F42">
        <f t="shared" si="30"/>
        <v>120</v>
      </c>
      <c r="H42">
        <f t="shared" si="30"/>
        <v>200</v>
      </c>
    </row>
  </sheetData>
  <mergeCells count="9">
    <mergeCell ref="D1:E1"/>
    <mergeCell ref="G1:H1"/>
    <mergeCell ref="A3:A22"/>
    <mergeCell ref="A23:A42"/>
    <mergeCell ref="C3:C12"/>
    <mergeCell ref="C13:C22"/>
    <mergeCell ref="C23:C32"/>
    <mergeCell ref="C33:C42"/>
    <mergeCell ref="F1:F2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2"/>
  <sheetViews>
    <sheetView workbookViewId="0">
      <pane ySplit="2" topLeftCell="A3" activePane="bottomLeft" state="frozen"/>
      <selection/>
      <selection pane="bottomLeft" activeCell="D4" sqref="D4"/>
    </sheetView>
  </sheetViews>
  <sheetFormatPr defaultColWidth="9" defaultRowHeight="13.8"/>
  <cols>
    <col min="9" max="9" width="24.3333333333333" customWidth="1"/>
  </cols>
  <sheetData>
    <row r="1" spans="1:7">
      <c r="A1" t="s">
        <v>203</v>
      </c>
      <c r="B1" t="s">
        <v>204</v>
      </c>
      <c r="C1" t="s">
        <v>174</v>
      </c>
      <c r="D1" t="s">
        <v>142</v>
      </c>
      <c r="E1" t="s">
        <v>143</v>
      </c>
      <c r="F1" t="s">
        <v>155</v>
      </c>
      <c r="G1" t="s">
        <v>156</v>
      </c>
    </row>
    <row r="2" spans="2:7">
      <c r="B2" t="s">
        <v>34</v>
      </c>
      <c r="C2">
        <f>SUM(C3:C10000)</f>
        <v>19705000</v>
      </c>
      <c r="D2">
        <f>SUM(D3:D10000)</f>
        <v>1085</v>
      </c>
      <c r="E2">
        <f>SUM(E3:E10000)</f>
        <v>10850</v>
      </c>
      <c r="F2">
        <f>SUM(F3:F10000)</f>
        <v>550</v>
      </c>
      <c r="G2">
        <f>SUM(G3:G10000)</f>
        <v>5425</v>
      </c>
    </row>
    <row r="3" spans="1:10">
      <c r="A3">
        <v>1</v>
      </c>
      <c r="B3">
        <v>1</v>
      </c>
      <c r="C3">
        <v>1000</v>
      </c>
      <c r="D3">
        <v>2</v>
      </c>
      <c r="I3" t="s">
        <v>4</v>
      </c>
      <c r="J3" s="1">
        <v>10</v>
      </c>
    </row>
    <row r="4" spans="1:10">
      <c r="A4">
        <f>A3+1</f>
        <v>2</v>
      </c>
      <c r="B4">
        <v>1</v>
      </c>
      <c r="C4">
        <v>1500</v>
      </c>
      <c r="E4">
        <f>D3*10</f>
        <v>20</v>
      </c>
      <c r="I4" t="s">
        <v>205</v>
      </c>
      <c r="J4" s="1">
        <v>4</v>
      </c>
    </row>
    <row r="5" spans="1:10">
      <c r="A5">
        <f t="shared" ref="A5:A68" si="0">A4+1</f>
        <v>3</v>
      </c>
      <c r="B5">
        <v>1</v>
      </c>
      <c r="C5">
        <v>2000</v>
      </c>
      <c r="F5">
        <f>ROUND(D3/2,0)</f>
        <v>1</v>
      </c>
      <c r="I5" t="s">
        <v>206</v>
      </c>
      <c r="J5">
        <f ca="1">SUM(C3:OFFSET(C2,J3*J4,0,1,1))</f>
        <v>745000</v>
      </c>
    </row>
    <row r="6" spans="1:10">
      <c r="A6">
        <f t="shared" si="0"/>
        <v>4</v>
      </c>
      <c r="B6">
        <v>1</v>
      </c>
      <c r="C6">
        <v>2500</v>
      </c>
      <c r="G6">
        <f>D3*5</f>
        <v>10</v>
      </c>
      <c r="I6" t="s">
        <v>207</v>
      </c>
      <c r="J6">
        <f ca="1">SUM(OFFSET(C3,(J3-1)*J4,0,1,1):OFFSET(C2,J3*J4,0,1,1))</f>
        <v>146000</v>
      </c>
    </row>
    <row r="7" spans="1:10">
      <c r="A7">
        <f t="shared" si="0"/>
        <v>5</v>
      </c>
      <c r="B7">
        <f>B3+1</f>
        <v>2</v>
      </c>
      <c r="C7">
        <v>3000</v>
      </c>
      <c r="D7">
        <v>3</v>
      </c>
      <c r="I7" t="s">
        <v>208</v>
      </c>
      <c r="J7">
        <f ca="1">SUM(D3:OFFSET(D2,J3*J4,0,1,1))</f>
        <v>48</v>
      </c>
    </row>
    <row r="8" spans="1:10">
      <c r="A8">
        <f t="shared" si="0"/>
        <v>6</v>
      </c>
      <c r="B8">
        <f t="shared" ref="B8:B71" si="1">B4+1</f>
        <v>2</v>
      </c>
      <c r="C8">
        <v>4000</v>
      </c>
      <c r="E8">
        <f>D7*10</f>
        <v>30</v>
      </c>
      <c r="I8" t="s">
        <v>209</v>
      </c>
      <c r="J8">
        <f ca="1">SUM(E3:OFFSET(E2,J3*J4,0,1,1))</f>
        <v>480</v>
      </c>
    </row>
    <row r="9" spans="1:10">
      <c r="A9">
        <f t="shared" si="0"/>
        <v>7</v>
      </c>
      <c r="B9">
        <f t="shared" si="1"/>
        <v>2</v>
      </c>
      <c r="C9">
        <v>5000</v>
      </c>
      <c r="F9">
        <f>ROUND(D7/2,0)</f>
        <v>2</v>
      </c>
      <c r="I9" t="s">
        <v>210</v>
      </c>
      <c r="J9">
        <f ca="1">SUM(F3:OFFSET(F2,J3*J4,0,1,1))</f>
        <v>26</v>
      </c>
    </row>
    <row r="10" spans="1:10">
      <c r="A10">
        <f t="shared" si="0"/>
        <v>8</v>
      </c>
      <c r="B10">
        <f t="shared" si="1"/>
        <v>2</v>
      </c>
      <c r="C10">
        <v>6000</v>
      </c>
      <c r="G10">
        <f>D7*5</f>
        <v>15</v>
      </c>
      <c r="I10" t="s">
        <v>211</v>
      </c>
      <c r="J10">
        <f ca="1">SUM(G3:OFFSET(G2,J3*J4,0,1,1))</f>
        <v>240</v>
      </c>
    </row>
    <row r="11" spans="1:4">
      <c r="A11">
        <f t="shared" si="0"/>
        <v>9</v>
      </c>
      <c r="B11">
        <f t="shared" si="1"/>
        <v>3</v>
      </c>
      <c r="C11">
        <v>7000</v>
      </c>
      <c r="D11">
        <v>4</v>
      </c>
    </row>
    <row r="12" spans="1:5">
      <c r="A12">
        <f t="shared" si="0"/>
        <v>10</v>
      </c>
      <c r="B12">
        <f t="shared" si="1"/>
        <v>3</v>
      </c>
      <c r="C12">
        <v>8000</v>
      </c>
      <c r="E12">
        <f>D11*10</f>
        <v>40</v>
      </c>
    </row>
    <row r="13" spans="1:6">
      <c r="A13">
        <f t="shared" si="0"/>
        <v>11</v>
      </c>
      <c r="B13">
        <f t="shared" si="1"/>
        <v>3</v>
      </c>
      <c r="C13">
        <v>9000</v>
      </c>
      <c r="F13">
        <f>ROUND(D11/2,0)</f>
        <v>2</v>
      </c>
    </row>
    <row r="14" spans="1:7">
      <c r="A14">
        <f t="shared" si="0"/>
        <v>12</v>
      </c>
      <c r="B14">
        <f t="shared" si="1"/>
        <v>3</v>
      </c>
      <c r="C14">
        <v>10000</v>
      </c>
      <c r="G14">
        <f>D11*5</f>
        <v>20</v>
      </c>
    </row>
    <row r="15" spans="1:4">
      <c r="A15">
        <f t="shared" si="0"/>
        <v>13</v>
      </c>
      <c r="B15">
        <f t="shared" si="1"/>
        <v>4</v>
      </c>
      <c r="C15">
        <f t="shared" ref="C15:C24" si="2">C14+1000</f>
        <v>11000</v>
      </c>
      <c r="D15">
        <v>5</v>
      </c>
    </row>
    <row r="16" spans="1:5">
      <c r="A16">
        <f t="shared" si="0"/>
        <v>14</v>
      </c>
      <c r="B16">
        <f t="shared" si="1"/>
        <v>4</v>
      </c>
      <c r="C16">
        <f t="shared" si="2"/>
        <v>12000</v>
      </c>
      <c r="E16">
        <f>D15*10</f>
        <v>50</v>
      </c>
    </row>
    <row r="17" spans="1:6">
      <c r="A17">
        <f t="shared" si="0"/>
        <v>15</v>
      </c>
      <c r="B17">
        <f t="shared" si="1"/>
        <v>4</v>
      </c>
      <c r="C17">
        <f t="shared" si="2"/>
        <v>13000</v>
      </c>
      <c r="F17">
        <f>ROUND(D15/2,0)</f>
        <v>3</v>
      </c>
    </row>
    <row r="18" spans="1:7">
      <c r="A18">
        <f t="shared" si="0"/>
        <v>16</v>
      </c>
      <c r="B18">
        <f t="shared" si="1"/>
        <v>4</v>
      </c>
      <c r="C18">
        <f t="shared" si="2"/>
        <v>14000</v>
      </c>
      <c r="G18">
        <f>D15*5</f>
        <v>25</v>
      </c>
    </row>
    <row r="19" spans="1:4">
      <c r="A19">
        <f t="shared" si="0"/>
        <v>17</v>
      </c>
      <c r="B19">
        <f t="shared" si="1"/>
        <v>5</v>
      </c>
      <c r="C19">
        <f t="shared" si="2"/>
        <v>15000</v>
      </c>
      <c r="D19">
        <v>5</v>
      </c>
    </row>
    <row r="20" spans="1:5">
      <c r="A20">
        <f t="shared" si="0"/>
        <v>18</v>
      </c>
      <c r="B20">
        <f t="shared" si="1"/>
        <v>5</v>
      </c>
      <c r="C20">
        <f t="shared" si="2"/>
        <v>16000</v>
      </c>
      <c r="E20">
        <f>D19*10</f>
        <v>50</v>
      </c>
    </row>
    <row r="21" spans="1:6">
      <c r="A21">
        <f t="shared" si="0"/>
        <v>19</v>
      </c>
      <c r="B21">
        <f t="shared" si="1"/>
        <v>5</v>
      </c>
      <c r="C21">
        <f t="shared" si="2"/>
        <v>17000</v>
      </c>
      <c r="F21">
        <f>ROUND(D19/2,0)</f>
        <v>3</v>
      </c>
    </row>
    <row r="22" spans="1:7">
      <c r="A22">
        <f t="shared" si="0"/>
        <v>20</v>
      </c>
      <c r="B22">
        <f t="shared" si="1"/>
        <v>5</v>
      </c>
      <c r="C22">
        <f t="shared" si="2"/>
        <v>18000</v>
      </c>
      <c r="G22">
        <f>D19*5</f>
        <v>25</v>
      </c>
    </row>
    <row r="23" spans="1:4">
      <c r="A23">
        <f t="shared" si="0"/>
        <v>21</v>
      </c>
      <c r="B23">
        <f t="shared" si="1"/>
        <v>6</v>
      </c>
      <c r="C23">
        <f t="shared" si="2"/>
        <v>19000</v>
      </c>
      <c r="D23">
        <v>5</v>
      </c>
    </row>
    <row r="24" spans="1:5">
      <c r="A24">
        <f t="shared" si="0"/>
        <v>22</v>
      </c>
      <c r="B24">
        <f t="shared" si="1"/>
        <v>6</v>
      </c>
      <c r="C24">
        <f t="shared" si="2"/>
        <v>20000</v>
      </c>
      <c r="E24">
        <f>D23*10</f>
        <v>50</v>
      </c>
    </row>
    <row r="25" spans="1:6">
      <c r="A25">
        <f t="shared" si="0"/>
        <v>23</v>
      </c>
      <c r="B25">
        <f t="shared" si="1"/>
        <v>6</v>
      </c>
      <c r="C25">
        <f t="shared" ref="C25:C85" si="3">C24+1000</f>
        <v>21000</v>
      </c>
      <c r="F25">
        <f>ROUND(D23/2,0)</f>
        <v>3</v>
      </c>
    </row>
    <row r="26" spans="1:7">
      <c r="A26">
        <f t="shared" si="0"/>
        <v>24</v>
      </c>
      <c r="B26">
        <f t="shared" si="1"/>
        <v>6</v>
      </c>
      <c r="C26">
        <f t="shared" si="3"/>
        <v>22000</v>
      </c>
      <c r="G26">
        <f>D23*5</f>
        <v>25</v>
      </c>
    </row>
    <row r="27" spans="1:4">
      <c r="A27">
        <f t="shared" si="0"/>
        <v>25</v>
      </c>
      <c r="B27">
        <f t="shared" si="1"/>
        <v>7</v>
      </c>
      <c r="C27">
        <f t="shared" si="3"/>
        <v>23000</v>
      </c>
      <c r="D27">
        <v>6</v>
      </c>
    </row>
    <row r="28" spans="1:5">
      <c r="A28">
        <f t="shared" si="0"/>
        <v>26</v>
      </c>
      <c r="B28">
        <f t="shared" si="1"/>
        <v>7</v>
      </c>
      <c r="C28">
        <f t="shared" si="3"/>
        <v>24000</v>
      </c>
      <c r="E28">
        <f>D27*10</f>
        <v>60</v>
      </c>
    </row>
    <row r="29" spans="1:6">
      <c r="A29">
        <f t="shared" si="0"/>
        <v>27</v>
      </c>
      <c r="B29">
        <f t="shared" si="1"/>
        <v>7</v>
      </c>
      <c r="C29">
        <f t="shared" si="3"/>
        <v>25000</v>
      </c>
      <c r="F29">
        <f>ROUND(D27/2,0)</f>
        <v>3</v>
      </c>
    </row>
    <row r="30" spans="1:7">
      <c r="A30">
        <f t="shared" si="0"/>
        <v>28</v>
      </c>
      <c r="B30">
        <f t="shared" si="1"/>
        <v>7</v>
      </c>
      <c r="C30">
        <f t="shared" si="3"/>
        <v>26000</v>
      </c>
      <c r="G30">
        <f>D27*5</f>
        <v>30</v>
      </c>
    </row>
    <row r="31" spans="1:4">
      <c r="A31">
        <f t="shared" si="0"/>
        <v>29</v>
      </c>
      <c r="B31">
        <f t="shared" si="1"/>
        <v>8</v>
      </c>
      <c r="C31">
        <f t="shared" si="3"/>
        <v>27000</v>
      </c>
      <c r="D31">
        <v>6</v>
      </c>
    </row>
    <row r="32" spans="1:5">
      <c r="A32">
        <f t="shared" si="0"/>
        <v>30</v>
      </c>
      <c r="B32">
        <f t="shared" si="1"/>
        <v>8</v>
      </c>
      <c r="C32">
        <f t="shared" si="3"/>
        <v>28000</v>
      </c>
      <c r="E32">
        <f>D31*10</f>
        <v>60</v>
      </c>
    </row>
    <row r="33" spans="1:6">
      <c r="A33">
        <f t="shared" si="0"/>
        <v>31</v>
      </c>
      <c r="B33">
        <f t="shared" si="1"/>
        <v>8</v>
      </c>
      <c r="C33">
        <f t="shared" si="3"/>
        <v>29000</v>
      </c>
      <c r="F33">
        <f>ROUND(D31/2,0)</f>
        <v>3</v>
      </c>
    </row>
    <row r="34" spans="1:7">
      <c r="A34">
        <f t="shared" si="0"/>
        <v>32</v>
      </c>
      <c r="B34">
        <f t="shared" si="1"/>
        <v>8</v>
      </c>
      <c r="C34">
        <f t="shared" si="3"/>
        <v>30000</v>
      </c>
      <c r="G34">
        <f>D31*5</f>
        <v>30</v>
      </c>
    </row>
    <row r="35" spans="1:4">
      <c r="A35">
        <f t="shared" si="0"/>
        <v>33</v>
      </c>
      <c r="B35">
        <f t="shared" si="1"/>
        <v>9</v>
      </c>
      <c r="C35">
        <f t="shared" si="3"/>
        <v>31000</v>
      </c>
      <c r="D35">
        <v>6</v>
      </c>
    </row>
    <row r="36" spans="1:5">
      <c r="A36">
        <f t="shared" si="0"/>
        <v>34</v>
      </c>
      <c r="B36">
        <f t="shared" si="1"/>
        <v>9</v>
      </c>
      <c r="C36">
        <f t="shared" si="3"/>
        <v>32000</v>
      </c>
      <c r="E36">
        <f>D35*10</f>
        <v>60</v>
      </c>
    </row>
    <row r="37" spans="1:6">
      <c r="A37">
        <f t="shared" si="0"/>
        <v>35</v>
      </c>
      <c r="B37">
        <f t="shared" si="1"/>
        <v>9</v>
      </c>
      <c r="C37">
        <f t="shared" si="3"/>
        <v>33000</v>
      </c>
      <c r="F37">
        <f>ROUND(D35/2,0)</f>
        <v>3</v>
      </c>
    </row>
    <row r="38" spans="1:7">
      <c r="A38">
        <f t="shared" si="0"/>
        <v>36</v>
      </c>
      <c r="B38">
        <f t="shared" si="1"/>
        <v>9</v>
      </c>
      <c r="C38">
        <f t="shared" si="3"/>
        <v>34000</v>
      </c>
      <c r="G38">
        <f>D35*5</f>
        <v>30</v>
      </c>
    </row>
    <row r="39" spans="1:4">
      <c r="A39">
        <f t="shared" si="0"/>
        <v>37</v>
      </c>
      <c r="B39">
        <f t="shared" si="1"/>
        <v>10</v>
      </c>
      <c r="C39">
        <f t="shared" si="3"/>
        <v>35000</v>
      </c>
      <c r="D39">
        <v>6</v>
      </c>
    </row>
    <row r="40" spans="1:5">
      <c r="A40">
        <f t="shared" si="0"/>
        <v>38</v>
      </c>
      <c r="B40">
        <f t="shared" si="1"/>
        <v>10</v>
      </c>
      <c r="C40">
        <f t="shared" si="3"/>
        <v>36000</v>
      </c>
      <c r="E40">
        <f>D39*10</f>
        <v>60</v>
      </c>
    </row>
    <row r="41" spans="1:6">
      <c r="A41">
        <f t="shared" si="0"/>
        <v>39</v>
      </c>
      <c r="B41">
        <f t="shared" si="1"/>
        <v>10</v>
      </c>
      <c r="C41">
        <f t="shared" si="3"/>
        <v>37000</v>
      </c>
      <c r="F41">
        <f>ROUND(D39/2,0)</f>
        <v>3</v>
      </c>
    </row>
    <row r="42" spans="1:7">
      <c r="A42">
        <f t="shared" si="0"/>
        <v>40</v>
      </c>
      <c r="B42">
        <f t="shared" si="1"/>
        <v>10</v>
      </c>
      <c r="C42">
        <f t="shared" si="3"/>
        <v>38000</v>
      </c>
      <c r="G42">
        <f>D39*5</f>
        <v>30</v>
      </c>
    </row>
    <row r="43" spans="1:4">
      <c r="A43">
        <f t="shared" si="0"/>
        <v>41</v>
      </c>
      <c r="B43">
        <f t="shared" si="1"/>
        <v>11</v>
      </c>
      <c r="C43">
        <f t="shared" si="3"/>
        <v>39000</v>
      </c>
      <c r="D43">
        <v>8</v>
      </c>
    </row>
    <row r="44" spans="1:5">
      <c r="A44">
        <f t="shared" si="0"/>
        <v>42</v>
      </c>
      <c r="B44">
        <f t="shared" si="1"/>
        <v>11</v>
      </c>
      <c r="C44">
        <f t="shared" si="3"/>
        <v>40000</v>
      </c>
      <c r="E44">
        <f>D43*10</f>
        <v>80</v>
      </c>
    </row>
    <row r="45" spans="1:6">
      <c r="A45">
        <f t="shared" si="0"/>
        <v>43</v>
      </c>
      <c r="B45">
        <f t="shared" si="1"/>
        <v>11</v>
      </c>
      <c r="C45">
        <f t="shared" si="3"/>
        <v>41000</v>
      </c>
      <c r="F45">
        <f>ROUND(D43/2,0)</f>
        <v>4</v>
      </c>
    </row>
    <row r="46" spans="1:7">
      <c r="A46">
        <f t="shared" si="0"/>
        <v>44</v>
      </c>
      <c r="B46">
        <f t="shared" si="1"/>
        <v>11</v>
      </c>
      <c r="C46">
        <f t="shared" si="3"/>
        <v>42000</v>
      </c>
      <c r="G46">
        <f>D43*5</f>
        <v>40</v>
      </c>
    </row>
    <row r="47" spans="1:4">
      <c r="A47">
        <f t="shared" si="0"/>
        <v>45</v>
      </c>
      <c r="B47">
        <f t="shared" si="1"/>
        <v>12</v>
      </c>
      <c r="C47">
        <f t="shared" si="3"/>
        <v>43000</v>
      </c>
      <c r="D47">
        <v>8</v>
      </c>
    </row>
    <row r="48" spans="1:5">
      <c r="A48">
        <f t="shared" si="0"/>
        <v>46</v>
      </c>
      <c r="B48">
        <f t="shared" si="1"/>
        <v>12</v>
      </c>
      <c r="C48">
        <f t="shared" si="3"/>
        <v>44000</v>
      </c>
      <c r="E48">
        <f>D47*10</f>
        <v>80</v>
      </c>
    </row>
    <row r="49" spans="1:6">
      <c r="A49">
        <f t="shared" si="0"/>
        <v>47</v>
      </c>
      <c r="B49">
        <f t="shared" si="1"/>
        <v>12</v>
      </c>
      <c r="C49">
        <f t="shared" si="3"/>
        <v>45000</v>
      </c>
      <c r="F49">
        <f>ROUND(D47/2,0)</f>
        <v>4</v>
      </c>
    </row>
    <row r="50" spans="1:7">
      <c r="A50">
        <f t="shared" si="0"/>
        <v>48</v>
      </c>
      <c r="B50">
        <f t="shared" si="1"/>
        <v>12</v>
      </c>
      <c r="C50">
        <f t="shared" si="3"/>
        <v>46000</v>
      </c>
      <c r="G50">
        <f>D47*5</f>
        <v>40</v>
      </c>
    </row>
    <row r="51" spans="1:4">
      <c r="A51">
        <f t="shared" si="0"/>
        <v>49</v>
      </c>
      <c r="B51">
        <f t="shared" si="1"/>
        <v>13</v>
      </c>
      <c r="C51">
        <f t="shared" si="3"/>
        <v>47000</v>
      </c>
      <c r="D51">
        <v>8</v>
      </c>
    </row>
    <row r="52" spans="1:5">
      <c r="A52">
        <f t="shared" si="0"/>
        <v>50</v>
      </c>
      <c r="B52">
        <f t="shared" si="1"/>
        <v>13</v>
      </c>
      <c r="C52">
        <f t="shared" si="3"/>
        <v>48000</v>
      </c>
      <c r="E52">
        <f>D51*10</f>
        <v>80</v>
      </c>
    </row>
    <row r="53" spans="1:6">
      <c r="A53">
        <f t="shared" si="0"/>
        <v>51</v>
      </c>
      <c r="B53">
        <f t="shared" si="1"/>
        <v>13</v>
      </c>
      <c r="C53">
        <f t="shared" si="3"/>
        <v>49000</v>
      </c>
      <c r="F53">
        <f>ROUND(D51/2,0)</f>
        <v>4</v>
      </c>
    </row>
    <row r="54" spans="1:7">
      <c r="A54">
        <f t="shared" si="0"/>
        <v>52</v>
      </c>
      <c r="B54">
        <f t="shared" si="1"/>
        <v>13</v>
      </c>
      <c r="C54">
        <f t="shared" si="3"/>
        <v>50000</v>
      </c>
      <c r="G54">
        <f>D51*5</f>
        <v>40</v>
      </c>
    </row>
    <row r="55" spans="1:4">
      <c r="A55">
        <f t="shared" si="0"/>
        <v>53</v>
      </c>
      <c r="B55">
        <f t="shared" si="1"/>
        <v>14</v>
      </c>
      <c r="C55">
        <f t="shared" si="3"/>
        <v>51000</v>
      </c>
      <c r="D55">
        <v>8</v>
      </c>
    </row>
    <row r="56" spans="1:5">
      <c r="A56">
        <f t="shared" si="0"/>
        <v>54</v>
      </c>
      <c r="B56">
        <f t="shared" si="1"/>
        <v>14</v>
      </c>
      <c r="C56">
        <f t="shared" si="3"/>
        <v>52000</v>
      </c>
      <c r="E56">
        <f>D55*10</f>
        <v>80</v>
      </c>
    </row>
    <row r="57" spans="1:6">
      <c r="A57">
        <f t="shared" si="0"/>
        <v>55</v>
      </c>
      <c r="B57">
        <f t="shared" si="1"/>
        <v>14</v>
      </c>
      <c r="C57">
        <f t="shared" si="3"/>
        <v>53000</v>
      </c>
      <c r="F57">
        <f>ROUND(D55/2,0)</f>
        <v>4</v>
      </c>
    </row>
    <row r="58" spans="1:7">
      <c r="A58">
        <f t="shared" si="0"/>
        <v>56</v>
      </c>
      <c r="B58">
        <f t="shared" si="1"/>
        <v>14</v>
      </c>
      <c r="C58">
        <f t="shared" si="3"/>
        <v>54000</v>
      </c>
      <c r="G58">
        <f>D55*5</f>
        <v>40</v>
      </c>
    </row>
    <row r="59" spans="1:4">
      <c r="A59">
        <f t="shared" si="0"/>
        <v>57</v>
      </c>
      <c r="B59">
        <f t="shared" si="1"/>
        <v>15</v>
      </c>
      <c r="C59">
        <f t="shared" si="3"/>
        <v>55000</v>
      </c>
      <c r="D59">
        <v>10</v>
      </c>
    </row>
    <row r="60" spans="1:5">
      <c r="A60">
        <f t="shared" si="0"/>
        <v>58</v>
      </c>
      <c r="B60">
        <f t="shared" si="1"/>
        <v>15</v>
      </c>
      <c r="C60">
        <f t="shared" si="3"/>
        <v>56000</v>
      </c>
      <c r="E60">
        <f>D59*10</f>
        <v>100</v>
      </c>
    </row>
    <row r="61" spans="1:6">
      <c r="A61">
        <f t="shared" si="0"/>
        <v>59</v>
      </c>
      <c r="B61">
        <f t="shared" si="1"/>
        <v>15</v>
      </c>
      <c r="C61">
        <f t="shared" si="3"/>
        <v>57000</v>
      </c>
      <c r="F61">
        <f>ROUND(D59/2,0)</f>
        <v>5</v>
      </c>
    </row>
    <row r="62" spans="1:7">
      <c r="A62">
        <f t="shared" si="0"/>
        <v>60</v>
      </c>
      <c r="B62">
        <f t="shared" si="1"/>
        <v>15</v>
      </c>
      <c r="C62">
        <f t="shared" si="3"/>
        <v>58000</v>
      </c>
      <c r="G62">
        <f>D59*5</f>
        <v>50</v>
      </c>
    </row>
    <row r="63" spans="1:4">
      <c r="A63">
        <f t="shared" si="0"/>
        <v>61</v>
      </c>
      <c r="B63">
        <f t="shared" si="1"/>
        <v>16</v>
      </c>
      <c r="C63">
        <f t="shared" si="3"/>
        <v>59000</v>
      </c>
      <c r="D63">
        <v>10</v>
      </c>
    </row>
    <row r="64" spans="1:5">
      <c r="A64">
        <f t="shared" si="0"/>
        <v>62</v>
      </c>
      <c r="B64">
        <f t="shared" si="1"/>
        <v>16</v>
      </c>
      <c r="C64">
        <f t="shared" si="3"/>
        <v>60000</v>
      </c>
      <c r="E64">
        <f>D63*10</f>
        <v>100</v>
      </c>
    </row>
    <row r="65" spans="1:6">
      <c r="A65">
        <f t="shared" si="0"/>
        <v>63</v>
      </c>
      <c r="B65">
        <f t="shared" si="1"/>
        <v>16</v>
      </c>
      <c r="C65">
        <f t="shared" si="3"/>
        <v>61000</v>
      </c>
      <c r="F65">
        <f>ROUND(D63/2,0)</f>
        <v>5</v>
      </c>
    </row>
    <row r="66" spans="1:7">
      <c r="A66">
        <f t="shared" si="0"/>
        <v>64</v>
      </c>
      <c r="B66">
        <f t="shared" si="1"/>
        <v>16</v>
      </c>
      <c r="C66">
        <f t="shared" si="3"/>
        <v>62000</v>
      </c>
      <c r="G66">
        <f>D63*5</f>
        <v>50</v>
      </c>
    </row>
    <row r="67" spans="1:4">
      <c r="A67">
        <f t="shared" si="0"/>
        <v>65</v>
      </c>
      <c r="B67">
        <f t="shared" si="1"/>
        <v>17</v>
      </c>
      <c r="C67">
        <f t="shared" si="3"/>
        <v>63000</v>
      </c>
      <c r="D67">
        <v>10</v>
      </c>
    </row>
    <row r="68" spans="1:5">
      <c r="A68">
        <f t="shared" si="0"/>
        <v>66</v>
      </c>
      <c r="B68">
        <f t="shared" si="1"/>
        <v>17</v>
      </c>
      <c r="C68">
        <f t="shared" si="3"/>
        <v>64000</v>
      </c>
      <c r="E68">
        <f>D67*10</f>
        <v>100</v>
      </c>
    </row>
    <row r="69" spans="1:6">
      <c r="A69">
        <f t="shared" ref="A69:A132" si="4">A68+1</f>
        <v>67</v>
      </c>
      <c r="B69">
        <f t="shared" si="1"/>
        <v>17</v>
      </c>
      <c r="C69">
        <f t="shared" si="3"/>
        <v>65000</v>
      </c>
      <c r="F69">
        <f>ROUND(D67/2,0)</f>
        <v>5</v>
      </c>
    </row>
    <row r="70" spans="1:7">
      <c r="A70">
        <f t="shared" si="4"/>
        <v>68</v>
      </c>
      <c r="B70">
        <f t="shared" si="1"/>
        <v>17</v>
      </c>
      <c r="C70">
        <f t="shared" si="3"/>
        <v>66000</v>
      </c>
      <c r="G70">
        <f>D67*5</f>
        <v>50</v>
      </c>
    </row>
    <row r="71" spans="1:4">
      <c r="A71">
        <f t="shared" si="4"/>
        <v>69</v>
      </c>
      <c r="B71">
        <f t="shared" si="1"/>
        <v>18</v>
      </c>
      <c r="C71">
        <f t="shared" si="3"/>
        <v>67000</v>
      </c>
      <c r="D71">
        <v>10</v>
      </c>
    </row>
    <row r="72" spans="1:5">
      <c r="A72">
        <f t="shared" si="4"/>
        <v>70</v>
      </c>
      <c r="B72">
        <f t="shared" ref="B72:B135" si="5">B68+1</f>
        <v>18</v>
      </c>
      <c r="C72">
        <f t="shared" si="3"/>
        <v>68000</v>
      </c>
      <c r="E72">
        <f>D71*10</f>
        <v>100</v>
      </c>
    </row>
    <row r="73" spans="1:6">
      <c r="A73">
        <f t="shared" si="4"/>
        <v>71</v>
      </c>
      <c r="B73">
        <f t="shared" si="5"/>
        <v>18</v>
      </c>
      <c r="C73">
        <f t="shared" si="3"/>
        <v>69000</v>
      </c>
      <c r="F73">
        <f>ROUND(D71/2,0)</f>
        <v>5</v>
      </c>
    </row>
    <row r="74" spans="1:7">
      <c r="A74">
        <f t="shared" si="4"/>
        <v>72</v>
      </c>
      <c r="B74">
        <f t="shared" si="5"/>
        <v>18</v>
      </c>
      <c r="C74">
        <f t="shared" si="3"/>
        <v>70000</v>
      </c>
      <c r="G74">
        <f>D71*5</f>
        <v>50</v>
      </c>
    </row>
    <row r="75" spans="1:4">
      <c r="A75">
        <f t="shared" si="4"/>
        <v>73</v>
      </c>
      <c r="B75">
        <f t="shared" si="5"/>
        <v>19</v>
      </c>
      <c r="C75">
        <f t="shared" si="3"/>
        <v>71000</v>
      </c>
      <c r="D75">
        <v>10</v>
      </c>
    </row>
    <row r="76" spans="1:5">
      <c r="A76">
        <f t="shared" si="4"/>
        <v>74</v>
      </c>
      <c r="B76">
        <f t="shared" si="5"/>
        <v>19</v>
      </c>
      <c r="C76">
        <f t="shared" si="3"/>
        <v>72000</v>
      </c>
      <c r="E76">
        <f>D75*10</f>
        <v>100</v>
      </c>
    </row>
    <row r="77" spans="1:6">
      <c r="A77">
        <f t="shared" si="4"/>
        <v>75</v>
      </c>
      <c r="B77">
        <f t="shared" si="5"/>
        <v>19</v>
      </c>
      <c r="C77">
        <f t="shared" si="3"/>
        <v>73000</v>
      </c>
      <c r="F77">
        <f>ROUND(D75/2,0)</f>
        <v>5</v>
      </c>
    </row>
    <row r="78" spans="1:7">
      <c r="A78">
        <f t="shared" si="4"/>
        <v>76</v>
      </c>
      <c r="B78">
        <f t="shared" si="5"/>
        <v>19</v>
      </c>
      <c r="C78">
        <f t="shared" si="3"/>
        <v>74000</v>
      </c>
      <c r="G78">
        <f>D75*5</f>
        <v>50</v>
      </c>
    </row>
    <row r="79" spans="1:4">
      <c r="A79">
        <f t="shared" si="4"/>
        <v>77</v>
      </c>
      <c r="B79">
        <f t="shared" si="5"/>
        <v>20</v>
      </c>
      <c r="C79">
        <f t="shared" si="3"/>
        <v>75000</v>
      </c>
      <c r="D79">
        <v>15</v>
      </c>
    </row>
    <row r="80" spans="1:5">
      <c r="A80">
        <f t="shared" si="4"/>
        <v>78</v>
      </c>
      <c r="B80">
        <f t="shared" si="5"/>
        <v>20</v>
      </c>
      <c r="C80">
        <f t="shared" si="3"/>
        <v>76000</v>
      </c>
      <c r="E80">
        <f>D79*10</f>
        <v>150</v>
      </c>
    </row>
    <row r="81" spans="1:6">
      <c r="A81">
        <f t="shared" si="4"/>
        <v>79</v>
      </c>
      <c r="B81">
        <f t="shared" si="5"/>
        <v>20</v>
      </c>
      <c r="C81">
        <f t="shared" si="3"/>
        <v>77000</v>
      </c>
      <c r="F81">
        <f>ROUND(D79/2,0)</f>
        <v>8</v>
      </c>
    </row>
    <row r="82" spans="1:7">
      <c r="A82">
        <f t="shared" si="4"/>
        <v>80</v>
      </c>
      <c r="B82">
        <f t="shared" si="5"/>
        <v>20</v>
      </c>
      <c r="C82">
        <f t="shared" si="3"/>
        <v>78000</v>
      </c>
      <c r="G82">
        <f>D79*5</f>
        <v>75</v>
      </c>
    </row>
    <row r="83" spans="1:4">
      <c r="A83">
        <f t="shared" si="4"/>
        <v>81</v>
      </c>
      <c r="B83">
        <f t="shared" si="5"/>
        <v>21</v>
      </c>
      <c r="C83">
        <f t="shared" si="3"/>
        <v>79000</v>
      </c>
      <c r="D83">
        <v>15</v>
      </c>
    </row>
    <row r="84" spans="1:5">
      <c r="A84">
        <f t="shared" si="4"/>
        <v>82</v>
      </c>
      <c r="B84">
        <f t="shared" si="5"/>
        <v>21</v>
      </c>
      <c r="C84">
        <f t="shared" si="3"/>
        <v>80000</v>
      </c>
      <c r="E84">
        <f>D83*10</f>
        <v>150</v>
      </c>
    </row>
    <row r="85" spans="1:6">
      <c r="A85">
        <f t="shared" si="4"/>
        <v>83</v>
      </c>
      <c r="B85">
        <f t="shared" si="5"/>
        <v>21</v>
      </c>
      <c r="C85">
        <f t="shared" si="3"/>
        <v>81000</v>
      </c>
      <c r="F85">
        <f>ROUND(D83/2,0)</f>
        <v>8</v>
      </c>
    </row>
    <row r="86" spans="1:7">
      <c r="A86">
        <f t="shared" si="4"/>
        <v>84</v>
      </c>
      <c r="B86">
        <f t="shared" si="5"/>
        <v>21</v>
      </c>
      <c r="C86">
        <f t="shared" ref="C86:C149" si="6">C85+1000</f>
        <v>82000</v>
      </c>
      <c r="G86">
        <f>D83*5</f>
        <v>75</v>
      </c>
    </row>
    <row r="87" spans="1:4">
      <c r="A87">
        <f t="shared" si="4"/>
        <v>85</v>
      </c>
      <c r="B87">
        <f t="shared" si="5"/>
        <v>22</v>
      </c>
      <c r="C87">
        <f t="shared" si="6"/>
        <v>83000</v>
      </c>
      <c r="D87">
        <v>15</v>
      </c>
    </row>
    <row r="88" spans="1:5">
      <c r="A88">
        <f t="shared" si="4"/>
        <v>86</v>
      </c>
      <c r="B88">
        <f t="shared" si="5"/>
        <v>22</v>
      </c>
      <c r="C88">
        <f t="shared" si="6"/>
        <v>84000</v>
      </c>
      <c r="E88">
        <f>D87*10</f>
        <v>150</v>
      </c>
    </row>
    <row r="89" spans="1:6">
      <c r="A89">
        <f t="shared" si="4"/>
        <v>87</v>
      </c>
      <c r="B89">
        <f t="shared" si="5"/>
        <v>22</v>
      </c>
      <c r="C89">
        <f t="shared" si="6"/>
        <v>85000</v>
      </c>
      <c r="F89">
        <f>ROUND(D87/2,0)</f>
        <v>8</v>
      </c>
    </row>
    <row r="90" spans="1:7">
      <c r="A90">
        <f t="shared" si="4"/>
        <v>88</v>
      </c>
      <c r="B90">
        <f t="shared" si="5"/>
        <v>22</v>
      </c>
      <c r="C90">
        <f t="shared" si="6"/>
        <v>86000</v>
      </c>
      <c r="G90">
        <f>D87*5</f>
        <v>75</v>
      </c>
    </row>
    <row r="91" spans="1:4">
      <c r="A91">
        <f t="shared" si="4"/>
        <v>89</v>
      </c>
      <c r="B91">
        <f t="shared" si="5"/>
        <v>23</v>
      </c>
      <c r="C91">
        <f t="shared" si="6"/>
        <v>87000</v>
      </c>
      <c r="D91">
        <v>15</v>
      </c>
    </row>
    <row r="92" spans="1:5">
      <c r="A92">
        <f t="shared" si="4"/>
        <v>90</v>
      </c>
      <c r="B92">
        <f t="shared" si="5"/>
        <v>23</v>
      </c>
      <c r="C92">
        <f t="shared" si="6"/>
        <v>88000</v>
      </c>
      <c r="E92">
        <f>D91*10</f>
        <v>150</v>
      </c>
    </row>
    <row r="93" spans="1:6">
      <c r="A93">
        <f t="shared" si="4"/>
        <v>91</v>
      </c>
      <c r="B93">
        <f t="shared" si="5"/>
        <v>23</v>
      </c>
      <c r="C93">
        <f t="shared" si="6"/>
        <v>89000</v>
      </c>
      <c r="F93">
        <f>ROUND(D91/2,0)</f>
        <v>8</v>
      </c>
    </row>
    <row r="94" spans="1:7">
      <c r="A94">
        <f t="shared" si="4"/>
        <v>92</v>
      </c>
      <c r="B94">
        <f t="shared" si="5"/>
        <v>23</v>
      </c>
      <c r="C94">
        <f t="shared" si="6"/>
        <v>90000</v>
      </c>
      <c r="G94">
        <f>D91*5</f>
        <v>75</v>
      </c>
    </row>
    <row r="95" spans="1:4">
      <c r="A95">
        <f t="shared" si="4"/>
        <v>93</v>
      </c>
      <c r="B95">
        <f t="shared" si="5"/>
        <v>24</v>
      </c>
      <c r="C95">
        <f t="shared" si="6"/>
        <v>91000</v>
      </c>
      <c r="D95">
        <v>15</v>
      </c>
    </row>
    <row r="96" spans="1:5">
      <c r="A96">
        <f t="shared" si="4"/>
        <v>94</v>
      </c>
      <c r="B96">
        <f t="shared" si="5"/>
        <v>24</v>
      </c>
      <c r="C96">
        <f t="shared" si="6"/>
        <v>92000</v>
      </c>
      <c r="E96">
        <f>D95*10</f>
        <v>150</v>
      </c>
    </row>
    <row r="97" spans="1:6">
      <c r="A97">
        <f t="shared" si="4"/>
        <v>95</v>
      </c>
      <c r="B97">
        <f t="shared" si="5"/>
        <v>24</v>
      </c>
      <c r="C97">
        <f t="shared" si="6"/>
        <v>93000</v>
      </c>
      <c r="F97">
        <f>ROUND(D95/2,0)</f>
        <v>8</v>
      </c>
    </row>
    <row r="98" spans="1:7">
      <c r="A98">
        <f t="shared" si="4"/>
        <v>96</v>
      </c>
      <c r="B98">
        <f t="shared" si="5"/>
        <v>24</v>
      </c>
      <c r="C98">
        <f t="shared" si="6"/>
        <v>94000</v>
      </c>
      <c r="G98">
        <f>D95*5</f>
        <v>75</v>
      </c>
    </row>
    <row r="99" spans="1:4">
      <c r="A99">
        <f t="shared" si="4"/>
        <v>97</v>
      </c>
      <c r="B99">
        <f t="shared" si="5"/>
        <v>25</v>
      </c>
      <c r="C99">
        <f t="shared" si="6"/>
        <v>95000</v>
      </c>
      <c r="D99">
        <v>20</v>
      </c>
    </row>
    <row r="100" spans="1:5">
      <c r="A100">
        <f t="shared" si="4"/>
        <v>98</v>
      </c>
      <c r="B100">
        <f t="shared" si="5"/>
        <v>25</v>
      </c>
      <c r="C100">
        <f t="shared" si="6"/>
        <v>96000</v>
      </c>
      <c r="E100">
        <f>D99*10</f>
        <v>200</v>
      </c>
    </row>
    <row r="101" spans="1:6">
      <c r="A101">
        <f t="shared" si="4"/>
        <v>99</v>
      </c>
      <c r="B101">
        <f t="shared" si="5"/>
        <v>25</v>
      </c>
      <c r="C101">
        <f t="shared" si="6"/>
        <v>97000</v>
      </c>
      <c r="F101">
        <f>ROUND(D99/2,0)</f>
        <v>10</v>
      </c>
    </row>
    <row r="102" spans="1:7">
      <c r="A102">
        <f t="shared" si="4"/>
        <v>100</v>
      </c>
      <c r="B102">
        <f t="shared" si="5"/>
        <v>25</v>
      </c>
      <c r="C102">
        <f t="shared" si="6"/>
        <v>98000</v>
      </c>
      <c r="G102">
        <f>D99*5</f>
        <v>100</v>
      </c>
    </row>
    <row r="103" spans="1:4">
      <c r="A103">
        <f t="shared" si="4"/>
        <v>101</v>
      </c>
      <c r="B103">
        <f t="shared" si="5"/>
        <v>26</v>
      </c>
      <c r="C103">
        <f t="shared" si="6"/>
        <v>99000</v>
      </c>
      <c r="D103">
        <v>20</v>
      </c>
    </row>
    <row r="104" spans="1:5">
      <c r="A104">
        <f t="shared" si="4"/>
        <v>102</v>
      </c>
      <c r="B104">
        <f t="shared" si="5"/>
        <v>26</v>
      </c>
      <c r="C104">
        <f t="shared" si="6"/>
        <v>100000</v>
      </c>
      <c r="E104">
        <f>D103*10</f>
        <v>200</v>
      </c>
    </row>
    <row r="105" spans="1:6">
      <c r="A105">
        <f t="shared" si="4"/>
        <v>103</v>
      </c>
      <c r="B105">
        <f t="shared" si="5"/>
        <v>26</v>
      </c>
      <c r="C105">
        <f t="shared" si="6"/>
        <v>101000</v>
      </c>
      <c r="F105">
        <f>ROUND(D103/2,0)</f>
        <v>10</v>
      </c>
    </row>
    <row r="106" spans="1:7">
      <c r="A106">
        <f t="shared" si="4"/>
        <v>104</v>
      </c>
      <c r="B106">
        <f t="shared" si="5"/>
        <v>26</v>
      </c>
      <c r="C106">
        <f t="shared" si="6"/>
        <v>102000</v>
      </c>
      <c r="G106">
        <f>D103*5</f>
        <v>100</v>
      </c>
    </row>
    <row r="107" spans="1:4">
      <c r="A107">
        <f t="shared" si="4"/>
        <v>105</v>
      </c>
      <c r="B107">
        <f t="shared" si="5"/>
        <v>27</v>
      </c>
      <c r="C107">
        <f t="shared" si="6"/>
        <v>103000</v>
      </c>
      <c r="D107">
        <v>20</v>
      </c>
    </row>
    <row r="108" spans="1:5">
      <c r="A108">
        <f t="shared" si="4"/>
        <v>106</v>
      </c>
      <c r="B108">
        <f t="shared" si="5"/>
        <v>27</v>
      </c>
      <c r="C108">
        <f t="shared" si="6"/>
        <v>104000</v>
      </c>
      <c r="E108">
        <f>D107*10</f>
        <v>200</v>
      </c>
    </row>
    <row r="109" spans="1:6">
      <c r="A109">
        <f t="shared" si="4"/>
        <v>107</v>
      </c>
      <c r="B109">
        <f t="shared" si="5"/>
        <v>27</v>
      </c>
      <c r="C109">
        <f t="shared" si="6"/>
        <v>105000</v>
      </c>
      <c r="F109">
        <f>ROUND(D107/2,0)</f>
        <v>10</v>
      </c>
    </row>
    <row r="110" spans="1:7">
      <c r="A110">
        <f t="shared" si="4"/>
        <v>108</v>
      </c>
      <c r="B110">
        <f t="shared" si="5"/>
        <v>27</v>
      </c>
      <c r="C110">
        <f t="shared" si="6"/>
        <v>106000</v>
      </c>
      <c r="G110">
        <f>D107*5</f>
        <v>100</v>
      </c>
    </row>
    <row r="111" spans="1:4">
      <c r="A111">
        <f t="shared" si="4"/>
        <v>109</v>
      </c>
      <c r="B111">
        <f t="shared" si="5"/>
        <v>28</v>
      </c>
      <c r="C111">
        <f t="shared" si="6"/>
        <v>107000</v>
      </c>
      <c r="D111">
        <v>20</v>
      </c>
    </row>
    <row r="112" spans="1:5">
      <c r="A112">
        <f t="shared" si="4"/>
        <v>110</v>
      </c>
      <c r="B112">
        <f t="shared" si="5"/>
        <v>28</v>
      </c>
      <c r="C112">
        <f t="shared" si="6"/>
        <v>108000</v>
      </c>
      <c r="E112">
        <f>D111*10</f>
        <v>200</v>
      </c>
    </row>
    <row r="113" spans="1:6">
      <c r="A113">
        <f t="shared" si="4"/>
        <v>111</v>
      </c>
      <c r="B113">
        <f t="shared" si="5"/>
        <v>28</v>
      </c>
      <c r="C113">
        <f t="shared" si="6"/>
        <v>109000</v>
      </c>
      <c r="F113">
        <f>ROUND(D111/2,0)</f>
        <v>10</v>
      </c>
    </row>
    <row r="114" spans="1:7">
      <c r="A114">
        <f t="shared" si="4"/>
        <v>112</v>
      </c>
      <c r="B114">
        <f t="shared" si="5"/>
        <v>28</v>
      </c>
      <c r="C114">
        <f t="shared" si="6"/>
        <v>110000</v>
      </c>
      <c r="G114">
        <f>D111*5</f>
        <v>100</v>
      </c>
    </row>
    <row r="115" spans="1:4">
      <c r="A115">
        <f t="shared" si="4"/>
        <v>113</v>
      </c>
      <c r="B115">
        <f t="shared" si="5"/>
        <v>29</v>
      </c>
      <c r="C115">
        <f t="shared" si="6"/>
        <v>111000</v>
      </c>
      <c r="D115">
        <v>25</v>
      </c>
    </row>
    <row r="116" spans="1:5">
      <c r="A116">
        <f t="shared" si="4"/>
        <v>114</v>
      </c>
      <c r="B116">
        <f t="shared" si="5"/>
        <v>29</v>
      </c>
      <c r="C116">
        <f t="shared" si="6"/>
        <v>112000</v>
      </c>
      <c r="E116">
        <f>D115*10</f>
        <v>250</v>
      </c>
    </row>
    <row r="117" spans="1:6">
      <c r="A117">
        <f t="shared" si="4"/>
        <v>115</v>
      </c>
      <c r="B117">
        <f t="shared" si="5"/>
        <v>29</v>
      </c>
      <c r="C117">
        <f t="shared" si="6"/>
        <v>113000</v>
      </c>
      <c r="F117">
        <f>ROUND(D115/2,0)</f>
        <v>13</v>
      </c>
    </row>
    <row r="118" spans="1:7">
      <c r="A118">
        <f t="shared" si="4"/>
        <v>116</v>
      </c>
      <c r="B118">
        <f t="shared" si="5"/>
        <v>29</v>
      </c>
      <c r="C118">
        <f t="shared" si="6"/>
        <v>114000</v>
      </c>
      <c r="G118">
        <f>D115*5</f>
        <v>125</v>
      </c>
    </row>
    <row r="119" spans="1:4">
      <c r="A119">
        <f t="shared" si="4"/>
        <v>117</v>
      </c>
      <c r="B119">
        <f t="shared" si="5"/>
        <v>30</v>
      </c>
      <c r="C119">
        <f t="shared" si="6"/>
        <v>115000</v>
      </c>
      <c r="D119">
        <v>25</v>
      </c>
    </row>
    <row r="120" spans="1:5">
      <c r="A120">
        <f t="shared" si="4"/>
        <v>118</v>
      </c>
      <c r="B120">
        <f t="shared" si="5"/>
        <v>30</v>
      </c>
      <c r="C120">
        <f t="shared" si="6"/>
        <v>116000</v>
      </c>
      <c r="E120">
        <f>D119*10</f>
        <v>250</v>
      </c>
    </row>
    <row r="121" spans="1:6">
      <c r="A121">
        <f t="shared" si="4"/>
        <v>119</v>
      </c>
      <c r="B121">
        <f t="shared" si="5"/>
        <v>30</v>
      </c>
      <c r="C121">
        <f t="shared" si="6"/>
        <v>117000</v>
      </c>
      <c r="F121">
        <f>ROUND(D119/2,0)</f>
        <v>13</v>
      </c>
    </row>
    <row r="122" spans="1:7">
      <c r="A122">
        <f t="shared" si="4"/>
        <v>120</v>
      </c>
      <c r="B122">
        <f t="shared" si="5"/>
        <v>30</v>
      </c>
      <c r="C122">
        <f t="shared" si="6"/>
        <v>118000</v>
      </c>
      <c r="G122">
        <f>D119*5</f>
        <v>125</v>
      </c>
    </row>
    <row r="123" spans="1:4">
      <c r="A123">
        <f t="shared" si="4"/>
        <v>121</v>
      </c>
      <c r="B123">
        <f t="shared" si="5"/>
        <v>31</v>
      </c>
      <c r="C123">
        <f t="shared" si="6"/>
        <v>119000</v>
      </c>
      <c r="D123">
        <v>25</v>
      </c>
    </row>
    <row r="124" spans="1:5">
      <c r="A124">
        <f t="shared" si="4"/>
        <v>122</v>
      </c>
      <c r="B124">
        <f t="shared" si="5"/>
        <v>31</v>
      </c>
      <c r="C124">
        <f t="shared" si="6"/>
        <v>120000</v>
      </c>
      <c r="E124">
        <f>D123*10</f>
        <v>250</v>
      </c>
    </row>
    <row r="125" spans="1:6">
      <c r="A125">
        <f t="shared" si="4"/>
        <v>123</v>
      </c>
      <c r="B125">
        <f t="shared" si="5"/>
        <v>31</v>
      </c>
      <c r="C125">
        <f t="shared" si="6"/>
        <v>121000</v>
      </c>
      <c r="F125">
        <f>ROUND(D123/2,0)</f>
        <v>13</v>
      </c>
    </row>
    <row r="126" spans="1:7">
      <c r="A126">
        <f t="shared" si="4"/>
        <v>124</v>
      </c>
      <c r="B126">
        <f t="shared" si="5"/>
        <v>31</v>
      </c>
      <c r="C126">
        <f t="shared" si="6"/>
        <v>122000</v>
      </c>
      <c r="G126">
        <f>D123*5</f>
        <v>125</v>
      </c>
    </row>
    <row r="127" spans="1:4">
      <c r="A127">
        <f t="shared" si="4"/>
        <v>125</v>
      </c>
      <c r="B127">
        <f t="shared" si="5"/>
        <v>32</v>
      </c>
      <c r="C127">
        <f t="shared" si="6"/>
        <v>123000</v>
      </c>
      <c r="D127">
        <v>25</v>
      </c>
    </row>
    <row r="128" spans="1:5">
      <c r="A128">
        <f t="shared" si="4"/>
        <v>126</v>
      </c>
      <c r="B128">
        <f t="shared" si="5"/>
        <v>32</v>
      </c>
      <c r="C128">
        <f t="shared" si="6"/>
        <v>124000</v>
      </c>
      <c r="E128">
        <f>D127*10</f>
        <v>250</v>
      </c>
    </row>
    <row r="129" spans="1:6">
      <c r="A129">
        <f t="shared" si="4"/>
        <v>127</v>
      </c>
      <c r="B129">
        <f t="shared" si="5"/>
        <v>32</v>
      </c>
      <c r="C129">
        <f t="shared" si="6"/>
        <v>125000</v>
      </c>
      <c r="F129">
        <f>ROUND(D127/2,0)</f>
        <v>13</v>
      </c>
    </row>
    <row r="130" spans="1:7">
      <c r="A130">
        <f t="shared" si="4"/>
        <v>128</v>
      </c>
      <c r="B130">
        <f t="shared" si="5"/>
        <v>32</v>
      </c>
      <c r="C130">
        <f t="shared" si="6"/>
        <v>126000</v>
      </c>
      <c r="G130">
        <f>D127*5</f>
        <v>125</v>
      </c>
    </row>
    <row r="131" spans="1:4">
      <c r="A131">
        <f t="shared" si="4"/>
        <v>129</v>
      </c>
      <c r="B131">
        <f t="shared" si="5"/>
        <v>33</v>
      </c>
      <c r="C131">
        <f t="shared" si="6"/>
        <v>127000</v>
      </c>
      <c r="D131">
        <v>25</v>
      </c>
    </row>
    <row r="132" spans="1:5">
      <c r="A132">
        <f t="shared" si="4"/>
        <v>130</v>
      </c>
      <c r="B132">
        <f t="shared" si="5"/>
        <v>33</v>
      </c>
      <c r="C132">
        <f t="shared" si="6"/>
        <v>128000</v>
      </c>
      <c r="E132">
        <f>D131*10</f>
        <v>250</v>
      </c>
    </row>
    <row r="133" spans="1:6">
      <c r="A133">
        <f t="shared" ref="A133:A196" si="7">A132+1</f>
        <v>131</v>
      </c>
      <c r="B133">
        <f t="shared" si="5"/>
        <v>33</v>
      </c>
      <c r="C133">
        <f t="shared" si="6"/>
        <v>129000</v>
      </c>
      <c r="F133">
        <f>ROUND(D131/2,0)</f>
        <v>13</v>
      </c>
    </row>
    <row r="134" spans="1:7">
      <c r="A134">
        <f t="shared" si="7"/>
        <v>132</v>
      </c>
      <c r="B134">
        <f t="shared" si="5"/>
        <v>33</v>
      </c>
      <c r="C134">
        <f t="shared" si="6"/>
        <v>130000</v>
      </c>
      <c r="G134">
        <f>D131*5</f>
        <v>125</v>
      </c>
    </row>
    <row r="135" spans="1:4">
      <c r="A135">
        <f t="shared" si="7"/>
        <v>133</v>
      </c>
      <c r="B135">
        <f t="shared" si="5"/>
        <v>34</v>
      </c>
      <c r="C135">
        <f t="shared" si="6"/>
        <v>131000</v>
      </c>
      <c r="D135">
        <v>25</v>
      </c>
    </row>
    <row r="136" spans="1:5">
      <c r="A136">
        <f t="shared" si="7"/>
        <v>134</v>
      </c>
      <c r="B136">
        <f t="shared" ref="B136:B199" si="8">B132+1</f>
        <v>34</v>
      </c>
      <c r="C136">
        <f t="shared" si="6"/>
        <v>132000</v>
      </c>
      <c r="E136">
        <f>D135*10</f>
        <v>250</v>
      </c>
    </row>
    <row r="137" spans="1:6">
      <c r="A137">
        <f t="shared" si="7"/>
        <v>135</v>
      </c>
      <c r="B137">
        <f t="shared" si="8"/>
        <v>34</v>
      </c>
      <c r="C137">
        <f t="shared" si="6"/>
        <v>133000</v>
      </c>
      <c r="F137">
        <f>ROUND(D135/2,0)</f>
        <v>13</v>
      </c>
    </row>
    <row r="138" spans="1:7">
      <c r="A138">
        <f t="shared" si="7"/>
        <v>136</v>
      </c>
      <c r="B138">
        <f t="shared" si="8"/>
        <v>34</v>
      </c>
      <c r="C138">
        <f t="shared" si="6"/>
        <v>134000</v>
      </c>
      <c r="G138">
        <f>D135*5</f>
        <v>125</v>
      </c>
    </row>
    <row r="139" spans="1:4">
      <c r="A139">
        <f t="shared" si="7"/>
        <v>137</v>
      </c>
      <c r="B139">
        <f t="shared" si="8"/>
        <v>35</v>
      </c>
      <c r="C139">
        <f t="shared" si="6"/>
        <v>135000</v>
      </c>
      <c r="D139">
        <v>30</v>
      </c>
    </row>
    <row r="140" spans="1:5">
      <c r="A140">
        <f t="shared" si="7"/>
        <v>138</v>
      </c>
      <c r="B140">
        <f t="shared" si="8"/>
        <v>35</v>
      </c>
      <c r="C140">
        <f t="shared" si="6"/>
        <v>136000</v>
      </c>
      <c r="E140">
        <f>D139*10</f>
        <v>300</v>
      </c>
    </row>
    <row r="141" spans="1:6">
      <c r="A141">
        <f t="shared" si="7"/>
        <v>139</v>
      </c>
      <c r="B141">
        <f t="shared" si="8"/>
        <v>35</v>
      </c>
      <c r="C141">
        <f t="shared" si="6"/>
        <v>137000</v>
      </c>
      <c r="F141">
        <f>ROUND(D139/2,0)</f>
        <v>15</v>
      </c>
    </row>
    <row r="142" spans="1:7">
      <c r="A142">
        <f t="shared" si="7"/>
        <v>140</v>
      </c>
      <c r="B142">
        <f t="shared" si="8"/>
        <v>35</v>
      </c>
      <c r="C142">
        <f t="shared" si="6"/>
        <v>138000</v>
      </c>
      <c r="G142">
        <f>D139*5</f>
        <v>150</v>
      </c>
    </row>
    <row r="143" spans="1:4">
      <c r="A143">
        <f t="shared" si="7"/>
        <v>141</v>
      </c>
      <c r="B143">
        <f t="shared" si="8"/>
        <v>36</v>
      </c>
      <c r="C143">
        <f t="shared" si="6"/>
        <v>139000</v>
      </c>
      <c r="D143">
        <v>30</v>
      </c>
    </row>
    <row r="144" spans="1:5">
      <c r="A144">
        <f t="shared" si="7"/>
        <v>142</v>
      </c>
      <c r="B144">
        <f t="shared" si="8"/>
        <v>36</v>
      </c>
      <c r="C144">
        <f t="shared" si="6"/>
        <v>140000</v>
      </c>
      <c r="E144">
        <f>D143*10</f>
        <v>300</v>
      </c>
    </row>
    <row r="145" spans="1:6">
      <c r="A145">
        <f t="shared" si="7"/>
        <v>143</v>
      </c>
      <c r="B145">
        <f t="shared" si="8"/>
        <v>36</v>
      </c>
      <c r="C145">
        <f t="shared" si="6"/>
        <v>141000</v>
      </c>
      <c r="F145">
        <f>ROUND(D143/2,0)</f>
        <v>15</v>
      </c>
    </row>
    <row r="146" spans="1:7">
      <c r="A146">
        <f t="shared" si="7"/>
        <v>144</v>
      </c>
      <c r="B146">
        <f t="shared" si="8"/>
        <v>36</v>
      </c>
      <c r="C146">
        <f t="shared" si="6"/>
        <v>142000</v>
      </c>
      <c r="G146">
        <f>D143*5</f>
        <v>150</v>
      </c>
    </row>
    <row r="147" spans="1:4">
      <c r="A147">
        <f t="shared" si="7"/>
        <v>145</v>
      </c>
      <c r="B147">
        <f t="shared" si="8"/>
        <v>37</v>
      </c>
      <c r="C147">
        <f t="shared" si="6"/>
        <v>143000</v>
      </c>
      <c r="D147">
        <v>30</v>
      </c>
    </row>
    <row r="148" spans="1:5">
      <c r="A148">
        <f t="shared" si="7"/>
        <v>146</v>
      </c>
      <c r="B148">
        <f t="shared" si="8"/>
        <v>37</v>
      </c>
      <c r="C148">
        <f t="shared" si="6"/>
        <v>144000</v>
      </c>
      <c r="E148">
        <f>D147*10</f>
        <v>300</v>
      </c>
    </row>
    <row r="149" spans="1:6">
      <c r="A149">
        <f t="shared" si="7"/>
        <v>147</v>
      </c>
      <c r="B149">
        <f t="shared" si="8"/>
        <v>37</v>
      </c>
      <c r="C149">
        <f t="shared" si="6"/>
        <v>145000</v>
      </c>
      <c r="F149">
        <f>ROUND(D147/2,0)</f>
        <v>15</v>
      </c>
    </row>
    <row r="150" spans="1:7">
      <c r="A150">
        <f t="shared" si="7"/>
        <v>148</v>
      </c>
      <c r="B150">
        <f t="shared" si="8"/>
        <v>37</v>
      </c>
      <c r="C150">
        <f t="shared" ref="C150:C202" si="9">C149+1000</f>
        <v>146000</v>
      </c>
      <c r="G150">
        <f>D147*5</f>
        <v>150</v>
      </c>
    </row>
    <row r="151" spans="1:4">
      <c r="A151">
        <f t="shared" si="7"/>
        <v>149</v>
      </c>
      <c r="B151">
        <f t="shared" si="8"/>
        <v>38</v>
      </c>
      <c r="C151">
        <f t="shared" si="9"/>
        <v>147000</v>
      </c>
      <c r="D151">
        <v>30</v>
      </c>
    </row>
    <row r="152" spans="1:5">
      <c r="A152">
        <f t="shared" si="7"/>
        <v>150</v>
      </c>
      <c r="B152">
        <f t="shared" si="8"/>
        <v>38</v>
      </c>
      <c r="C152">
        <f t="shared" si="9"/>
        <v>148000</v>
      </c>
      <c r="E152">
        <f>D151*10</f>
        <v>300</v>
      </c>
    </row>
    <row r="153" spans="1:6">
      <c r="A153">
        <f t="shared" si="7"/>
        <v>151</v>
      </c>
      <c r="B153">
        <f t="shared" si="8"/>
        <v>38</v>
      </c>
      <c r="C153">
        <f t="shared" si="9"/>
        <v>149000</v>
      </c>
      <c r="F153">
        <f>ROUND(D151/2,0)</f>
        <v>15</v>
      </c>
    </row>
    <row r="154" spans="1:7">
      <c r="A154">
        <f t="shared" si="7"/>
        <v>152</v>
      </c>
      <c r="B154">
        <f t="shared" si="8"/>
        <v>38</v>
      </c>
      <c r="C154">
        <f t="shared" si="9"/>
        <v>150000</v>
      </c>
      <c r="G154">
        <f>D151*5</f>
        <v>150</v>
      </c>
    </row>
    <row r="155" spans="1:4">
      <c r="A155">
        <f t="shared" si="7"/>
        <v>153</v>
      </c>
      <c r="B155">
        <f t="shared" si="8"/>
        <v>39</v>
      </c>
      <c r="C155">
        <f t="shared" si="9"/>
        <v>151000</v>
      </c>
      <c r="D155">
        <v>30</v>
      </c>
    </row>
    <row r="156" spans="1:5">
      <c r="A156">
        <f t="shared" si="7"/>
        <v>154</v>
      </c>
      <c r="B156">
        <f t="shared" si="8"/>
        <v>39</v>
      </c>
      <c r="C156">
        <f t="shared" si="9"/>
        <v>152000</v>
      </c>
      <c r="E156">
        <f>D155*10</f>
        <v>300</v>
      </c>
    </row>
    <row r="157" spans="1:6">
      <c r="A157">
        <f t="shared" si="7"/>
        <v>155</v>
      </c>
      <c r="B157">
        <f t="shared" si="8"/>
        <v>39</v>
      </c>
      <c r="C157">
        <f t="shared" si="9"/>
        <v>153000</v>
      </c>
      <c r="F157">
        <f>ROUND(D155/2,0)</f>
        <v>15</v>
      </c>
    </row>
    <row r="158" spans="1:7">
      <c r="A158">
        <f t="shared" si="7"/>
        <v>156</v>
      </c>
      <c r="B158">
        <f t="shared" si="8"/>
        <v>39</v>
      </c>
      <c r="C158">
        <f t="shared" si="9"/>
        <v>154000</v>
      </c>
      <c r="G158">
        <f>D155*5</f>
        <v>150</v>
      </c>
    </row>
    <row r="159" spans="1:4">
      <c r="A159">
        <f t="shared" si="7"/>
        <v>157</v>
      </c>
      <c r="B159">
        <f t="shared" si="8"/>
        <v>40</v>
      </c>
      <c r="C159">
        <f t="shared" si="9"/>
        <v>155000</v>
      </c>
      <c r="D159">
        <v>40</v>
      </c>
    </row>
    <row r="160" spans="1:5">
      <c r="A160">
        <f t="shared" si="7"/>
        <v>158</v>
      </c>
      <c r="B160">
        <f t="shared" si="8"/>
        <v>40</v>
      </c>
      <c r="C160">
        <f t="shared" si="9"/>
        <v>156000</v>
      </c>
      <c r="E160">
        <f>D159*10</f>
        <v>400</v>
      </c>
    </row>
    <row r="161" spans="1:6">
      <c r="A161">
        <f t="shared" si="7"/>
        <v>159</v>
      </c>
      <c r="B161">
        <f t="shared" si="8"/>
        <v>40</v>
      </c>
      <c r="C161">
        <f t="shared" si="9"/>
        <v>157000</v>
      </c>
      <c r="F161">
        <f>ROUND(D159/2,0)</f>
        <v>20</v>
      </c>
    </row>
    <row r="162" spans="1:7">
      <c r="A162">
        <f t="shared" si="7"/>
        <v>160</v>
      </c>
      <c r="B162">
        <f t="shared" si="8"/>
        <v>40</v>
      </c>
      <c r="C162">
        <f t="shared" si="9"/>
        <v>158000</v>
      </c>
      <c r="G162">
        <f>D159*5</f>
        <v>200</v>
      </c>
    </row>
    <row r="163" spans="1:4">
      <c r="A163">
        <f t="shared" si="7"/>
        <v>161</v>
      </c>
      <c r="B163">
        <f t="shared" si="8"/>
        <v>41</v>
      </c>
      <c r="C163">
        <f t="shared" si="9"/>
        <v>159000</v>
      </c>
      <c r="D163">
        <v>40</v>
      </c>
    </row>
    <row r="164" spans="1:5">
      <c r="A164">
        <f t="shared" si="7"/>
        <v>162</v>
      </c>
      <c r="B164">
        <f t="shared" si="8"/>
        <v>41</v>
      </c>
      <c r="C164">
        <f t="shared" si="9"/>
        <v>160000</v>
      </c>
      <c r="E164">
        <f>D163*10</f>
        <v>400</v>
      </c>
    </row>
    <row r="165" spans="1:6">
      <c r="A165">
        <f t="shared" si="7"/>
        <v>163</v>
      </c>
      <c r="B165">
        <f t="shared" si="8"/>
        <v>41</v>
      </c>
      <c r="C165">
        <f t="shared" si="9"/>
        <v>161000</v>
      </c>
      <c r="F165">
        <f>ROUND(D163/2,0)</f>
        <v>20</v>
      </c>
    </row>
    <row r="166" spans="1:7">
      <c r="A166">
        <f t="shared" si="7"/>
        <v>164</v>
      </c>
      <c r="B166">
        <f t="shared" si="8"/>
        <v>41</v>
      </c>
      <c r="C166">
        <f t="shared" si="9"/>
        <v>162000</v>
      </c>
      <c r="G166">
        <f>D163*5</f>
        <v>200</v>
      </c>
    </row>
    <row r="167" spans="1:4">
      <c r="A167">
        <f t="shared" si="7"/>
        <v>165</v>
      </c>
      <c r="B167">
        <f t="shared" si="8"/>
        <v>42</v>
      </c>
      <c r="C167">
        <f t="shared" si="9"/>
        <v>163000</v>
      </c>
      <c r="D167">
        <v>40</v>
      </c>
    </row>
    <row r="168" spans="1:5">
      <c r="A168">
        <f t="shared" si="7"/>
        <v>166</v>
      </c>
      <c r="B168">
        <f t="shared" si="8"/>
        <v>42</v>
      </c>
      <c r="C168">
        <f t="shared" si="9"/>
        <v>164000</v>
      </c>
      <c r="E168">
        <f>D167*10</f>
        <v>400</v>
      </c>
    </row>
    <row r="169" spans="1:6">
      <c r="A169">
        <f t="shared" si="7"/>
        <v>167</v>
      </c>
      <c r="B169">
        <f t="shared" si="8"/>
        <v>42</v>
      </c>
      <c r="C169">
        <f t="shared" si="9"/>
        <v>165000</v>
      </c>
      <c r="F169">
        <f>ROUND(D167/2,0)</f>
        <v>20</v>
      </c>
    </row>
    <row r="170" spans="1:7">
      <c r="A170">
        <f t="shared" si="7"/>
        <v>168</v>
      </c>
      <c r="B170">
        <f t="shared" si="8"/>
        <v>42</v>
      </c>
      <c r="C170">
        <f t="shared" si="9"/>
        <v>166000</v>
      </c>
      <c r="G170">
        <f>D167*5</f>
        <v>200</v>
      </c>
    </row>
    <row r="171" spans="1:4">
      <c r="A171">
        <f t="shared" si="7"/>
        <v>169</v>
      </c>
      <c r="B171">
        <f t="shared" si="8"/>
        <v>43</v>
      </c>
      <c r="C171">
        <f t="shared" si="9"/>
        <v>167000</v>
      </c>
      <c r="D171">
        <v>40</v>
      </c>
    </row>
    <row r="172" spans="1:5">
      <c r="A172">
        <f t="shared" si="7"/>
        <v>170</v>
      </c>
      <c r="B172">
        <f t="shared" si="8"/>
        <v>43</v>
      </c>
      <c r="C172">
        <f t="shared" si="9"/>
        <v>168000</v>
      </c>
      <c r="E172">
        <f>D171*10</f>
        <v>400</v>
      </c>
    </row>
    <row r="173" spans="1:6">
      <c r="A173">
        <f t="shared" si="7"/>
        <v>171</v>
      </c>
      <c r="B173">
        <f t="shared" si="8"/>
        <v>43</v>
      </c>
      <c r="C173">
        <f t="shared" si="9"/>
        <v>169000</v>
      </c>
      <c r="F173">
        <f>ROUND(D171/2,0)</f>
        <v>20</v>
      </c>
    </row>
    <row r="174" spans="1:7">
      <c r="A174">
        <f t="shared" si="7"/>
        <v>172</v>
      </c>
      <c r="B174">
        <f t="shared" si="8"/>
        <v>43</v>
      </c>
      <c r="C174">
        <f t="shared" si="9"/>
        <v>170000</v>
      </c>
      <c r="G174">
        <f>D171*5</f>
        <v>200</v>
      </c>
    </row>
    <row r="175" spans="1:4">
      <c r="A175">
        <f t="shared" si="7"/>
        <v>173</v>
      </c>
      <c r="B175">
        <f t="shared" si="8"/>
        <v>44</v>
      </c>
      <c r="C175">
        <f t="shared" si="9"/>
        <v>171000</v>
      </c>
      <c r="D175">
        <v>40</v>
      </c>
    </row>
    <row r="176" spans="1:5">
      <c r="A176">
        <f t="shared" si="7"/>
        <v>174</v>
      </c>
      <c r="B176">
        <f t="shared" si="8"/>
        <v>44</v>
      </c>
      <c r="C176">
        <f t="shared" si="9"/>
        <v>172000</v>
      </c>
      <c r="E176">
        <f>D175*10</f>
        <v>400</v>
      </c>
    </row>
    <row r="177" spans="1:6">
      <c r="A177">
        <f t="shared" si="7"/>
        <v>175</v>
      </c>
      <c r="B177">
        <f t="shared" si="8"/>
        <v>44</v>
      </c>
      <c r="C177">
        <f t="shared" si="9"/>
        <v>173000</v>
      </c>
      <c r="F177">
        <f>ROUND(D175/2,0)</f>
        <v>20</v>
      </c>
    </row>
    <row r="178" spans="1:7">
      <c r="A178">
        <f t="shared" si="7"/>
        <v>176</v>
      </c>
      <c r="B178">
        <f t="shared" si="8"/>
        <v>44</v>
      </c>
      <c r="C178">
        <f t="shared" si="9"/>
        <v>174000</v>
      </c>
      <c r="G178">
        <f>D175*5</f>
        <v>200</v>
      </c>
    </row>
    <row r="179" spans="1:4">
      <c r="A179">
        <f t="shared" si="7"/>
        <v>177</v>
      </c>
      <c r="B179">
        <f t="shared" si="8"/>
        <v>45</v>
      </c>
      <c r="C179">
        <f t="shared" si="9"/>
        <v>175000</v>
      </c>
      <c r="D179">
        <v>50</v>
      </c>
    </row>
    <row r="180" spans="1:5">
      <c r="A180">
        <f t="shared" si="7"/>
        <v>178</v>
      </c>
      <c r="B180">
        <f t="shared" si="8"/>
        <v>45</v>
      </c>
      <c r="C180">
        <f t="shared" si="9"/>
        <v>176000</v>
      </c>
      <c r="E180">
        <f>D179*10</f>
        <v>500</v>
      </c>
    </row>
    <row r="181" spans="1:6">
      <c r="A181">
        <f t="shared" si="7"/>
        <v>179</v>
      </c>
      <c r="B181">
        <f t="shared" si="8"/>
        <v>45</v>
      </c>
      <c r="C181">
        <f t="shared" si="9"/>
        <v>177000</v>
      </c>
      <c r="F181">
        <f>ROUND(D179/2,0)</f>
        <v>25</v>
      </c>
    </row>
    <row r="182" spans="1:7">
      <c r="A182">
        <f t="shared" si="7"/>
        <v>180</v>
      </c>
      <c r="B182">
        <f t="shared" si="8"/>
        <v>45</v>
      </c>
      <c r="C182">
        <f t="shared" si="9"/>
        <v>178000</v>
      </c>
      <c r="G182">
        <f>D179*5</f>
        <v>250</v>
      </c>
    </row>
    <row r="183" spans="1:4">
      <c r="A183">
        <f t="shared" si="7"/>
        <v>181</v>
      </c>
      <c r="B183">
        <f t="shared" si="8"/>
        <v>46</v>
      </c>
      <c r="C183">
        <f t="shared" si="9"/>
        <v>179000</v>
      </c>
      <c r="D183">
        <v>50</v>
      </c>
    </row>
    <row r="184" spans="1:5">
      <c r="A184">
        <f t="shared" si="7"/>
        <v>182</v>
      </c>
      <c r="B184">
        <f t="shared" si="8"/>
        <v>46</v>
      </c>
      <c r="C184">
        <f t="shared" si="9"/>
        <v>180000</v>
      </c>
      <c r="E184">
        <f>D183*10</f>
        <v>500</v>
      </c>
    </row>
    <row r="185" spans="1:6">
      <c r="A185">
        <f t="shared" si="7"/>
        <v>183</v>
      </c>
      <c r="B185">
        <f t="shared" si="8"/>
        <v>46</v>
      </c>
      <c r="C185">
        <f t="shared" si="9"/>
        <v>181000</v>
      </c>
      <c r="F185">
        <f>ROUND(D183/2,0)</f>
        <v>25</v>
      </c>
    </row>
    <row r="186" spans="1:7">
      <c r="A186">
        <f t="shared" si="7"/>
        <v>184</v>
      </c>
      <c r="B186">
        <f t="shared" si="8"/>
        <v>46</v>
      </c>
      <c r="C186">
        <f t="shared" si="9"/>
        <v>182000</v>
      </c>
      <c r="G186">
        <f>D183*5</f>
        <v>250</v>
      </c>
    </row>
    <row r="187" spans="1:4">
      <c r="A187">
        <f t="shared" si="7"/>
        <v>185</v>
      </c>
      <c r="B187">
        <f t="shared" si="8"/>
        <v>47</v>
      </c>
      <c r="C187">
        <f t="shared" si="9"/>
        <v>183000</v>
      </c>
      <c r="D187">
        <v>50</v>
      </c>
    </row>
    <row r="188" spans="1:5">
      <c r="A188">
        <f t="shared" si="7"/>
        <v>186</v>
      </c>
      <c r="B188">
        <f t="shared" si="8"/>
        <v>47</v>
      </c>
      <c r="C188">
        <f t="shared" si="9"/>
        <v>184000</v>
      </c>
      <c r="E188">
        <f>D187*10</f>
        <v>500</v>
      </c>
    </row>
    <row r="189" spans="1:6">
      <c r="A189">
        <f t="shared" si="7"/>
        <v>187</v>
      </c>
      <c r="B189">
        <f t="shared" si="8"/>
        <v>47</v>
      </c>
      <c r="C189">
        <f t="shared" si="9"/>
        <v>185000</v>
      </c>
      <c r="F189">
        <f>ROUND(D187/2,0)</f>
        <v>25</v>
      </c>
    </row>
    <row r="190" spans="1:7">
      <c r="A190">
        <f t="shared" si="7"/>
        <v>188</v>
      </c>
      <c r="B190">
        <f t="shared" si="8"/>
        <v>47</v>
      </c>
      <c r="C190">
        <f t="shared" si="9"/>
        <v>186000</v>
      </c>
      <c r="G190">
        <f>D187*5</f>
        <v>250</v>
      </c>
    </row>
    <row r="191" spans="1:4">
      <c r="A191">
        <f t="shared" si="7"/>
        <v>189</v>
      </c>
      <c r="B191">
        <f t="shared" si="8"/>
        <v>48</v>
      </c>
      <c r="C191">
        <f t="shared" si="9"/>
        <v>187000</v>
      </c>
      <c r="D191">
        <v>50</v>
      </c>
    </row>
    <row r="192" spans="1:5">
      <c r="A192">
        <f t="shared" si="7"/>
        <v>190</v>
      </c>
      <c r="B192">
        <f t="shared" si="8"/>
        <v>48</v>
      </c>
      <c r="C192">
        <f t="shared" si="9"/>
        <v>188000</v>
      </c>
      <c r="E192">
        <f>D191*10</f>
        <v>500</v>
      </c>
    </row>
    <row r="193" spans="1:6">
      <c r="A193">
        <f t="shared" si="7"/>
        <v>191</v>
      </c>
      <c r="B193">
        <f t="shared" si="8"/>
        <v>48</v>
      </c>
      <c r="C193">
        <f t="shared" si="9"/>
        <v>189000</v>
      </c>
      <c r="F193">
        <f>ROUND(D191/2,0)</f>
        <v>25</v>
      </c>
    </row>
    <row r="194" spans="1:7">
      <c r="A194">
        <f t="shared" si="7"/>
        <v>192</v>
      </c>
      <c r="B194">
        <f t="shared" si="8"/>
        <v>48</v>
      </c>
      <c r="C194">
        <f t="shared" si="9"/>
        <v>190000</v>
      </c>
      <c r="G194">
        <f>D191*5</f>
        <v>250</v>
      </c>
    </row>
    <row r="195" spans="1:4">
      <c r="A195">
        <f t="shared" si="7"/>
        <v>193</v>
      </c>
      <c r="B195">
        <f t="shared" si="8"/>
        <v>49</v>
      </c>
      <c r="C195">
        <f t="shared" si="9"/>
        <v>191000</v>
      </c>
      <c r="D195">
        <v>50</v>
      </c>
    </row>
    <row r="196" spans="1:5">
      <c r="A196">
        <f t="shared" si="7"/>
        <v>194</v>
      </c>
      <c r="B196">
        <f t="shared" si="8"/>
        <v>49</v>
      </c>
      <c r="C196">
        <f t="shared" si="9"/>
        <v>192000</v>
      </c>
      <c r="E196">
        <f>D195*10</f>
        <v>500</v>
      </c>
    </row>
    <row r="197" spans="1:6">
      <c r="A197">
        <f t="shared" ref="A197:A202" si="10">A196+1</f>
        <v>195</v>
      </c>
      <c r="B197">
        <f t="shared" si="8"/>
        <v>49</v>
      </c>
      <c r="C197">
        <f t="shared" si="9"/>
        <v>193000</v>
      </c>
      <c r="F197">
        <f>ROUND(D195/2,0)</f>
        <v>25</v>
      </c>
    </row>
    <row r="198" spans="1:7">
      <c r="A198">
        <f t="shared" si="10"/>
        <v>196</v>
      </c>
      <c r="B198">
        <f t="shared" si="8"/>
        <v>49</v>
      </c>
      <c r="C198">
        <f t="shared" si="9"/>
        <v>194000</v>
      </c>
      <c r="G198">
        <f>D195*5</f>
        <v>250</v>
      </c>
    </row>
    <row r="199" spans="1:4">
      <c r="A199">
        <f t="shared" si="10"/>
        <v>197</v>
      </c>
      <c r="B199">
        <f t="shared" si="8"/>
        <v>50</v>
      </c>
      <c r="C199">
        <f t="shared" si="9"/>
        <v>195000</v>
      </c>
      <c r="D199">
        <v>50</v>
      </c>
    </row>
    <row r="200" spans="1:5">
      <c r="A200">
        <f t="shared" si="10"/>
        <v>198</v>
      </c>
      <c r="B200">
        <f t="shared" ref="B200:B202" si="11">B196+1</f>
        <v>50</v>
      </c>
      <c r="C200">
        <f t="shared" si="9"/>
        <v>196000</v>
      </c>
      <c r="E200">
        <f>D199*10</f>
        <v>500</v>
      </c>
    </row>
    <row r="201" spans="1:6">
      <c r="A201">
        <f t="shared" si="10"/>
        <v>199</v>
      </c>
      <c r="B201">
        <f t="shared" si="11"/>
        <v>50</v>
      </c>
      <c r="C201">
        <f t="shared" si="9"/>
        <v>197000</v>
      </c>
      <c r="F201">
        <f>ROUND(D199/2,0)</f>
        <v>25</v>
      </c>
    </row>
    <row r="202" spans="1:7">
      <c r="A202">
        <f t="shared" si="10"/>
        <v>200</v>
      </c>
      <c r="B202">
        <f t="shared" si="11"/>
        <v>50</v>
      </c>
      <c r="C202">
        <f t="shared" si="9"/>
        <v>198000</v>
      </c>
      <c r="G202">
        <f>D199*5</f>
        <v>250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数据模拟</vt:lpstr>
      <vt:lpstr>物品定价</vt:lpstr>
      <vt:lpstr>各关卡数值期望</vt:lpstr>
      <vt:lpstr>玩家等级</vt:lpstr>
      <vt:lpstr>装备强化</vt:lpstr>
      <vt:lpstr>关卡产出</vt:lpstr>
      <vt:lpstr>装备</vt:lpstr>
      <vt:lpstr>天赋（不含大天赋）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flowfrost</dc:creator>
  <cp:lastModifiedBy>wepie</cp:lastModifiedBy>
  <dcterms:created xsi:type="dcterms:W3CDTF">2015-06-05T18:19:00Z</dcterms:created>
  <dcterms:modified xsi:type="dcterms:W3CDTF">2022-09-08T09:00:58Z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4E72D6A6BA30491CB3AFE8FD45CC1949</vt:lpwstr>
  </property>
  <property fmtid="{D5CDD505-2E9C-101B-9397-08002B2CF9AE}" pid="3" name="KSOProductBuildVer">
    <vt:lpwstr>2052-11.1.0.11875</vt:lpwstr>
  </property>
</Properties>
</file>